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xml"/>
  <Override PartName="/xl/comments2.xml" ContentType="application/vnd.openxmlformats-officedocument.spreadsheetml.comment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omments3.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10"/>
  <workbookPr codeName="ThisWorkbook"/>
  <mc:AlternateContent xmlns:mc="http://schemas.openxmlformats.org/markup-compatibility/2006">
    <mc:Choice Requires="x15">
      <x15ac:absPath xmlns:x15ac="http://schemas.microsoft.com/office/spreadsheetml/2010/11/ac" url="https://phdisegutl.sharepoint.com/sites/LIS-GENERAL-SecuritiesResearch/Shared Documents/Securities Research/One Pagers/Pre-restructuring OPs/Retail 1- TL Henrique Albuquerque/"/>
    </mc:Choice>
  </mc:AlternateContent>
  <xr:revisionPtr revIDLastSave="1050" documentId="8_{29F3E2FA-DBE1-4A7D-ABB8-8379161BA04A}" xr6:coauthVersionLast="47" xr6:coauthVersionMax="47" xr10:uidLastSave="{B2DFB396-4DCC-44C0-84CD-99B63083136B}"/>
  <bookViews>
    <workbookView xWindow="28680" yWindow="-120" windowWidth="29040" windowHeight="15720" tabRatio="644" xr2:uid="{00000000-000D-0000-FFFF-FFFF00000000}"/>
  </bookViews>
  <sheets>
    <sheet name="OP" sheetId="1" r:id="rId1"/>
    <sheet name="Acuerdo" sheetId="11" state="hidden" r:id="rId2"/>
    <sheet name="Segments" sheetId="3" r:id="rId3"/>
    <sheet name="Peers" sheetId="10" r:id="rId4"/>
    <sheet name="ESG" sheetId="19" r:id="rId5"/>
    <sheet name="Assumptions" sheetId="22" r:id="rId6"/>
    <sheet name="DCF" sheetId="4" r:id="rId7"/>
    <sheet name="Sector Impact" sheetId="18" state="hidden" r:id="rId8"/>
    <sheet name="Fin. Data" sheetId="16" r:id="rId9"/>
    <sheet name="Inputs" sheetId="17" r:id="rId10"/>
  </sheets>
  <externalReferences>
    <externalReference r:id="rId11"/>
  </externalReferences>
  <definedNames>
    <definedName name="_xlnm.Print_Area" localSheetId="0">OP!$A$1:$M$82</definedName>
    <definedName name="_xlnm.Print_Area" localSheetId="2">Segments!#REF!</definedName>
    <definedName name="Sectors" localSheetId="5">'[1]Sector Impact'!$K$4:$K$16</definedName>
    <definedName name="Sectors">'Sector Impact'!$K$4:$K$16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43" i="4" l="1"/>
  <c r="Z44" i="4"/>
  <c r="AA44" i="4" s="1"/>
  <c r="AB44" i="4" s="1"/>
  <c r="AC44" i="4" s="1"/>
  <c r="AD44" i="4" s="1"/>
  <c r="AE44" i="4" s="1"/>
  <c r="AF44" i="4" s="1"/>
  <c r="Y44" i="4"/>
  <c r="X44" i="4"/>
  <c r="P44" i="4"/>
  <c r="Q44" i="4" s="1"/>
  <c r="R44" i="4" s="1"/>
  <c r="S44" i="4" s="1"/>
  <c r="T44" i="4" s="1"/>
  <c r="U44" i="4" s="1"/>
  <c r="V44" i="4" s="1"/>
  <c r="W44" i="4" s="1"/>
  <c r="O44" i="4"/>
  <c r="H44" i="4"/>
  <c r="I44" i="4" s="1"/>
  <c r="J44" i="4" s="1"/>
  <c r="K44" i="4" s="1"/>
  <c r="L44" i="4" s="1"/>
  <c r="M44" i="4" s="1"/>
  <c r="N44" i="4" s="1"/>
  <c r="C224" i="22"/>
  <c r="G44" i="4"/>
  <c r="G40" i="4"/>
  <c r="C167" i="22"/>
  <c r="D167" i="22"/>
  <c r="E167" i="22"/>
  <c r="F167" i="22"/>
  <c r="G167" i="22"/>
  <c r="H167" i="22"/>
  <c r="J167" i="22"/>
  <c r="K167" i="22"/>
  <c r="L167" i="22"/>
  <c r="C6" i="19"/>
  <c r="C219" i="22"/>
  <c r="C221" i="22"/>
  <c r="D65" i="4"/>
  <c r="D63" i="4"/>
  <c r="C211" i="22"/>
  <c r="C205" i="22"/>
  <c r="C206" i="22"/>
  <c r="D62" i="4" s="1"/>
  <c r="C216" i="22"/>
  <c r="D58" i="4"/>
  <c r="C186" i="22"/>
  <c r="D56" i="4" s="1"/>
  <c r="I19" i="22"/>
  <c r="D54" i="4"/>
  <c r="C250" i="22"/>
  <c r="P35" i="16"/>
  <c r="C47" i="16"/>
  <c r="D47" i="16"/>
  <c r="E47" i="16"/>
  <c r="F47" i="16"/>
  <c r="I47" i="16"/>
  <c r="J47" i="16"/>
  <c r="B47" i="16"/>
  <c r="C46" i="16"/>
  <c r="D46" i="16"/>
  <c r="E46" i="16"/>
  <c r="F46" i="16"/>
  <c r="I46" i="16"/>
  <c r="J46" i="16"/>
  <c r="B46" i="16"/>
  <c r="B28" i="16"/>
  <c r="C246" i="22"/>
  <c r="D246" i="22"/>
  <c r="E246" i="22"/>
  <c r="F246" i="22"/>
  <c r="G246" i="22"/>
  <c r="H246" i="22"/>
  <c r="I246" i="22"/>
  <c r="J246" i="22"/>
  <c r="K246" i="22"/>
  <c r="C247" i="22"/>
  <c r="D247" i="22"/>
  <c r="E247" i="22"/>
  <c r="F247" i="22"/>
  <c r="G247" i="22"/>
  <c r="H247" i="22"/>
  <c r="I247" i="22"/>
  <c r="J247" i="22"/>
  <c r="K247" i="22"/>
  <c r="C248" i="22"/>
  <c r="D248" i="22"/>
  <c r="E248" i="22"/>
  <c r="F248" i="22"/>
  <c r="G248" i="22"/>
  <c r="H248" i="22"/>
  <c r="I248" i="22"/>
  <c r="J248" i="22"/>
  <c r="K248" i="22"/>
  <c r="D245" i="22"/>
  <c r="E245" i="22"/>
  <c r="F245" i="22"/>
  <c r="G245" i="22"/>
  <c r="H245" i="22"/>
  <c r="I245" i="22"/>
  <c r="J245" i="22"/>
  <c r="K245" i="22"/>
  <c r="C245" i="22"/>
  <c r="D240" i="22"/>
  <c r="E240" i="22"/>
  <c r="F240" i="22"/>
  <c r="G240" i="22"/>
  <c r="H240" i="22"/>
  <c r="I240" i="22"/>
  <c r="J240" i="22"/>
  <c r="K240" i="22"/>
  <c r="C240" i="22"/>
  <c r="E227" i="22"/>
  <c r="F227" i="22"/>
  <c r="G227" i="22"/>
  <c r="H227" i="22"/>
  <c r="I227" i="22"/>
  <c r="J227" i="22" s="1"/>
  <c r="K227" i="22" s="1"/>
  <c r="D227" i="22"/>
  <c r="D228" i="22"/>
  <c r="E228" i="22"/>
  <c r="F228" i="22"/>
  <c r="G228" i="22"/>
  <c r="H228" i="22"/>
  <c r="I228" i="22"/>
  <c r="J228" i="22"/>
  <c r="K228" i="22"/>
  <c r="C228" i="22"/>
  <c r="D27" i="4"/>
  <c r="H47" i="10"/>
  <c r="H48" i="10"/>
  <c r="H41" i="10"/>
  <c r="H45" i="10"/>
  <c r="H37" i="10"/>
  <c r="H38" i="10"/>
  <c r="H39" i="10"/>
  <c r="H25" i="10"/>
  <c r="H31" i="10"/>
  <c r="H22" i="10"/>
  <c r="H18" i="10"/>
  <c r="H11" i="10"/>
  <c r="F50" i="4"/>
  <c r="S51" i="22"/>
  <c r="Q23" i="16"/>
  <c r="U88" i="22"/>
  <c r="B7" i="3"/>
  <c r="K5" i="3"/>
  <c r="U87" i="22"/>
  <c r="X55" i="1"/>
  <c r="P105" i="22"/>
  <c r="Q105" i="22"/>
  <c r="E118" i="22"/>
  <c r="D218" i="22"/>
  <c r="E218" i="22"/>
  <c r="F218" i="22"/>
  <c r="G218" i="22"/>
  <c r="H218" i="22"/>
  <c r="I218" i="22"/>
  <c r="J218" i="22"/>
  <c r="K218" i="22"/>
  <c r="L218" i="22"/>
  <c r="C218" i="22"/>
  <c r="B67" i="17"/>
  <c r="L215" i="22"/>
  <c r="D204" i="22"/>
  <c r="E204" i="22"/>
  <c r="F204" i="22"/>
  <c r="G204" i="22"/>
  <c r="H204" i="22"/>
  <c r="I204" i="22"/>
  <c r="J204" i="22"/>
  <c r="K204" i="22"/>
  <c r="L204" i="22"/>
  <c r="C204" i="22"/>
  <c r="D203" i="22"/>
  <c r="E203" i="22"/>
  <c r="F203" i="22"/>
  <c r="G203" i="22"/>
  <c r="H203" i="22"/>
  <c r="I203" i="22"/>
  <c r="J203" i="22"/>
  <c r="K203" i="22"/>
  <c r="L203" i="22"/>
  <c r="C203" i="22"/>
  <c r="C199" i="22"/>
  <c r="C201" i="22" s="1"/>
  <c r="D199" i="22"/>
  <c r="E199" i="22"/>
  <c r="F199" i="22"/>
  <c r="G199" i="22"/>
  <c r="H199" i="22"/>
  <c r="I199" i="22"/>
  <c r="J199" i="22"/>
  <c r="K199" i="22"/>
  <c r="L199" i="22"/>
  <c r="D198" i="22"/>
  <c r="E198" i="22"/>
  <c r="F198" i="22"/>
  <c r="G198" i="22"/>
  <c r="H198" i="22"/>
  <c r="I198" i="22"/>
  <c r="J198" i="22"/>
  <c r="K198" i="22"/>
  <c r="L198" i="22"/>
  <c r="C198" i="22"/>
  <c r="D197" i="22"/>
  <c r="E197" i="22"/>
  <c r="F197" i="22"/>
  <c r="G197" i="22"/>
  <c r="H197" i="22"/>
  <c r="I197" i="22"/>
  <c r="J197" i="22"/>
  <c r="K197" i="22"/>
  <c r="L197" i="22"/>
  <c r="C197" i="22"/>
  <c r="D193" i="22"/>
  <c r="E193" i="22"/>
  <c r="F193" i="22"/>
  <c r="G193" i="22"/>
  <c r="H193" i="22"/>
  <c r="I193" i="22"/>
  <c r="J193" i="22"/>
  <c r="K193" i="22"/>
  <c r="L193" i="22"/>
  <c r="C193" i="22"/>
  <c r="D189" i="22"/>
  <c r="E189" i="22"/>
  <c r="F189" i="22"/>
  <c r="G189" i="22"/>
  <c r="H189" i="22"/>
  <c r="I189" i="22"/>
  <c r="J189" i="22"/>
  <c r="K189" i="22"/>
  <c r="L189" i="22"/>
  <c r="C189" i="22"/>
  <c r="P278" i="22"/>
  <c r="Q276" i="22" s="1"/>
  <c r="D175" i="22"/>
  <c r="E175" i="22"/>
  <c r="F175" i="22"/>
  <c r="G175" i="22"/>
  <c r="H175" i="22"/>
  <c r="I175" i="22"/>
  <c r="J175" i="22"/>
  <c r="K175" i="22"/>
  <c r="L175" i="22"/>
  <c r="C175" i="22"/>
  <c r="D172" i="22"/>
  <c r="D18" i="22" s="1"/>
  <c r="E172" i="22"/>
  <c r="E18" i="22" s="1"/>
  <c r="F172" i="22"/>
  <c r="F18" i="22" s="1"/>
  <c r="G172" i="22"/>
  <c r="G18" i="22" s="1"/>
  <c r="H172" i="22"/>
  <c r="I172" i="22"/>
  <c r="J172" i="22"/>
  <c r="K172" i="22"/>
  <c r="L172" i="22"/>
  <c r="C172" i="22"/>
  <c r="C18" i="22" s="1"/>
  <c r="D166" i="22"/>
  <c r="E166" i="22"/>
  <c r="F166" i="22"/>
  <c r="G166" i="22"/>
  <c r="H166" i="22"/>
  <c r="I166" i="22"/>
  <c r="J166" i="22"/>
  <c r="K166" i="22"/>
  <c r="L166" i="22"/>
  <c r="C166" i="22"/>
  <c r="F163" i="22"/>
  <c r="G163" i="22" s="1"/>
  <c r="H163" i="22" s="1"/>
  <c r="I163" i="22" s="1"/>
  <c r="J163" i="22" s="1"/>
  <c r="K163" i="22" s="1"/>
  <c r="L163" i="22" s="1"/>
  <c r="D9" i="4"/>
  <c r="E9" i="4"/>
  <c r="F9" i="4"/>
  <c r="D146" i="22"/>
  <c r="E146" i="22"/>
  <c r="F146" i="22"/>
  <c r="G146" i="22"/>
  <c r="H146" i="22"/>
  <c r="I146" i="22"/>
  <c r="J146" i="22"/>
  <c r="C146" i="22"/>
  <c r="L59" i="4"/>
  <c r="K59" i="4"/>
  <c r="R21" i="16"/>
  <c r="S21" i="16" s="1"/>
  <c r="T21" i="16" s="1"/>
  <c r="U21" i="16" s="1"/>
  <c r="V21" i="16" s="1"/>
  <c r="W21" i="16" s="1"/>
  <c r="X21" i="16" s="1"/>
  <c r="R23" i="16"/>
  <c r="S23" i="16"/>
  <c r="T23" i="16"/>
  <c r="U23" i="16"/>
  <c r="V23" i="16"/>
  <c r="W23" i="16"/>
  <c r="X23" i="16"/>
  <c r="R17" i="16"/>
  <c r="S17" i="16"/>
  <c r="T17" i="16"/>
  <c r="U17" i="16"/>
  <c r="V17" i="16"/>
  <c r="W17" i="16"/>
  <c r="X17" i="16"/>
  <c r="Q17" i="16"/>
  <c r="Y6" i="16"/>
  <c r="Y7" i="16"/>
  <c r="Y8" i="16"/>
  <c r="X9" i="16"/>
  <c r="X10" i="16" s="1"/>
  <c r="W9" i="16"/>
  <c r="W10" i="16" s="1"/>
  <c r="V9" i="16"/>
  <c r="V10" i="16" s="1"/>
  <c r="U9" i="16"/>
  <c r="U10" i="16" s="1"/>
  <c r="T9" i="16"/>
  <c r="T10" i="16" s="1"/>
  <c r="S9" i="16"/>
  <c r="S10" i="16" s="1"/>
  <c r="R9" i="16"/>
  <c r="R10" i="16" s="1"/>
  <c r="Q9" i="16"/>
  <c r="R4" i="16"/>
  <c r="S4" i="16" s="1"/>
  <c r="T4" i="16" s="1"/>
  <c r="U4" i="16" s="1"/>
  <c r="V4" i="16" s="1"/>
  <c r="W4" i="16" s="1"/>
  <c r="X4" i="16" s="1"/>
  <c r="L6" i="19"/>
  <c r="C48" i="22"/>
  <c r="L82" i="22"/>
  <c r="K82" i="22"/>
  <c r="L68" i="22"/>
  <c r="K68" i="22"/>
  <c r="L120" i="22"/>
  <c r="K120" i="22"/>
  <c r="L124" i="22"/>
  <c r="K124" i="22"/>
  <c r="L10" i="22"/>
  <c r="K61" i="22"/>
  <c r="K62" i="22" s="1"/>
  <c r="S55" i="22"/>
  <c r="S53" i="22"/>
  <c r="S59" i="22"/>
  <c r="T59" i="22" s="1"/>
  <c r="U59" i="22" s="1"/>
  <c r="V59" i="22" s="1"/>
  <c r="W59" i="22" s="1"/>
  <c r="X59" i="22" s="1"/>
  <c r="Y59" i="22" s="1"/>
  <c r="Z59" i="22" s="1"/>
  <c r="AA59" i="22" s="1"/>
  <c r="AB59" i="22" s="1"/>
  <c r="AC59" i="22" s="1"/>
  <c r="AD59" i="22" s="1"/>
  <c r="AE59" i="22" s="1"/>
  <c r="AF59" i="22" s="1"/>
  <c r="AG59" i="22" s="1"/>
  <c r="AH59" i="22" s="1"/>
  <c r="AI59" i="22" s="1"/>
  <c r="AJ59" i="22" s="1"/>
  <c r="AK59" i="22" s="1"/>
  <c r="AL59" i="22" s="1"/>
  <c r="AM59" i="22" s="1"/>
  <c r="AN59" i="22" s="1"/>
  <c r="AO59" i="22" s="1"/>
  <c r="AP59" i="22" s="1"/>
  <c r="AQ59" i="22" s="1"/>
  <c r="AR59" i="22" s="1"/>
  <c r="S57" i="22"/>
  <c r="T57" i="22" s="1"/>
  <c r="U57" i="22" s="1"/>
  <c r="V57" i="22" s="1"/>
  <c r="W57" i="22" s="1"/>
  <c r="X57" i="22" s="1"/>
  <c r="Y57" i="22" s="1"/>
  <c r="Z57" i="22" s="1"/>
  <c r="AA57" i="22" s="1"/>
  <c r="AB57" i="22" s="1"/>
  <c r="AC57" i="22" s="1"/>
  <c r="AD57" i="22" s="1"/>
  <c r="AE57" i="22" s="1"/>
  <c r="AF57" i="22" s="1"/>
  <c r="AG57" i="22" s="1"/>
  <c r="AH57" i="22" s="1"/>
  <c r="AI57" i="22" s="1"/>
  <c r="AJ57" i="22" s="1"/>
  <c r="AK57" i="22" s="1"/>
  <c r="AL57" i="22" s="1"/>
  <c r="AM57" i="22" s="1"/>
  <c r="AN57" i="22" s="1"/>
  <c r="AO57" i="22" s="1"/>
  <c r="AP57" i="22" s="1"/>
  <c r="AQ57" i="22" s="1"/>
  <c r="AR57" i="22" s="1"/>
  <c r="G63" i="22"/>
  <c r="B62" i="22"/>
  <c r="B59" i="22"/>
  <c r="B60" i="22"/>
  <c r="B61" i="22"/>
  <c r="B58" i="22"/>
  <c r="D21" i="3"/>
  <c r="B17" i="3" s="1"/>
  <c r="K7" i="3"/>
  <c r="M7" i="3"/>
  <c r="L5" i="3"/>
  <c r="M5" i="3"/>
  <c r="N5" i="3"/>
  <c r="O5" i="3"/>
  <c r="L6" i="3"/>
  <c r="M6" i="3"/>
  <c r="N6" i="3"/>
  <c r="O6" i="3"/>
  <c r="L7" i="3"/>
  <c r="N7" i="3"/>
  <c r="O7" i="3"/>
  <c r="L8" i="3"/>
  <c r="M8" i="3"/>
  <c r="N8" i="3"/>
  <c r="O8" i="3"/>
  <c r="K8" i="3"/>
  <c r="K6" i="3"/>
  <c r="L16" i="3"/>
  <c r="L17" i="3"/>
  <c r="L18" i="3"/>
  <c r="L19" i="3"/>
  <c r="L20" i="3"/>
  <c r="K17" i="3"/>
  <c r="K18" i="3"/>
  <c r="K19" i="3"/>
  <c r="K20" i="3"/>
  <c r="K16" i="3"/>
  <c r="E13" i="10"/>
  <c r="F88" i="10"/>
  <c r="F90" i="10" s="1"/>
  <c r="E88" i="10"/>
  <c r="E90" i="10"/>
  <c r="G90" i="10"/>
  <c r="G88" i="10"/>
  <c r="E89" i="10"/>
  <c r="F89" i="10"/>
  <c r="G89" i="10"/>
  <c r="G60" i="10"/>
  <c r="E87" i="10"/>
  <c r="F87" i="10"/>
  <c r="G87" i="10"/>
  <c r="E86" i="10"/>
  <c r="F86" i="10"/>
  <c r="G86" i="10"/>
  <c r="F85" i="10"/>
  <c r="D90" i="10"/>
  <c r="D88" i="10"/>
  <c r="D89" i="10"/>
  <c r="D87" i="10"/>
  <c r="D86" i="10"/>
  <c r="D30" i="10"/>
  <c r="D83" i="10" s="1"/>
  <c r="D81" i="10"/>
  <c r="D82" i="10" s="1"/>
  <c r="D80" i="10"/>
  <c r="M113" i="22"/>
  <c r="L113" i="22"/>
  <c r="L114" i="22" s="1"/>
  <c r="K112" i="22"/>
  <c r="L112" i="22" s="1"/>
  <c r="M112" i="22" s="1"/>
  <c r="N112" i="22" s="1"/>
  <c r="O112" i="22" s="1"/>
  <c r="K113" i="22"/>
  <c r="F62" i="10"/>
  <c r="F48" i="10"/>
  <c r="F38" i="10"/>
  <c r="F69" i="10"/>
  <c r="AB9" i="22"/>
  <c r="F31" i="1"/>
  <c r="K4" i="3"/>
  <c r="B22" i="17"/>
  <c r="H9" i="17"/>
  <c r="G9" i="17"/>
  <c r="F9" i="17"/>
  <c r="F11" i="4"/>
  <c r="B82" i="17"/>
  <c r="F23" i="22"/>
  <c r="G38" i="10"/>
  <c r="G73" i="10"/>
  <c r="G72" i="10"/>
  <c r="G71" i="10"/>
  <c r="G70" i="10"/>
  <c r="G69" i="10"/>
  <c r="G68" i="10"/>
  <c r="G67" i="10"/>
  <c r="G66" i="10"/>
  <c r="G65" i="10"/>
  <c r="G64" i="10"/>
  <c r="G62" i="10"/>
  <c r="G61" i="10"/>
  <c r="G59" i="10"/>
  <c r="G58" i="10"/>
  <c r="G57" i="10"/>
  <c r="G56" i="10"/>
  <c r="G55" i="10"/>
  <c r="G54" i="10"/>
  <c r="G53" i="10"/>
  <c r="G48" i="10"/>
  <c r="E48" i="10"/>
  <c r="E38" i="10"/>
  <c r="D38" i="10"/>
  <c r="E10" i="10"/>
  <c r="D48" i="10"/>
  <c r="B13" i="17"/>
  <c r="B14" i="17" s="1"/>
  <c r="B32" i="17"/>
  <c r="B36" i="17" s="1"/>
  <c r="D40" i="3"/>
  <c r="D23" i="22"/>
  <c r="E23" i="22"/>
  <c r="G23" i="22"/>
  <c r="C23" i="22"/>
  <c r="D28" i="22"/>
  <c r="E28" i="22"/>
  <c r="F28" i="22"/>
  <c r="G28" i="22"/>
  <c r="D29" i="22"/>
  <c r="E29" i="22"/>
  <c r="F29" i="22"/>
  <c r="G29" i="22"/>
  <c r="C29" i="22"/>
  <c r="C28" i="22"/>
  <c r="D26" i="22"/>
  <c r="E26" i="22"/>
  <c r="F26" i="22"/>
  <c r="G26" i="22"/>
  <c r="C26" i="22"/>
  <c r="D27" i="22"/>
  <c r="E27" i="22"/>
  <c r="F27" i="22"/>
  <c r="G27" i="22"/>
  <c r="C27" i="22"/>
  <c r="F54" i="4"/>
  <c r="F55" i="4"/>
  <c r="F56" i="4"/>
  <c r="F57" i="4"/>
  <c r="F58" i="4"/>
  <c r="F59" i="4"/>
  <c r="F60" i="4"/>
  <c r="F61" i="4"/>
  <c r="F62" i="4"/>
  <c r="F63" i="4"/>
  <c r="F64" i="4"/>
  <c r="F65" i="4"/>
  <c r="F66" i="4"/>
  <c r="F67" i="4"/>
  <c r="F68" i="4"/>
  <c r="F53" i="4"/>
  <c r="D59" i="4"/>
  <c r="E59" i="4"/>
  <c r="D61" i="4"/>
  <c r="E61" i="4"/>
  <c r="D67" i="4"/>
  <c r="E67" i="4"/>
  <c r="D17" i="10"/>
  <c r="D85" i="10" s="1"/>
  <c r="E17" i="10"/>
  <c r="E85" i="10" s="1"/>
  <c r="F17" i="10"/>
  <c r="G17" i="10"/>
  <c r="G85" i="10" s="1"/>
  <c r="B87" i="17"/>
  <c r="Q18" i="16" l="1"/>
  <c r="I200" i="22"/>
  <c r="Q10" i="16"/>
  <c r="Y9" i="16"/>
  <c r="Z23" i="16"/>
  <c r="C176" i="22"/>
  <c r="M176" i="22" s="1"/>
  <c r="C214" i="22"/>
  <c r="C215" i="22" s="1"/>
  <c r="L176" i="22"/>
  <c r="L219" i="22"/>
  <c r="K176" i="22"/>
  <c r="K219" i="22"/>
  <c r="K220" i="22" s="1"/>
  <c r="K214" i="22"/>
  <c r="K215" i="22" s="1"/>
  <c r="J176" i="22"/>
  <c r="J219" i="22"/>
  <c r="J214" i="22"/>
  <c r="J215" i="22" s="1"/>
  <c r="I176" i="22"/>
  <c r="I219" i="22"/>
  <c r="I220" i="22" s="1"/>
  <c r="I214" i="22"/>
  <c r="I215" i="22" s="1"/>
  <c r="H176" i="22"/>
  <c r="H219" i="22"/>
  <c r="H220" i="22" s="1"/>
  <c r="H214" i="22"/>
  <c r="H215" i="22" s="1"/>
  <c r="G176" i="22"/>
  <c r="G19" i="22" s="1"/>
  <c r="G219" i="22"/>
  <c r="G220" i="22" s="1"/>
  <c r="G214" i="22"/>
  <c r="G215" i="22" s="1"/>
  <c r="F176" i="22"/>
  <c r="F19" i="22" s="1"/>
  <c r="F219" i="22"/>
  <c r="F214" i="22"/>
  <c r="F215" i="22" s="1"/>
  <c r="E176" i="22"/>
  <c r="E19" i="22" s="1"/>
  <c r="E219" i="22"/>
  <c r="E220" i="22" s="1"/>
  <c r="E214" i="22"/>
  <c r="E215" i="22" s="1"/>
  <c r="D176" i="22"/>
  <c r="D19" i="22" s="1"/>
  <c r="D219" i="22"/>
  <c r="D220" i="22" s="1"/>
  <c r="D214" i="22"/>
  <c r="D215" i="22" s="1"/>
  <c r="C200" i="22"/>
  <c r="D64" i="4" s="1"/>
  <c r="E64" i="4" s="1"/>
  <c r="L200" i="22"/>
  <c r="K200" i="22"/>
  <c r="J200" i="22"/>
  <c r="D200" i="22"/>
  <c r="L201" i="22"/>
  <c r="K201" i="22"/>
  <c r="J201" i="22"/>
  <c r="I201" i="22"/>
  <c r="H201" i="22"/>
  <c r="G201" i="22"/>
  <c r="L205" i="22"/>
  <c r="K205" i="22"/>
  <c r="D205" i="22"/>
  <c r="C209" i="22"/>
  <c r="L209" i="22"/>
  <c r="K209" i="22"/>
  <c r="H209" i="22"/>
  <c r="G209" i="22"/>
  <c r="F209" i="22"/>
  <c r="E209" i="22"/>
  <c r="D209" i="22"/>
  <c r="C220" i="22"/>
  <c r="L220" i="22"/>
  <c r="J220" i="22"/>
  <c r="F220" i="22"/>
  <c r="T55" i="22"/>
  <c r="U55" i="22" s="1"/>
  <c r="V55" i="22" s="1"/>
  <c r="W55" i="22" s="1"/>
  <c r="X55" i="22" s="1"/>
  <c r="Y55" i="22" s="1"/>
  <c r="Z55" i="22" s="1"/>
  <c r="AA55" i="22" s="1"/>
  <c r="AB55" i="22" s="1"/>
  <c r="AC55" i="22" s="1"/>
  <c r="AD55" i="22" s="1"/>
  <c r="AE55" i="22" s="1"/>
  <c r="AF55" i="22" s="1"/>
  <c r="AG55" i="22" s="1"/>
  <c r="AH55" i="22" s="1"/>
  <c r="AI55" i="22" s="1"/>
  <c r="AJ55" i="22" s="1"/>
  <c r="AK55" i="22" s="1"/>
  <c r="AL55" i="22" s="1"/>
  <c r="AM55" i="22" s="1"/>
  <c r="AN55" i="22" s="1"/>
  <c r="AO55" i="22" s="1"/>
  <c r="AP55" i="22" s="1"/>
  <c r="AQ55" i="22" s="1"/>
  <c r="AR55" i="22" s="1"/>
  <c r="H205" i="22"/>
  <c r="J209" i="22"/>
  <c r="I209" i="22"/>
  <c r="F201" i="22"/>
  <c r="E201" i="22"/>
  <c r="E65" i="4" s="1"/>
  <c r="G200" i="22"/>
  <c r="D201" i="22"/>
  <c r="H200" i="22"/>
  <c r="F200" i="22"/>
  <c r="F205" i="22"/>
  <c r="E200" i="22"/>
  <c r="E205" i="22"/>
  <c r="J205" i="22"/>
  <c r="I205" i="22"/>
  <c r="G205" i="22"/>
  <c r="C19" i="22"/>
  <c r="M172" i="22"/>
  <c r="L18" i="22" s="1"/>
  <c r="E54" i="4" s="1"/>
  <c r="C195" i="22"/>
  <c r="Q273" i="22"/>
  <c r="Q275" i="22"/>
  <c r="Q274" i="22"/>
  <c r="Q277" i="22"/>
  <c r="B16" i="3"/>
  <c r="B20" i="3"/>
  <c r="B19" i="3"/>
  <c r="B18" i="3"/>
  <c r="T51" i="22"/>
  <c r="S46" i="22"/>
  <c r="S61" i="22"/>
  <c r="G6" i="4" s="1"/>
  <c r="T53" i="22"/>
  <c r="K114" i="22"/>
  <c r="J114" i="22"/>
  <c r="F115" i="22" s="1"/>
  <c r="F46" i="10"/>
  <c r="AF9" i="22"/>
  <c r="AE9" i="22"/>
  <c r="AD9" i="22"/>
  <c r="AC9" i="22"/>
  <c r="R279" i="22" l="1"/>
  <c r="D60" i="4"/>
  <c r="D66" i="4"/>
  <c r="C210" i="22"/>
  <c r="G23" i="4"/>
  <c r="E57" i="4"/>
  <c r="U51" i="22"/>
  <c r="T46" i="22"/>
  <c r="S62" i="22"/>
  <c r="S47" i="22"/>
  <c r="T61" i="22"/>
  <c r="H6" i="4" s="1"/>
  <c r="U53" i="22"/>
  <c r="D6" i="4"/>
  <c r="E6" i="4"/>
  <c r="F6" i="4"/>
  <c r="G24" i="4"/>
  <c r="C16" i="22"/>
  <c r="G7" i="10"/>
  <c r="L107" i="1" s="1"/>
  <c r="F7" i="10"/>
  <c r="E7" i="10"/>
  <c r="D7" i="10"/>
  <c r="C60" i="17"/>
  <c r="D60" i="17"/>
  <c r="E60" i="17"/>
  <c r="F60" i="17"/>
  <c r="G60" i="17"/>
  <c r="H60" i="17"/>
  <c r="I60" i="17"/>
  <c r="J60" i="17"/>
  <c r="K60" i="17"/>
  <c r="L60" i="17"/>
  <c r="M60" i="17"/>
  <c r="B60" i="17"/>
  <c r="F67" i="17"/>
  <c r="G67" i="17"/>
  <c r="H67" i="17"/>
  <c r="I67" i="17"/>
  <c r="J67" i="17"/>
  <c r="K67" i="17"/>
  <c r="L67" i="17"/>
  <c r="M67" i="17"/>
  <c r="E47" i="17"/>
  <c r="F47" i="17"/>
  <c r="G47" i="17"/>
  <c r="H47" i="17"/>
  <c r="I47" i="17"/>
  <c r="J47" i="17"/>
  <c r="K47" i="17"/>
  <c r="L47" i="17"/>
  <c r="M47" i="17"/>
  <c r="D47" i="17"/>
  <c r="E32" i="17"/>
  <c r="F32" i="17"/>
  <c r="G32" i="17"/>
  <c r="H32" i="17"/>
  <c r="I32" i="17"/>
  <c r="J32" i="17"/>
  <c r="K32" i="17"/>
  <c r="L32" i="17"/>
  <c r="M32" i="17"/>
  <c r="D32" i="17"/>
  <c r="F22" i="1"/>
  <c r="F23" i="1"/>
  <c r="F24" i="1"/>
  <c r="G21" i="4" l="1"/>
  <c r="G27" i="4"/>
  <c r="E66" i="4"/>
  <c r="H27" i="4"/>
  <c r="E60" i="4"/>
  <c r="V51" i="22"/>
  <c r="U46" i="22"/>
  <c r="T62" i="22"/>
  <c r="T47" i="22"/>
  <c r="V53" i="22"/>
  <c r="U61" i="22"/>
  <c r="I6" i="4" s="1"/>
  <c r="I27" i="4" s="1"/>
  <c r="K107" i="1"/>
  <c r="D44" i="10" a="1"/>
  <c r="D44" i="10" s="1"/>
  <c r="I107" i="1"/>
  <c r="E44" i="10" a="1"/>
  <c r="E44" i="10" s="1"/>
  <c r="E43" i="10" s="1"/>
  <c r="J107" i="1"/>
  <c r="G9" i="10" a="1"/>
  <c r="G9" i="10" s="1"/>
  <c r="G44" i="10" a="1"/>
  <c r="G44" i="10" s="1"/>
  <c r="G43" i="10" s="1"/>
  <c r="D9" i="10" a="1"/>
  <c r="D9" i="10" s="1"/>
  <c r="D36" i="10" s="1"/>
  <c r="E9" i="10" a="1"/>
  <c r="E9" i="10" s="1"/>
  <c r="B77" i="17"/>
  <c r="B75" i="17"/>
  <c r="B63" i="17"/>
  <c r="B56" i="17"/>
  <c r="B47" i="17"/>
  <c r="B50" i="17" s="1"/>
  <c r="B46" i="17"/>
  <c r="B31" i="17"/>
  <c r="B23" i="17"/>
  <c r="W51" i="22" l="1"/>
  <c r="V46" i="22"/>
  <c r="U62" i="22"/>
  <c r="U47" i="22"/>
  <c r="W53" i="22"/>
  <c r="V61" i="22"/>
  <c r="J6" i="4" s="1"/>
  <c r="J27" i="4" s="1"/>
  <c r="G42" i="10"/>
  <c r="G35" i="10"/>
  <c r="G36" i="10"/>
  <c r="F35" i="10"/>
  <c r="F36" i="10"/>
  <c r="E35" i="10"/>
  <c r="E36" i="10"/>
  <c r="D43" i="10"/>
  <c r="D42" i="10"/>
  <c r="D35" i="10"/>
  <c r="B37" i="17"/>
  <c r="X51" i="22" l="1"/>
  <c r="Y51" i="22" s="1"/>
  <c r="Z51" i="22" s="1"/>
  <c r="AA51" i="22" s="1"/>
  <c r="AB51" i="22" s="1"/>
  <c r="AC51" i="22" s="1"/>
  <c r="AD51" i="22" s="1"/>
  <c r="W46" i="22"/>
  <c r="V62" i="22"/>
  <c r="K9" i="22" s="1"/>
  <c r="V47" i="22"/>
  <c r="X53" i="22"/>
  <c r="X46" i="22" s="1"/>
  <c r="W61" i="22"/>
  <c r="K6" i="4" s="1"/>
  <c r="K27" i="4" s="1"/>
  <c r="G51" i="10"/>
  <c r="F51" i="10"/>
  <c r="E51" i="10"/>
  <c r="D51" i="10"/>
  <c r="E10" i="22"/>
  <c r="F10" i="22"/>
  <c r="G10" i="22"/>
  <c r="G9" i="22"/>
  <c r="F9" i="22"/>
  <c r="E9" i="22"/>
  <c r="D10" i="22"/>
  <c r="D9" i="22"/>
  <c r="C10" i="22"/>
  <c r="C9" i="22"/>
  <c r="AE51" i="22" l="1"/>
  <c r="W62" i="22"/>
  <c r="W47" i="22"/>
  <c r="Y53" i="22"/>
  <c r="Y46" i="22" s="1"/>
  <c r="X61" i="22"/>
  <c r="L6" i="4" s="1"/>
  <c r="L27" i="4" s="1"/>
  <c r="I30" i="22"/>
  <c r="I29" i="22"/>
  <c r="I28" i="22"/>
  <c r="I27" i="22"/>
  <c r="I26" i="22"/>
  <c r="I25" i="22"/>
  <c r="I24" i="22"/>
  <c r="I23" i="22"/>
  <c r="I22" i="22"/>
  <c r="I21" i="22"/>
  <c r="K19" i="22"/>
  <c r="I18" i="22"/>
  <c r="K18" i="22" s="1"/>
  <c r="I10" i="22"/>
  <c r="I9" i="22"/>
  <c r="D8" i="22"/>
  <c r="C48" i="10"/>
  <c r="E49" i="10"/>
  <c r="D55" i="4" l="1"/>
  <c r="L19" i="22"/>
  <c r="E55" i="4" s="1"/>
  <c r="AF51" i="22"/>
  <c r="X62" i="22"/>
  <c r="X47" i="22"/>
  <c r="Z53" i="22"/>
  <c r="Z46" i="22" s="1"/>
  <c r="Y61" i="22"/>
  <c r="M6" i="4" s="1"/>
  <c r="M27" i="4" s="1"/>
  <c r="I48" i="10"/>
  <c r="E8" i="22"/>
  <c r="D16" i="22"/>
  <c r="J40" i="1"/>
  <c r="Q4" i="19"/>
  <c r="P4" i="19"/>
  <c r="O4" i="19"/>
  <c r="N4" i="19"/>
  <c r="M4" i="19"/>
  <c r="AG51" i="22" l="1"/>
  <c r="Y62" i="22"/>
  <c r="Y47" i="22"/>
  <c r="AA53" i="22"/>
  <c r="AA46" i="22" s="1"/>
  <c r="Z61" i="22"/>
  <c r="N6" i="4" s="1"/>
  <c r="N27" i="4" s="1"/>
  <c r="F8" i="22"/>
  <c r="E16" i="22"/>
  <c r="I45" i="10"/>
  <c r="E2" i="1"/>
  <c r="G21" i="10"/>
  <c r="F21" i="10"/>
  <c r="E21" i="10"/>
  <c r="D21" i="10"/>
  <c r="C77" i="17"/>
  <c r="F53" i="1" s="1"/>
  <c r="D77" i="17"/>
  <c r="F52" i="1" s="1"/>
  <c r="E77" i="17"/>
  <c r="F51" i="1" s="1"/>
  <c r="F77" i="17"/>
  <c r="F50" i="1" s="1"/>
  <c r="G77" i="17"/>
  <c r="F49" i="1" s="1"/>
  <c r="H77" i="17"/>
  <c r="F48" i="1" s="1"/>
  <c r="I77" i="17"/>
  <c r="F47" i="1" s="1"/>
  <c r="J77" i="17"/>
  <c r="F46" i="1" s="1"/>
  <c r="K77" i="17"/>
  <c r="L77" i="17"/>
  <c r="M77" i="17"/>
  <c r="F54" i="1"/>
  <c r="AH51" i="22" l="1"/>
  <c r="Z62" i="22"/>
  <c r="Z47" i="22"/>
  <c r="AB53" i="22"/>
  <c r="AB46" i="22" s="1"/>
  <c r="AA61" i="22"/>
  <c r="O6" i="4" s="1"/>
  <c r="O27" i="4" s="1"/>
  <c r="G8" i="22"/>
  <c r="G16" i="22" s="1"/>
  <c r="F16" i="22"/>
  <c r="C21" i="1" a="1"/>
  <c r="C21" i="1" s="1"/>
  <c r="C20" i="1" a="1"/>
  <c r="C20" i="1" s="1"/>
  <c r="D74" i="4" s="1"/>
  <c r="C7" i="10"/>
  <c r="AI51" i="22" l="1"/>
  <c r="AA62" i="22"/>
  <c r="AA47" i="22"/>
  <c r="AC53" i="22"/>
  <c r="AC46" i="22" s="1"/>
  <c r="AB61" i="22"/>
  <c r="P6" i="4" s="1"/>
  <c r="P27" i="4" s="1"/>
  <c r="C44" i="10" a="1"/>
  <c r="C44" i="10" s="1"/>
  <c r="H44" i="10" s="1"/>
  <c r="G107" i="1"/>
  <c r="L4" i="19"/>
  <c r="C9" i="10" a="1"/>
  <c r="C9" i="10" s="1"/>
  <c r="H9" i="10" s="1"/>
  <c r="D4" i="1" a="1"/>
  <c r="D4" i="1" s="1"/>
  <c r="E27" i="10"/>
  <c r="P9" i="19"/>
  <c r="P8" i="19"/>
  <c r="P7" i="19"/>
  <c r="P6" i="19"/>
  <c r="C23" i="17"/>
  <c r="D23" i="17"/>
  <c r="E23" i="17"/>
  <c r="F23" i="17"/>
  <c r="G23" i="17"/>
  <c r="H23" i="17"/>
  <c r="I23" i="17"/>
  <c r="J23" i="17"/>
  <c r="K23" i="17"/>
  <c r="L23" i="17"/>
  <c r="M23" i="17"/>
  <c r="D21" i="4"/>
  <c r="E21" i="4"/>
  <c r="F21" i="4"/>
  <c r="D24" i="4"/>
  <c r="AJ51" i="22" l="1"/>
  <c r="AB62" i="22"/>
  <c r="AB47" i="22"/>
  <c r="AD53" i="22"/>
  <c r="AD46" i="22" s="1"/>
  <c r="AC61" i="22"/>
  <c r="Q6" i="4" s="1"/>
  <c r="Q27" i="4" s="1"/>
  <c r="C43" i="10"/>
  <c r="C42" i="10"/>
  <c r="H42" i="10" s="1"/>
  <c r="E27" i="4"/>
  <c r="F27" i="4"/>
  <c r="H43" i="10" l="1"/>
  <c r="I43" i="10" s="1"/>
  <c r="AK51" i="22"/>
  <c r="AC62" i="22"/>
  <c r="AC47" i="22"/>
  <c r="AE53" i="22"/>
  <c r="AE46" i="22" s="1"/>
  <c r="AD61" i="22"/>
  <c r="R6" i="4" s="1"/>
  <c r="R27" i="4" s="1"/>
  <c r="K75" i="17"/>
  <c r="L75" i="17"/>
  <c r="M75" i="17"/>
  <c r="J75" i="17"/>
  <c r="F31" i="4"/>
  <c r="E67" i="17"/>
  <c r="M63" i="17"/>
  <c r="E63" i="17"/>
  <c r="F63" i="17"/>
  <c r="G63" i="17"/>
  <c r="H63" i="17"/>
  <c r="I63" i="17"/>
  <c r="J63" i="17"/>
  <c r="F28" i="1"/>
  <c r="F29" i="1"/>
  <c r="F30" i="1"/>
  <c r="F27" i="1"/>
  <c r="F21" i="1"/>
  <c r="D28" i="4"/>
  <c r="E28" i="4"/>
  <c r="F28" i="4"/>
  <c r="F25" i="4"/>
  <c r="AL51" i="22" l="1"/>
  <c r="AD62" i="22"/>
  <c r="AD47" i="22"/>
  <c r="AF53" i="22"/>
  <c r="AF46" i="22" s="1"/>
  <c r="AE61" i="22"/>
  <c r="S6" i="4" s="1"/>
  <c r="S27" i="4" s="1"/>
  <c r="AM51" i="22" l="1"/>
  <c r="AE62" i="22"/>
  <c r="AE47" i="22"/>
  <c r="AG53" i="22"/>
  <c r="AG46" i="22" s="1"/>
  <c r="AF61" i="22"/>
  <c r="T6" i="4" s="1"/>
  <c r="T27" i="4" s="1"/>
  <c r="G10" i="4"/>
  <c r="E75" i="17"/>
  <c r="F75" i="17"/>
  <c r="G75" i="17"/>
  <c r="H75" i="17"/>
  <c r="I75" i="17"/>
  <c r="E36" i="17"/>
  <c r="F46" i="17"/>
  <c r="C32" i="17"/>
  <c r="K50" i="17"/>
  <c r="D75" i="17"/>
  <c r="D31" i="4" s="1"/>
  <c r="C75" i="17"/>
  <c r="E31" i="4" s="1"/>
  <c r="D63" i="17"/>
  <c r="I22" i="17"/>
  <c r="K22" i="17"/>
  <c r="C8" i="19"/>
  <c r="M6" i="19"/>
  <c r="N6" i="19"/>
  <c r="O6" i="19"/>
  <c r="Q6" i="19"/>
  <c r="M7" i="19"/>
  <c r="N7" i="19"/>
  <c r="O7" i="19"/>
  <c r="Q7" i="19"/>
  <c r="M8" i="19"/>
  <c r="N8" i="19"/>
  <c r="O8" i="19"/>
  <c r="Q8" i="19"/>
  <c r="M9" i="19"/>
  <c r="N9" i="19"/>
  <c r="O9" i="19"/>
  <c r="Q9" i="19"/>
  <c r="L7" i="19"/>
  <c r="L8" i="19"/>
  <c r="L9" i="19"/>
  <c r="E11" i="4"/>
  <c r="D11" i="4"/>
  <c r="C63" i="17"/>
  <c r="D67" i="17"/>
  <c r="D25" i="4" s="1"/>
  <c r="AN51" i="22" l="1"/>
  <c r="AF62" i="22"/>
  <c r="AF47" i="22"/>
  <c r="AH53" i="22"/>
  <c r="AH46" i="22" s="1"/>
  <c r="AG61" i="22"/>
  <c r="U6" i="4" s="1"/>
  <c r="U27" i="4" s="1"/>
  <c r="G39" i="4"/>
  <c r="G38" i="4"/>
  <c r="R8" i="19"/>
  <c r="R7" i="19"/>
  <c r="R6" i="19"/>
  <c r="R9" i="19"/>
  <c r="H4" i="4"/>
  <c r="I4" i="4" s="1"/>
  <c r="J4" i="4" s="1"/>
  <c r="K4" i="4" s="1"/>
  <c r="L4" i="4" s="1"/>
  <c r="M4" i="4" s="1"/>
  <c r="N4" i="4" s="1"/>
  <c r="O4" i="4" s="1"/>
  <c r="P4" i="4" s="1"/>
  <c r="Q4" i="4" s="1"/>
  <c r="R4" i="4" s="1"/>
  <c r="S4" i="4" s="1"/>
  <c r="T4" i="4" s="1"/>
  <c r="U4" i="4" s="1"/>
  <c r="V4" i="4" s="1"/>
  <c r="W4" i="4" s="1"/>
  <c r="X4" i="4" s="1"/>
  <c r="Y4" i="4" s="1"/>
  <c r="Z4" i="4" s="1"/>
  <c r="AA4" i="4" s="1"/>
  <c r="AB4" i="4" s="1"/>
  <c r="AC4" i="4" s="1"/>
  <c r="AD4" i="4" s="1"/>
  <c r="AE4" i="4" s="1"/>
  <c r="AF4" i="4" s="1"/>
  <c r="D46" i="10"/>
  <c r="G46" i="10"/>
  <c r="G27" i="10"/>
  <c r="D10" i="10"/>
  <c r="D49" i="10" s="1"/>
  <c r="F10" i="10"/>
  <c r="F49" i="10" s="1"/>
  <c r="G10" i="10"/>
  <c r="G49" i="10" s="1"/>
  <c r="D12" i="10"/>
  <c r="E12" i="10"/>
  <c r="F12" i="10"/>
  <c r="G12" i="10"/>
  <c r="D13" i="10"/>
  <c r="F13" i="10"/>
  <c r="G13" i="10"/>
  <c r="D14" i="10"/>
  <c r="E14" i="10"/>
  <c r="F14" i="10"/>
  <c r="G14" i="10"/>
  <c r="D15" i="10"/>
  <c r="D84" i="10" s="1"/>
  <c r="E15" i="10"/>
  <c r="F15" i="10"/>
  <c r="G15" i="10"/>
  <c r="D16" i="10"/>
  <c r="D79" i="10" s="1"/>
  <c r="E16" i="10"/>
  <c r="F16" i="10"/>
  <c r="G16" i="10"/>
  <c r="D19" i="10"/>
  <c r="E19" i="10"/>
  <c r="F19" i="10"/>
  <c r="G19" i="10"/>
  <c r="D20" i="10"/>
  <c r="E20" i="10"/>
  <c r="F20" i="10"/>
  <c r="G20" i="10"/>
  <c r="D23" i="10"/>
  <c r="E23" i="10"/>
  <c r="F23" i="10"/>
  <c r="G23" i="10"/>
  <c r="D24" i="10"/>
  <c r="E24" i="10"/>
  <c r="F24" i="10"/>
  <c r="G24" i="10"/>
  <c r="D26" i="10"/>
  <c r="E26" i="10"/>
  <c r="F26" i="10"/>
  <c r="G26" i="10"/>
  <c r="D27" i="10"/>
  <c r="F27" i="10"/>
  <c r="D28" i="10"/>
  <c r="E28" i="10"/>
  <c r="F28" i="10"/>
  <c r="G28" i="10"/>
  <c r="D29" i="10"/>
  <c r="E29" i="10"/>
  <c r="F29" i="10"/>
  <c r="G29" i="10"/>
  <c r="E30" i="10"/>
  <c r="F30" i="10"/>
  <c r="G30" i="10"/>
  <c r="D32" i="10"/>
  <c r="E32" i="10"/>
  <c r="F32" i="10"/>
  <c r="G32" i="10"/>
  <c r="D33" i="10"/>
  <c r="E33" i="10"/>
  <c r="F33" i="10"/>
  <c r="G33" i="10"/>
  <c r="D34" i="10"/>
  <c r="E34" i="10"/>
  <c r="F34" i="10"/>
  <c r="G34" i="10"/>
  <c r="C39" i="10"/>
  <c r="C38" i="10"/>
  <c r="C51" i="10"/>
  <c r="H8" i="10"/>
  <c r="C71" i="10"/>
  <c r="C70" i="10"/>
  <c r="C67" i="10"/>
  <c r="B13" i="3"/>
  <c r="E21" i="3"/>
  <c r="E11" i="3"/>
  <c r="F11" i="3"/>
  <c r="G11" i="3"/>
  <c r="H11" i="3"/>
  <c r="I11" i="3"/>
  <c r="K15" i="3"/>
  <c r="L15" i="3" s="1"/>
  <c r="M15" i="3" s="1"/>
  <c r="N15" i="3" s="1"/>
  <c r="O15" i="3" s="1"/>
  <c r="L4" i="3"/>
  <c r="M4" i="3" s="1"/>
  <c r="N4" i="3" s="1"/>
  <c r="O4" i="3" s="1"/>
  <c r="E15" i="3"/>
  <c r="F15" i="3" s="1"/>
  <c r="G15" i="3" s="1"/>
  <c r="H15" i="3" s="1"/>
  <c r="I15" i="3" s="1"/>
  <c r="E4" i="3"/>
  <c r="F4" i="3" s="1"/>
  <c r="G4" i="3" s="1"/>
  <c r="H4" i="3" s="1"/>
  <c r="I4" i="3" s="1"/>
  <c r="M84" i="16"/>
  <c r="L84" i="16"/>
  <c r="K84" i="16"/>
  <c r="J84" i="16"/>
  <c r="I84" i="16"/>
  <c r="H84" i="16"/>
  <c r="G84" i="16"/>
  <c r="F84" i="16"/>
  <c r="E84" i="16"/>
  <c r="D84" i="16"/>
  <c r="C84" i="16"/>
  <c r="B84" i="16"/>
  <c r="M83" i="16"/>
  <c r="L83" i="16"/>
  <c r="K83" i="16"/>
  <c r="J83" i="16"/>
  <c r="I83" i="16"/>
  <c r="H83" i="16"/>
  <c r="G83" i="16"/>
  <c r="F83" i="16"/>
  <c r="E83" i="16"/>
  <c r="D83" i="16"/>
  <c r="C83" i="16"/>
  <c r="B83" i="16"/>
  <c r="M82" i="16"/>
  <c r="L82" i="16"/>
  <c r="K82" i="16"/>
  <c r="J82" i="16"/>
  <c r="I82" i="16"/>
  <c r="H82" i="16"/>
  <c r="G82" i="16"/>
  <c r="F82" i="16"/>
  <c r="E82" i="16"/>
  <c r="D82" i="16"/>
  <c r="C82" i="16"/>
  <c r="B82" i="16"/>
  <c r="M80" i="16"/>
  <c r="L80" i="16"/>
  <c r="K80" i="16"/>
  <c r="J80" i="16"/>
  <c r="I80" i="16"/>
  <c r="H80" i="16"/>
  <c r="G80" i="16"/>
  <c r="F80" i="16"/>
  <c r="E80" i="16"/>
  <c r="D80" i="16"/>
  <c r="C80" i="16"/>
  <c r="B80" i="16"/>
  <c r="M79" i="16"/>
  <c r="L79" i="16"/>
  <c r="K79" i="16"/>
  <c r="J79" i="16"/>
  <c r="I79" i="16"/>
  <c r="H79" i="16"/>
  <c r="G79" i="16"/>
  <c r="F79" i="16"/>
  <c r="E79" i="16"/>
  <c r="D79" i="16"/>
  <c r="C79" i="16"/>
  <c r="B79" i="16"/>
  <c r="B23" i="16"/>
  <c r="M72" i="16"/>
  <c r="L72" i="16"/>
  <c r="K72" i="16"/>
  <c r="J72" i="16"/>
  <c r="I72" i="16"/>
  <c r="H72" i="16"/>
  <c r="G72" i="16"/>
  <c r="F72" i="16"/>
  <c r="E72" i="16"/>
  <c r="D72" i="16"/>
  <c r="C72" i="16"/>
  <c r="B72" i="16"/>
  <c r="M94" i="16"/>
  <c r="L94" i="16"/>
  <c r="K94" i="16"/>
  <c r="J94" i="16"/>
  <c r="I94" i="16"/>
  <c r="H94" i="16"/>
  <c r="G94" i="16"/>
  <c r="F94" i="16"/>
  <c r="E94" i="16"/>
  <c r="D94" i="16"/>
  <c r="C94" i="16"/>
  <c r="B94" i="16"/>
  <c r="M93" i="16"/>
  <c r="L93" i="16"/>
  <c r="K93" i="16"/>
  <c r="J93" i="16"/>
  <c r="I93" i="16"/>
  <c r="H93" i="16"/>
  <c r="G93" i="16"/>
  <c r="F93" i="16"/>
  <c r="E93" i="16"/>
  <c r="D93" i="16"/>
  <c r="C93" i="16"/>
  <c r="B93" i="16"/>
  <c r="M92" i="16"/>
  <c r="L92" i="16"/>
  <c r="K92" i="16"/>
  <c r="J92" i="16"/>
  <c r="I92" i="16"/>
  <c r="H92" i="16"/>
  <c r="G92" i="16"/>
  <c r="F92" i="16"/>
  <c r="E92" i="16"/>
  <c r="D92" i="16"/>
  <c r="C92" i="16"/>
  <c r="M91" i="16"/>
  <c r="L91" i="16"/>
  <c r="K91" i="16"/>
  <c r="J91" i="16"/>
  <c r="I91" i="16"/>
  <c r="H91" i="16"/>
  <c r="G91" i="16"/>
  <c r="F91" i="16"/>
  <c r="E91" i="16"/>
  <c r="D91" i="16"/>
  <c r="C91" i="16"/>
  <c r="M90" i="16"/>
  <c r="L90" i="16"/>
  <c r="K90" i="16"/>
  <c r="J90" i="16"/>
  <c r="I90" i="16"/>
  <c r="H90" i="16"/>
  <c r="G90" i="16"/>
  <c r="F90" i="16"/>
  <c r="E90" i="16"/>
  <c r="D90" i="16"/>
  <c r="C90" i="16"/>
  <c r="M89" i="16"/>
  <c r="L89" i="16"/>
  <c r="K89" i="16"/>
  <c r="J89" i="16"/>
  <c r="I89" i="16"/>
  <c r="H89" i="16"/>
  <c r="G89" i="16"/>
  <c r="F89" i="16"/>
  <c r="E89" i="16"/>
  <c r="D89" i="16"/>
  <c r="C89" i="16"/>
  <c r="B89" i="16"/>
  <c r="M88" i="16"/>
  <c r="L88" i="16"/>
  <c r="K88" i="16"/>
  <c r="J88" i="16"/>
  <c r="I88" i="16"/>
  <c r="H88" i="16"/>
  <c r="G88" i="16"/>
  <c r="F88" i="16"/>
  <c r="E88" i="16"/>
  <c r="D88" i="16"/>
  <c r="C88" i="16"/>
  <c r="B88" i="16"/>
  <c r="M62" i="16"/>
  <c r="L62" i="16"/>
  <c r="J62" i="16"/>
  <c r="I62" i="16"/>
  <c r="H62" i="16"/>
  <c r="G62" i="16"/>
  <c r="F62" i="16"/>
  <c r="E62" i="16"/>
  <c r="D62" i="16"/>
  <c r="B62" i="16"/>
  <c r="C58" i="16"/>
  <c r="D58" i="16"/>
  <c r="E58" i="16"/>
  <c r="F58" i="16"/>
  <c r="G58" i="16"/>
  <c r="H58" i="16"/>
  <c r="I58" i="16"/>
  <c r="J58" i="16"/>
  <c r="K58" i="16"/>
  <c r="L58" i="16"/>
  <c r="M58" i="16"/>
  <c r="B58" i="16"/>
  <c r="M64" i="16"/>
  <c r="L64" i="16"/>
  <c r="K64" i="16"/>
  <c r="J64" i="16"/>
  <c r="I64" i="16"/>
  <c r="H64" i="16"/>
  <c r="G64" i="16"/>
  <c r="F64" i="16"/>
  <c r="E64" i="16"/>
  <c r="D64" i="16"/>
  <c r="C64" i="16"/>
  <c r="B64" i="16"/>
  <c r="M63" i="16"/>
  <c r="L63" i="16"/>
  <c r="K63" i="16"/>
  <c r="J63" i="16"/>
  <c r="I63" i="16"/>
  <c r="H63" i="16"/>
  <c r="G63" i="16"/>
  <c r="F63" i="16"/>
  <c r="E63" i="16"/>
  <c r="D63" i="16"/>
  <c r="C63" i="16"/>
  <c r="B63" i="16"/>
  <c r="M60" i="16"/>
  <c r="L60" i="16"/>
  <c r="K60" i="16"/>
  <c r="J60" i="16"/>
  <c r="I60" i="16"/>
  <c r="H60" i="16"/>
  <c r="G60" i="16"/>
  <c r="F60" i="16"/>
  <c r="E60" i="16"/>
  <c r="D60" i="16"/>
  <c r="C60" i="16"/>
  <c r="B60" i="16"/>
  <c r="M59" i="16"/>
  <c r="L59" i="16"/>
  <c r="K59" i="16"/>
  <c r="J59" i="16"/>
  <c r="I59" i="16"/>
  <c r="H59" i="16"/>
  <c r="G59" i="16"/>
  <c r="F59" i="16"/>
  <c r="E59" i="16"/>
  <c r="D59" i="16"/>
  <c r="C59" i="16"/>
  <c r="B59" i="16"/>
  <c r="B44" i="16"/>
  <c r="C69" i="10" s="1"/>
  <c r="M42" i="16"/>
  <c r="L42" i="16"/>
  <c r="K42" i="16"/>
  <c r="L168" i="22" s="1"/>
  <c r="J42" i="16"/>
  <c r="K168" i="22" s="1"/>
  <c r="I42" i="16"/>
  <c r="J168" i="22" s="1"/>
  <c r="H42" i="16"/>
  <c r="G42" i="16"/>
  <c r="H168" i="22" s="1"/>
  <c r="F42" i="16"/>
  <c r="G168" i="22" s="1"/>
  <c r="G17" i="22" s="1"/>
  <c r="E42" i="16"/>
  <c r="F168" i="22" s="1"/>
  <c r="F17" i="22" s="1"/>
  <c r="D42" i="16"/>
  <c r="C42" i="16"/>
  <c r="B42" i="16"/>
  <c r="M41" i="16"/>
  <c r="L41" i="16"/>
  <c r="K41" i="16"/>
  <c r="J41" i="16"/>
  <c r="I41" i="16"/>
  <c r="H41" i="16"/>
  <c r="G41" i="16"/>
  <c r="F41" i="16"/>
  <c r="E41" i="16"/>
  <c r="D41" i="16"/>
  <c r="C41" i="16"/>
  <c r="B41" i="16"/>
  <c r="M40" i="16"/>
  <c r="L40" i="16"/>
  <c r="K40" i="16"/>
  <c r="J40" i="16"/>
  <c r="I40" i="16"/>
  <c r="H40" i="16"/>
  <c r="G40" i="16"/>
  <c r="F40" i="16"/>
  <c r="E40" i="16"/>
  <c r="D40" i="16"/>
  <c r="C40" i="16"/>
  <c r="B40" i="16"/>
  <c r="M39" i="16"/>
  <c r="M26" i="16" s="1"/>
  <c r="L39" i="16"/>
  <c r="K39" i="16"/>
  <c r="J39" i="16"/>
  <c r="I39" i="16"/>
  <c r="H39" i="16"/>
  <c r="G39" i="16"/>
  <c r="F39" i="16"/>
  <c r="E39" i="16"/>
  <c r="D39" i="16"/>
  <c r="D43" i="4" s="1"/>
  <c r="C39" i="16"/>
  <c r="B39" i="16"/>
  <c r="C64" i="10" s="1"/>
  <c r="M33" i="16"/>
  <c r="L33" i="16"/>
  <c r="K33" i="16"/>
  <c r="J33" i="16"/>
  <c r="I33" i="16"/>
  <c r="H33" i="16"/>
  <c r="G33" i="16"/>
  <c r="F33" i="16"/>
  <c r="E33" i="16"/>
  <c r="D33" i="16"/>
  <c r="C33" i="16"/>
  <c r="B33" i="16"/>
  <c r="M32" i="16"/>
  <c r="L32" i="16"/>
  <c r="K32" i="16"/>
  <c r="J32" i="16"/>
  <c r="I32" i="16"/>
  <c r="H32" i="16"/>
  <c r="G32" i="16"/>
  <c r="F32" i="16"/>
  <c r="E32" i="16"/>
  <c r="D32" i="16"/>
  <c r="C32" i="16"/>
  <c r="B32" i="16"/>
  <c r="F23" i="4" s="1"/>
  <c r="M28" i="16"/>
  <c r="L28" i="16"/>
  <c r="K28" i="16"/>
  <c r="J28" i="16"/>
  <c r="I28" i="16"/>
  <c r="H28" i="16"/>
  <c r="G28" i="16"/>
  <c r="F28" i="16"/>
  <c r="E28" i="16"/>
  <c r="D28" i="16"/>
  <c r="C28" i="16"/>
  <c r="M27" i="16"/>
  <c r="L27" i="16"/>
  <c r="K27" i="16"/>
  <c r="J27" i="16"/>
  <c r="I27" i="16"/>
  <c r="H27" i="16"/>
  <c r="G27" i="16"/>
  <c r="F27" i="16"/>
  <c r="E27" i="16"/>
  <c r="D27" i="16"/>
  <c r="C27" i="16"/>
  <c r="B27" i="16"/>
  <c r="B35" i="16" s="1"/>
  <c r="B36" i="16" s="1"/>
  <c r="M23" i="16"/>
  <c r="L23" i="16"/>
  <c r="K23" i="16"/>
  <c r="J23" i="16"/>
  <c r="I23" i="16"/>
  <c r="H23" i="16"/>
  <c r="G23" i="16"/>
  <c r="F23" i="16"/>
  <c r="E23" i="16"/>
  <c r="D23" i="16"/>
  <c r="D17" i="4" s="1"/>
  <c r="D19" i="4" s="1"/>
  <c r="C23" i="16"/>
  <c r="E17" i="4" s="1"/>
  <c r="E19" i="4" s="1"/>
  <c r="E22" i="4" s="1"/>
  <c r="M21" i="16"/>
  <c r="L21" i="16"/>
  <c r="K21" i="16"/>
  <c r="L182" i="22" s="1"/>
  <c r="J21" i="16"/>
  <c r="K182" i="22" s="1"/>
  <c r="I21" i="16"/>
  <c r="J182" i="22" s="1"/>
  <c r="H21" i="16"/>
  <c r="I182" i="22" s="1"/>
  <c r="G21" i="16"/>
  <c r="H182" i="22" s="1"/>
  <c r="F21" i="16"/>
  <c r="G182" i="22" s="1"/>
  <c r="E21" i="16"/>
  <c r="F182" i="22" s="1"/>
  <c r="D21" i="16"/>
  <c r="E182" i="22" s="1"/>
  <c r="C21" i="16"/>
  <c r="D182" i="22" s="1"/>
  <c r="B21" i="16"/>
  <c r="M17" i="16"/>
  <c r="L17" i="16"/>
  <c r="K17" i="16"/>
  <c r="J17" i="16"/>
  <c r="I17" i="16"/>
  <c r="H17" i="16"/>
  <c r="G17" i="16"/>
  <c r="F17" i="16"/>
  <c r="E17" i="16"/>
  <c r="D17" i="16"/>
  <c r="C17" i="16"/>
  <c r="B17" i="16"/>
  <c r="M15" i="16"/>
  <c r="L15" i="16"/>
  <c r="K15" i="16"/>
  <c r="J15" i="16"/>
  <c r="I15" i="16"/>
  <c r="H15" i="16"/>
  <c r="G15" i="16"/>
  <c r="F15" i="16"/>
  <c r="E15" i="16"/>
  <c r="D15" i="16"/>
  <c r="D14" i="4" s="1"/>
  <c r="C15" i="16"/>
  <c r="E14" i="4" s="1"/>
  <c r="B15" i="16"/>
  <c r="F14" i="4" s="1"/>
  <c r="M14" i="16"/>
  <c r="L14" i="16"/>
  <c r="K14" i="16"/>
  <c r="L180" i="22" s="1"/>
  <c r="J14" i="16"/>
  <c r="K180" i="22" s="1"/>
  <c r="I14" i="16"/>
  <c r="J180" i="22" s="1"/>
  <c r="H14" i="16"/>
  <c r="I180" i="22" s="1"/>
  <c r="G14" i="16"/>
  <c r="H180" i="22" s="1"/>
  <c r="F14" i="16"/>
  <c r="G180" i="22" s="1"/>
  <c r="E14" i="16"/>
  <c r="F180" i="22" s="1"/>
  <c r="D14" i="16"/>
  <c r="C14" i="16"/>
  <c r="B14" i="16"/>
  <c r="C180" i="22" s="1"/>
  <c r="C11" i="16"/>
  <c r="D179" i="22" s="1"/>
  <c r="D11" i="16"/>
  <c r="E11" i="16"/>
  <c r="F179" i="22" s="1"/>
  <c r="F11" i="16"/>
  <c r="G179" i="22" s="1"/>
  <c r="G11" i="16"/>
  <c r="H179" i="22" s="1"/>
  <c r="H11" i="16"/>
  <c r="I179" i="22" s="1"/>
  <c r="I11" i="16"/>
  <c r="J179" i="22" s="1"/>
  <c r="J11" i="16"/>
  <c r="K179" i="22" s="1"/>
  <c r="K11" i="16"/>
  <c r="L179" i="22" s="1"/>
  <c r="L11" i="16"/>
  <c r="M11" i="16"/>
  <c r="B11" i="16"/>
  <c r="C179" i="22" s="1"/>
  <c r="C7" i="16"/>
  <c r="D7" i="16"/>
  <c r="E7" i="16"/>
  <c r="F7" i="16"/>
  <c r="G7" i="16"/>
  <c r="H7" i="16"/>
  <c r="I7" i="16"/>
  <c r="J7" i="16"/>
  <c r="K7" i="16"/>
  <c r="L7" i="16"/>
  <c r="M7" i="16"/>
  <c r="B7" i="16"/>
  <c r="M5" i="16"/>
  <c r="L5" i="16"/>
  <c r="K5" i="16"/>
  <c r="J5" i="16"/>
  <c r="I5" i="16"/>
  <c r="H5" i="16"/>
  <c r="G5" i="16"/>
  <c r="F5" i="16"/>
  <c r="E5" i="16"/>
  <c r="D5" i="16"/>
  <c r="C5" i="16"/>
  <c r="B5" i="16"/>
  <c r="M13" i="17"/>
  <c r="L13" i="17"/>
  <c r="K13" i="17"/>
  <c r="J13" i="17"/>
  <c r="I13" i="17"/>
  <c r="H13" i="17"/>
  <c r="G13" i="17"/>
  <c r="F13" i="17"/>
  <c r="E13" i="17"/>
  <c r="D78" i="16"/>
  <c r="E78" i="16"/>
  <c r="F78" i="16"/>
  <c r="G78" i="16"/>
  <c r="H78" i="16"/>
  <c r="I78" i="16"/>
  <c r="K78" i="16"/>
  <c r="M81" i="16"/>
  <c r="L81" i="16"/>
  <c r="K81" i="16"/>
  <c r="J81" i="16"/>
  <c r="I81" i="16"/>
  <c r="H81" i="16"/>
  <c r="G81" i="16"/>
  <c r="F81" i="16"/>
  <c r="E81" i="16"/>
  <c r="D81" i="16"/>
  <c r="C81" i="16"/>
  <c r="B81" i="16"/>
  <c r="B77" i="16"/>
  <c r="M85" i="16"/>
  <c r="L85" i="16"/>
  <c r="K85" i="16"/>
  <c r="J85" i="16"/>
  <c r="I85" i="16"/>
  <c r="H85" i="16"/>
  <c r="G85" i="16"/>
  <c r="F85" i="16"/>
  <c r="E85" i="16"/>
  <c r="D85" i="16"/>
  <c r="C85" i="16"/>
  <c r="M77" i="16"/>
  <c r="J77" i="16"/>
  <c r="I77" i="16"/>
  <c r="H77" i="16"/>
  <c r="G77" i="16"/>
  <c r="F77" i="16"/>
  <c r="E77" i="16"/>
  <c r="D77" i="16"/>
  <c r="C77" i="16"/>
  <c r="C36" i="17"/>
  <c r="C31" i="17"/>
  <c r="D31" i="17"/>
  <c r="E31" i="17"/>
  <c r="F31" i="17"/>
  <c r="G31" i="17"/>
  <c r="H31" i="17"/>
  <c r="I31" i="17"/>
  <c r="J31" i="17"/>
  <c r="K31" i="17"/>
  <c r="L31" i="17"/>
  <c r="M31" i="17"/>
  <c r="C44" i="16"/>
  <c r="B66" i="16"/>
  <c r="D50" i="17"/>
  <c r="D65" i="16" s="1"/>
  <c r="E50" i="17"/>
  <c r="E65" i="16" s="1"/>
  <c r="F50" i="17"/>
  <c r="F65" i="16" s="1"/>
  <c r="G50" i="17"/>
  <c r="H50" i="17"/>
  <c r="I50" i="17"/>
  <c r="J50" i="17"/>
  <c r="L50" i="17"/>
  <c r="M50" i="17"/>
  <c r="M65" i="16" s="1"/>
  <c r="B65" i="16"/>
  <c r="C46" i="17"/>
  <c r="C61" i="16" s="1"/>
  <c r="D46" i="17"/>
  <c r="D61" i="16" s="1"/>
  <c r="E46" i="17"/>
  <c r="G46" i="17"/>
  <c r="H46" i="17"/>
  <c r="I46" i="17"/>
  <c r="J46" i="17"/>
  <c r="J61" i="16" s="1"/>
  <c r="K46" i="17"/>
  <c r="L46" i="17"/>
  <c r="M46" i="17"/>
  <c r="B61" i="16"/>
  <c r="AB38" i="17"/>
  <c r="I167" i="22" l="1"/>
  <c r="I168" i="22" s="1"/>
  <c r="J181" i="22"/>
  <c r="J183" i="22" s="1"/>
  <c r="K181" i="22"/>
  <c r="K183" i="22" s="1"/>
  <c r="C181" i="22"/>
  <c r="D168" i="22"/>
  <c r="D17" i="22" s="1"/>
  <c r="E168" i="22"/>
  <c r="E17" i="22" s="1"/>
  <c r="C68" i="10"/>
  <c r="C168" i="22"/>
  <c r="C17" i="22" s="1"/>
  <c r="I17" i="22" s="1"/>
  <c r="D53" i="4" s="1"/>
  <c r="L181" i="22"/>
  <c r="L183" i="22" s="1"/>
  <c r="H181" i="22"/>
  <c r="H183" i="22" s="1"/>
  <c r="G181" i="22"/>
  <c r="G183" i="22" s="1"/>
  <c r="F181" i="22"/>
  <c r="F183" i="22" s="1"/>
  <c r="D8" i="4"/>
  <c r="D7" i="4" s="1"/>
  <c r="E179" i="22"/>
  <c r="E13" i="4"/>
  <c r="D180" i="22"/>
  <c r="D181" i="22" s="1"/>
  <c r="D183" i="22" s="1"/>
  <c r="D13" i="4"/>
  <c r="E180" i="22"/>
  <c r="C20" i="22"/>
  <c r="C182" i="22"/>
  <c r="I181" i="22"/>
  <c r="I183" i="22" s="1"/>
  <c r="AO51" i="22"/>
  <c r="AG62" i="22"/>
  <c r="AG47" i="22"/>
  <c r="AI53" i="22"/>
  <c r="AI46" i="22" s="1"/>
  <c r="AH61" i="22"/>
  <c r="V6" i="4" s="1"/>
  <c r="V27" i="4" s="1"/>
  <c r="I20" i="3"/>
  <c r="I19" i="3"/>
  <c r="I18" i="3"/>
  <c r="I17" i="3"/>
  <c r="I16" i="3"/>
  <c r="I21" i="3" s="1"/>
  <c r="H20" i="3"/>
  <c r="H19" i="3"/>
  <c r="O19" i="3" s="1"/>
  <c r="H18" i="3"/>
  <c r="H17" i="3"/>
  <c r="H16" i="3"/>
  <c r="G20" i="3"/>
  <c r="G19" i="3"/>
  <c r="G18" i="3"/>
  <c r="G17" i="3"/>
  <c r="G16" i="3"/>
  <c r="AH7" i="22" a="1"/>
  <c r="AH7" i="22" s="1"/>
  <c r="AI8" i="22" a="1"/>
  <c r="AI8" i="22" s="1"/>
  <c r="H31" i="1"/>
  <c r="H29" i="1"/>
  <c r="B68" i="16"/>
  <c r="E16" i="4"/>
  <c r="D20" i="22"/>
  <c r="D16" i="4"/>
  <c r="E20" i="22"/>
  <c r="F20" i="22"/>
  <c r="G20" i="22"/>
  <c r="E8" i="4"/>
  <c r="E7" i="4" s="1"/>
  <c r="C61" i="10"/>
  <c r="H27" i="1"/>
  <c r="C37" i="17"/>
  <c r="D29" i="4"/>
  <c r="D30" i="4"/>
  <c r="E30" i="4"/>
  <c r="E29" i="4"/>
  <c r="F30" i="4"/>
  <c r="C60" i="10"/>
  <c r="F16" i="4"/>
  <c r="F29" i="4"/>
  <c r="H10" i="4"/>
  <c r="G46" i="4"/>
  <c r="F45" i="4"/>
  <c r="F46" i="4"/>
  <c r="F47" i="4"/>
  <c r="H16" i="16"/>
  <c r="L68" i="16"/>
  <c r="M68" i="16"/>
  <c r="I68" i="16"/>
  <c r="J68" i="16"/>
  <c r="K68" i="16"/>
  <c r="E23" i="4"/>
  <c r="E24" i="4"/>
  <c r="F24" i="4"/>
  <c r="C65" i="10"/>
  <c r="C24" i="10" s="1"/>
  <c r="H24" i="10" s="1"/>
  <c r="C66" i="10"/>
  <c r="K47" i="4"/>
  <c r="O47" i="4"/>
  <c r="S47" i="4"/>
  <c r="W47" i="4"/>
  <c r="AA47" i="4"/>
  <c r="AE47" i="4"/>
  <c r="J46" i="4"/>
  <c r="N46" i="4"/>
  <c r="R46" i="4"/>
  <c r="V46" i="4"/>
  <c r="Z46" i="4"/>
  <c r="AD46" i="4"/>
  <c r="G47" i="4"/>
  <c r="K45" i="4"/>
  <c r="O45" i="4"/>
  <c r="S45" i="4"/>
  <c r="W45" i="4"/>
  <c r="AA45" i="4"/>
  <c r="AE45" i="4"/>
  <c r="M47" i="4"/>
  <c r="Y47" i="4"/>
  <c r="H46" i="4"/>
  <c r="P46" i="4"/>
  <c r="X46" i="4"/>
  <c r="AF46" i="4"/>
  <c r="M45" i="4"/>
  <c r="U45" i="4"/>
  <c r="AC45" i="4"/>
  <c r="J47" i="4"/>
  <c r="R47" i="4"/>
  <c r="Z47" i="4"/>
  <c r="AD47" i="4"/>
  <c r="M46" i="4"/>
  <c r="U46" i="4"/>
  <c r="AC46" i="4"/>
  <c r="J45" i="4"/>
  <c r="R45" i="4"/>
  <c r="Z45" i="4"/>
  <c r="H47" i="4"/>
  <c r="L47" i="4"/>
  <c r="P47" i="4"/>
  <c r="T47" i="4"/>
  <c r="X47" i="4"/>
  <c r="AB47" i="4"/>
  <c r="AF47" i="4"/>
  <c r="K46" i="4"/>
  <c r="O46" i="4"/>
  <c r="S46" i="4"/>
  <c r="W46" i="4"/>
  <c r="AA46" i="4"/>
  <c r="AE46" i="4"/>
  <c r="H45" i="4"/>
  <c r="L45" i="4"/>
  <c r="P45" i="4"/>
  <c r="T45" i="4"/>
  <c r="X45" i="4"/>
  <c r="AB45" i="4"/>
  <c r="AF45" i="4"/>
  <c r="I47" i="4"/>
  <c r="Q47" i="4"/>
  <c r="U47" i="4"/>
  <c r="AC47" i="4"/>
  <c r="L46" i="4"/>
  <c r="T46" i="4"/>
  <c r="AB46" i="4"/>
  <c r="I45" i="4"/>
  <c r="Q45" i="4"/>
  <c r="Y45" i="4"/>
  <c r="G45" i="4"/>
  <c r="N47" i="4"/>
  <c r="V47" i="4"/>
  <c r="I46" i="4"/>
  <c r="Q46" i="4"/>
  <c r="Y46" i="4"/>
  <c r="N45" i="4"/>
  <c r="V45" i="4"/>
  <c r="AD45" i="4"/>
  <c r="H12" i="16"/>
  <c r="C55" i="10"/>
  <c r="D23" i="4"/>
  <c r="E61" i="16"/>
  <c r="C53" i="10"/>
  <c r="C54" i="10"/>
  <c r="D68" i="16"/>
  <c r="C68" i="16"/>
  <c r="G68" i="16"/>
  <c r="F68" i="16"/>
  <c r="E68" i="16"/>
  <c r="C59" i="10"/>
  <c r="F13" i="4"/>
  <c r="C58" i="10"/>
  <c r="C86" i="10" s="1"/>
  <c r="F8" i="4"/>
  <c r="M11" i="3"/>
  <c r="L11" i="3"/>
  <c r="K21" i="3"/>
  <c r="N11" i="3"/>
  <c r="O11" i="3"/>
  <c r="H30" i="1"/>
  <c r="C23" i="10"/>
  <c r="H23" i="10" s="1"/>
  <c r="D13" i="17"/>
  <c r="D14" i="17" s="1"/>
  <c r="C13" i="17"/>
  <c r="F17" i="4"/>
  <c r="F19" i="4" s="1"/>
  <c r="F22" i="4" s="1"/>
  <c r="E5" i="4"/>
  <c r="C24" i="1"/>
  <c r="H68" i="16"/>
  <c r="C56" i="10"/>
  <c r="E8" i="16"/>
  <c r="G8" i="16"/>
  <c r="M24" i="16"/>
  <c r="M25" i="16" s="1"/>
  <c r="L61" i="16"/>
  <c r="I16" i="16"/>
  <c r="L65" i="16"/>
  <c r="F61" i="16"/>
  <c r="L22" i="16"/>
  <c r="M61" i="16"/>
  <c r="K16" i="16"/>
  <c r="C16" i="16"/>
  <c r="E16" i="16"/>
  <c r="M16" i="16"/>
  <c r="F24" i="16"/>
  <c r="B8" i="16"/>
  <c r="J24" i="16"/>
  <c r="H65" i="16"/>
  <c r="G24" i="16"/>
  <c r="M8" i="16"/>
  <c r="G22" i="16"/>
  <c r="C24" i="16"/>
  <c r="K24" i="16"/>
  <c r="I65" i="16"/>
  <c r="L8" i="16"/>
  <c r="D8" i="16"/>
  <c r="J65" i="16"/>
  <c r="I8" i="16"/>
  <c r="K8" i="16"/>
  <c r="C8" i="16"/>
  <c r="F8" i="16"/>
  <c r="G16" i="16"/>
  <c r="G61" i="16"/>
  <c r="G65" i="16"/>
  <c r="E22" i="16"/>
  <c r="E24" i="16"/>
  <c r="B16" i="16"/>
  <c r="H61" i="16"/>
  <c r="J16" i="16"/>
  <c r="I61" i="16"/>
  <c r="I12" i="16"/>
  <c r="B24" i="16"/>
  <c r="J8" i="16"/>
  <c r="F12" i="16"/>
  <c r="B19" i="16"/>
  <c r="K61" i="16"/>
  <c r="C22" i="16"/>
  <c r="K22" i="16"/>
  <c r="D22" i="16"/>
  <c r="L24" i="16"/>
  <c r="L16" i="16"/>
  <c r="D12" i="16"/>
  <c r="H8" i="16"/>
  <c r="G12" i="16"/>
  <c r="D16" i="16"/>
  <c r="F22" i="16"/>
  <c r="D24" i="16"/>
  <c r="J12" i="16"/>
  <c r="F16" i="16"/>
  <c r="I22" i="16"/>
  <c r="H22" i="16"/>
  <c r="K12" i="16"/>
  <c r="C12" i="16"/>
  <c r="L12" i="16"/>
  <c r="B22" i="16"/>
  <c r="J22" i="16"/>
  <c r="M12" i="16"/>
  <c r="M13" i="16" s="1"/>
  <c r="M22" i="16"/>
  <c r="E12" i="16"/>
  <c r="H24" i="16"/>
  <c r="I24" i="16"/>
  <c r="B12" i="16"/>
  <c r="B2" i="3"/>
  <c r="C5" i="17"/>
  <c r="B4" i="16"/>
  <c r="L46" i="1"/>
  <c r="M46" i="1" s="1"/>
  <c r="B54" i="1"/>
  <c r="B53" i="1" s="1"/>
  <c r="B52" i="1" s="1"/>
  <c r="B51" i="1" s="1"/>
  <c r="B50" i="1" s="1"/>
  <c r="C12" i="19"/>
  <c r="C13" i="19"/>
  <c r="C14" i="19"/>
  <c r="C15" i="19"/>
  <c r="C16" i="19"/>
  <c r="C17" i="19"/>
  <c r="C18" i="19"/>
  <c r="C19" i="19"/>
  <c r="C20" i="19"/>
  <c r="C21" i="19"/>
  <c r="C22" i="19"/>
  <c r="C7" i="19"/>
  <c r="C9" i="19"/>
  <c r="C10" i="19"/>
  <c r="I39" i="10"/>
  <c r="M22" i="17"/>
  <c r="AD53" i="17"/>
  <c r="AC53" i="17"/>
  <c r="AD52" i="17"/>
  <c r="AC52" i="17"/>
  <c r="AG49" i="17"/>
  <c r="AG52" i="17" s="1"/>
  <c r="AF49" i="17"/>
  <c r="AE49" i="17"/>
  <c r="AB49" i="17"/>
  <c r="AB52" i="17" s="1"/>
  <c r="AA49" i="17"/>
  <c r="AA52" i="17" s="1"/>
  <c r="Z49" i="17"/>
  <c r="Z52" i="17" s="1"/>
  <c r="E56" i="17"/>
  <c r="AD48" i="17"/>
  <c r="AC48" i="17"/>
  <c r="AB48" i="17"/>
  <c r="AA48" i="17"/>
  <c r="Z48" i="17"/>
  <c r="AG44" i="17"/>
  <c r="AG48" i="17" s="1"/>
  <c r="AF44" i="17"/>
  <c r="AF48" i="17" s="1"/>
  <c r="AE44" i="17"/>
  <c r="AE48" i="17" s="1"/>
  <c r="AG39" i="17"/>
  <c r="AF39" i="17"/>
  <c r="AE39" i="17"/>
  <c r="AD39" i="17"/>
  <c r="AC39" i="17"/>
  <c r="AB31" i="17"/>
  <c r="AB39" i="17" s="1"/>
  <c r="AA31" i="17"/>
  <c r="AA39" i="17" s="1"/>
  <c r="Z31" i="17"/>
  <c r="Z39" i="17" s="1"/>
  <c r="M14" i="17"/>
  <c r="L14" i="17"/>
  <c r="K14" i="17"/>
  <c r="J14" i="17"/>
  <c r="I14" i="17"/>
  <c r="H14" i="17"/>
  <c r="G14" i="17"/>
  <c r="F14" i="17"/>
  <c r="E14" i="17"/>
  <c r="C14" i="17"/>
  <c r="AA25" i="17"/>
  <c r="O74" i="17"/>
  <c r="AE12" i="17"/>
  <c r="AG11" i="17"/>
  <c r="AF11" i="17"/>
  <c r="AE11" i="17"/>
  <c r="AD11" i="17"/>
  <c r="L22" i="17"/>
  <c r="H22" i="17"/>
  <c r="D22" i="17"/>
  <c r="J22" i="17"/>
  <c r="G22" i="17"/>
  <c r="F22" i="17"/>
  <c r="E22" i="17"/>
  <c r="C22" i="17"/>
  <c r="AG9" i="17"/>
  <c r="AF9" i="17"/>
  <c r="AD9" i="17"/>
  <c r="AC9" i="17"/>
  <c r="AB9" i="17"/>
  <c r="AA9" i="17"/>
  <c r="Z9" i="17"/>
  <c r="AG10" i="17"/>
  <c r="AF10" i="17"/>
  <c r="AE10" i="17"/>
  <c r="AD10" i="17"/>
  <c r="AC10" i="17"/>
  <c r="AB10" i="17"/>
  <c r="AA10" i="17"/>
  <c r="Z10" i="17"/>
  <c r="AG7" i="17"/>
  <c r="AG8" i="17" s="1"/>
  <c r="AF7" i="17"/>
  <c r="AF8" i="17" s="1"/>
  <c r="AE7" i="17"/>
  <c r="AE8" i="17" s="1"/>
  <c r="AD7" i="17"/>
  <c r="AD8" i="17" s="1"/>
  <c r="AC7" i="17"/>
  <c r="AC8" i="17" s="1"/>
  <c r="AB7" i="17"/>
  <c r="AB8" i="17" s="1"/>
  <c r="AA7" i="17"/>
  <c r="AA8" i="17" s="1"/>
  <c r="Z7" i="17"/>
  <c r="Z8" i="17" s="1"/>
  <c r="Z13" i="17" s="1"/>
  <c r="Z14" i="17" s="1"/>
  <c r="O7" i="17"/>
  <c r="A2" i="16"/>
  <c r="A1" i="16"/>
  <c r="C22" i="1"/>
  <c r="D11" i="3"/>
  <c r="M168" i="22" l="1"/>
  <c r="K17" i="22"/>
  <c r="G9" i="4"/>
  <c r="C183" i="22"/>
  <c r="D12" i="4"/>
  <c r="D15" i="4"/>
  <c r="B56" i="16"/>
  <c r="I188" i="22"/>
  <c r="I194" i="22" s="1"/>
  <c r="F188" i="22"/>
  <c r="F194" i="22" s="1"/>
  <c r="G188" i="22"/>
  <c r="G194" i="22" s="1"/>
  <c r="D188" i="22"/>
  <c r="D190" i="22" s="1"/>
  <c r="E188" i="22"/>
  <c r="E194" i="22" s="1"/>
  <c r="L188" i="22"/>
  <c r="L194" i="22" s="1"/>
  <c r="K188" i="22"/>
  <c r="K194" i="22" s="1"/>
  <c r="J188" i="22"/>
  <c r="J194" i="22" s="1"/>
  <c r="C188" i="22"/>
  <c r="C194" i="22" s="1"/>
  <c r="E181" i="22"/>
  <c r="E183" i="22" s="1"/>
  <c r="O20" i="3"/>
  <c r="B6" i="3"/>
  <c r="B5" i="3"/>
  <c r="B8" i="3"/>
  <c r="O16" i="3"/>
  <c r="O17" i="3"/>
  <c r="O18" i="3"/>
  <c r="AP51" i="22"/>
  <c r="AH62" i="22"/>
  <c r="AH47" i="22"/>
  <c r="AJ53" i="22"/>
  <c r="AJ46" i="22" s="1"/>
  <c r="AI61" i="22"/>
  <c r="W6" i="4" s="1"/>
  <c r="W27" i="4" s="1"/>
  <c r="M16" i="3"/>
  <c r="N16" i="3"/>
  <c r="M17" i="3"/>
  <c r="N17" i="3"/>
  <c r="M18" i="3"/>
  <c r="N18" i="3"/>
  <c r="M19" i="3"/>
  <c r="N19" i="3"/>
  <c r="M20" i="3"/>
  <c r="N20" i="3"/>
  <c r="F21" i="3"/>
  <c r="G21" i="3"/>
  <c r="H21" i="3"/>
  <c r="O21" i="3" s="1"/>
  <c r="AL9" i="22"/>
  <c r="AJ9" i="22"/>
  <c r="AK9" i="22"/>
  <c r="AI9" i="22"/>
  <c r="AN9" i="22"/>
  <c r="AM9" i="22"/>
  <c r="AR9" i="22"/>
  <c r="AO9" i="22"/>
  <c r="AP9" i="22"/>
  <c r="AQ9" i="22"/>
  <c r="C15" i="10"/>
  <c r="C81" i="10"/>
  <c r="C87" i="10"/>
  <c r="C88" i="10" s="1"/>
  <c r="H22" i="1"/>
  <c r="H23" i="1"/>
  <c r="H24" i="1"/>
  <c r="C32" i="22"/>
  <c r="I20" i="22"/>
  <c r="D5" i="17"/>
  <c r="D87" i="17" s="1"/>
  <c r="C87" i="17"/>
  <c r="E23" i="1"/>
  <c r="E24" i="1"/>
  <c r="E15" i="4"/>
  <c r="E12" i="4"/>
  <c r="C23" i="1"/>
  <c r="C25" i="1" s="1"/>
  <c r="C57" i="10"/>
  <c r="C21" i="10" s="1"/>
  <c r="H21" i="10" s="1"/>
  <c r="C32" i="10"/>
  <c r="H32" i="10" s="1"/>
  <c r="I24" i="10"/>
  <c r="C46" i="10"/>
  <c r="H46" i="10" s="1"/>
  <c r="I44" i="10"/>
  <c r="E32" i="4"/>
  <c r="C30" i="10"/>
  <c r="C10" i="10"/>
  <c r="B21" i="3"/>
  <c r="H28" i="1"/>
  <c r="D32" i="4"/>
  <c r="D22" i="4"/>
  <c r="F35" i="4"/>
  <c r="D35" i="4"/>
  <c r="F32" i="4"/>
  <c r="C14" i="10"/>
  <c r="C12" i="10"/>
  <c r="H12" i="10" s="1"/>
  <c r="E35" i="4"/>
  <c r="F7" i="4"/>
  <c r="C29" i="10"/>
  <c r="H29" i="10" s="1"/>
  <c r="B69" i="16"/>
  <c r="C27" i="10"/>
  <c r="H27" i="10" s="1"/>
  <c r="C13" i="10"/>
  <c r="H13" i="10" s="1"/>
  <c r="C33" i="10"/>
  <c r="H33" i="10" s="1"/>
  <c r="D44" i="4"/>
  <c r="E44" i="4"/>
  <c r="F44" i="4"/>
  <c r="F26" i="4"/>
  <c r="F34" i="4" s="1"/>
  <c r="H13" i="16"/>
  <c r="G13" i="16"/>
  <c r="B70" i="16"/>
  <c r="D26" i="4"/>
  <c r="F12" i="4"/>
  <c r="F15" i="4"/>
  <c r="K11" i="3"/>
  <c r="F5" i="4"/>
  <c r="C28" i="10"/>
  <c r="H28" i="10" s="1"/>
  <c r="C26" i="10"/>
  <c r="H26" i="10" s="1"/>
  <c r="B9" i="3"/>
  <c r="B10" i="3"/>
  <c r="M47" i="1"/>
  <c r="M55" i="1"/>
  <c r="M48" i="1"/>
  <c r="L50" i="1"/>
  <c r="L51" i="1"/>
  <c r="M50" i="1"/>
  <c r="L54" i="1"/>
  <c r="M51" i="1"/>
  <c r="L55" i="1"/>
  <c r="M52" i="1"/>
  <c r="M53" i="1"/>
  <c r="M54" i="1"/>
  <c r="L47" i="1"/>
  <c r="L53" i="1"/>
  <c r="L52" i="1"/>
  <c r="L48" i="1"/>
  <c r="K22" i="1"/>
  <c r="K24" i="1"/>
  <c r="K31" i="1"/>
  <c r="K30" i="1"/>
  <c r="K25" i="1"/>
  <c r="K23" i="1"/>
  <c r="E29" i="1"/>
  <c r="E28" i="1"/>
  <c r="B20" i="16"/>
  <c r="E22" i="1"/>
  <c r="E20" i="1"/>
  <c r="E21" i="1"/>
  <c r="L25" i="16"/>
  <c r="E25" i="16"/>
  <c r="I25" i="16"/>
  <c r="G25" i="16"/>
  <c r="D25" i="16"/>
  <c r="C13" i="16"/>
  <c r="B25" i="16"/>
  <c r="F25" i="16"/>
  <c r="E13" i="16"/>
  <c r="J25" i="16"/>
  <c r="H18" i="16"/>
  <c r="E18" i="16"/>
  <c r="L18" i="16"/>
  <c r="D66" i="16"/>
  <c r="K18" i="16"/>
  <c r="B18" i="16"/>
  <c r="G66" i="16"/>
  <c r="C18" i="16"/>
  <c r="C43" i="16"/>
  <c r="J66" i="16"/>
  <c r="F18" i="16"/>
  <c r="E66" i="16"/>
  <c r="B90" i="16"/>
  <c r="B43" i="16"/>
  <c r="K25" i="16"/>
  <c r="G18" i="16"/>
  <c r="B74" i="16"/>
  <c r="H66" i="16"/>
  <c r="I18" i="16"/>
  <c r="B92" i="16"/>
  <c r="B91" i="16"/>
  <c r="J18" i="16"/>
  <c r="L66" i="16"/>
  <c r="M66" i="16"/>
  <c r="F66" i="16"/>
  <c r="I66" i="16"/>
  <c r="M18" i="16"/>
  <c r="D18" i="16"/>
  <c r="K13" i="16"/>
  <c r="F13" i="16"/>
  <c r="B13" i="16"/>
  <c r="J13" i="16"/>
  <c r="C25" i="16"/>
  <c r="H25" i="16"/>
  <c r="I13" i="16"/>
  <c r="L13" i="16"/>
  <c r="D13" i="16"/>
  <c r="AD13" i="17"/>
  <c r="AD14" i="17" s="1"/>
  <c r="AB53" i="17"/>
  <c r="AG53" i="17"/>
  <c r="Z53" i="17"/>
  <c r="AA13" i="17"/>
  <c r="AA14" i="17" s="1"/>
  <c r="AC13" i="17"/>
  <c r="AC14" i="17" s="1"/>
  <c r="AG13" i="17"/>
  <c r="AG14" i="17" s="1"/>
  <c r="AA53" i="17"/>
  <c r="AB13" i="17"/>
  <c r="AB14" i="17" s="1"/>
  <c r="AE13" i="17"/>
  <c r="AE14" i="17" s="1"/>
  <c r="AE53" i="17"/>
  <c r="AF13" i="17"/>
  <c r="AF14" i="17" s="1"/>
  <c r="AF53" i="17"/>
  <c r="AF52" i="17"/>
  <c r="AE52" i="17"/>
  <c r="C4" i="16"/>
  <c r="D4" i="16" s="1"/>
  <c r="E4" i="16" s="1"/>
  <c r="F4" i="16" s="1"/>
  <c r="I38" i="10"/>
  <c r="E5" i="17"/>
  <c r="B49" i="1"/>
  <c r="H9" i="4" l="1"/>
  <c r="L17" i="22"/>
  <c r="E53" i="4"/>
  <c r="H14" i="10"/>
  <c r="I14" i="10" s="1"/>
  <c r="C84" i="10"/>
  <c r="H15" i="10"/>
  <c r="C49" i="10"/>
  <c r="H49" i="10" s="1"/>
  <c r="H10" i="10"/>
  <c r="I10" i="10" s="1"/>
  <c r="C83" i="10"/>
  <c r="H30" i="10"/>
  <c r="I30" i="10" s="1"/>
  <c r="F190" i="22"/>
  <c r="E190" i="22"/>
  <c r="D194" i="22"/>
  <c r="G190" i="22"/>
  <c r="M183" i="22"/>
  <c r="C184" i="22"/>
  <c r="AQ51" i="22"/>
  <c r="AI62" i="22"/>
  <c r="AI47" i="22"/>
  <c r="AK53" i="22"/>
  <c r="AK46" i="22" s="1"/>
  <c r="AJ61" i="22"/>
  <c r="X6" i="4" s="1"/>
  <c r="X27" i="4" s="1"/>
  <c r="N21" i="3"/>
  <c r="M21" i="3"/>
  <c r="L21" i="3"/>
  <c r="AI10" i="22"/>
  <c r="M42" i="1"/>
  <c r="F36" i="4"/>
  <c r="C73" i="10"/>
  <c r="M40" i="1"/>
  <c r="I26" i="10"/>
  <c r="I29" i="10"/>
  <c r="I28" i="10"/>
  <c r="H21" i="1"/>
  <c r="D34" i="4"/>
  <c r="D36" i="4" s="1"/>
  <c r="M32" i="1"/>
  <c r="C40" i="10" s="1"/>
  <c r="H40" i="10" s="1"/>
  <c r="B11" i="3"/>
  <c r="K27" i="1"/>
  <c r="K26" i="1"/>
  <c r="E25" i="1"/>
  <c r="I32" i="10"/>
  <c r="C72" i="10"/>
  <c r="B34" i="16"/>
  <c r="M27" i="1"/>
  <c r="I23" i="10"/>
  <c r="I15" i="10"/>
  <c r="M24" i="1"/>
  <c r="I13" i="10"/>
  <c r="F5" i="17"/>
  <c r="G4" i="16"/>
  <c r="B48" i="1"/>
  <c r="D191" i="22" l="1"/>
  <c r="I49" i="10"/>
  <c r="C20" i="10"/>
  <c r="H20" i="10" s="1"/>
  <c r="C36" i="10"/>
  <c r="H36" i="10" s="1"/>
  <c r="C17" i="10"/>
  <c r="H17" i="10" s="1"/>
  <c r="AR51" i="22"/>
  <c r="AJ62" i="22"/>
  <c r="AJ47" i="22"/>
  <c r="AL53" i="22"/>
  <c r="AL46" i="22" s="1"/>
  <c r="AK61" i="22"/>
  <c r="Y6" i="4" s="1"/>
  <c r="Y27" i="4" s="1"/>
  <c r="C89" i="10"/>
  <c r="C90" i="10" s="1"/>
  <c r="C85" i="10"/>
  <c r="C34" i="10"/>
  <c r="C80" i="10"/>
  <c r="C82" i="10" s="1"/>
  <c r="C35" i="10"/>
  <c r="H35" i="10" s="1"/>
  <c r="C16" i="10"/>
  <c r="H16" i="10" s="1"/>
  <c r="I40" i="10"/>
  <c r="G41" i="4"/>
  <c r="C19" i="10"/>
  <c r="H19" i="10" s="1"/>
  <c r="I9" i="10"/>
  <c r="I21" i="10"/>
  <c r="G5" i="17"/>
  <c r="H4" i="16"/>
  <c r="B47" i="1"/>
  <c r="H34" i="10" l="1"/>
  <c r="I34" i="10" s="1"/>
  <c r="AK62" i="22"/>
  <c r="AK47" i="22"/>
  <c r="AM53" i="22"/>
  <c r="AM46" i="22" s="1"/>
  <c r="AL61" i="22"/>
  <c r="Z6" i="4" s="1"/>
  <c r="Z27" i="4" s="1"/>
  <c r="I16" i="10"/>
  <c r="C79" i="10"/>
  <c r="K28" i="1"/>
  <c r="I35" i="10"/>
  <c r="I17" i="10"/>
  <c r="I36" i="10"/>
  <c r="I19" i="10"/>
  <c r="I20" i="10"/>
  <c r="E26" i="1"/>
  <c r="H5" i="17"/>
  <c r="I4" i="16"/>
  <c r="J4" i="16" s="1"/>
  <c r="B46" i="1"/>
  <c r="D46" i="1" s="1" a="1"/>
  <c r="AL62" i="22" l="1"/>
  <c r="AL47" i="22"/>
  <c r="AN53" i="22"/>
  <c r="AN46" i="22" s="1"/>
  <c r="AM61" i="22"/>
  <c r="AA6" i="4" s="1"/>
  <c r="AA27" i="4" s="1"/>
  <c r="D46" i="1"/>
  <c r="D58" i="1"/>
  <c r="H46" i="1" a="1"/>
  <c r="H46" i="1" s="1"/>
  <c r="C46" i="1" a="1"/>
  <c r="I5" i="17"/>
  <c r="AM62" i="22" l="1"/>
  <c r="AM47" i="22"/>
  <c r="AO53" i="22"/>
  <c r="AO46" i="22" s="1"/>
  <c r="AN61" i="22"/>
  <c r="AB6" i="4" s="1"/>
  <c r="H41" i="4"/>
  <c r="C46" i="1"/>
  <c r="C55" i="1" s="1"/>
  <c r="J5" i="17"/>
  <c r="K4" i="16"/>
  <c r="AI6" i="22" s="1" a="1"/>
  <c r="AI6" i="22" s="1"/>
  <c r="AB5" i="4" l="1"/>
  <c r="AB27" i="4"/>
  <c r="AN62" i="22"/>
  <c r="AN47" i="22"/>
  <c r="AP53" i="22"/>
  <c r="AP46" i="22" s="1"/>
  <c r="AO61" i="22"/>
  <c r="AC6" i="4" s="1"/>
  <c r="AC27" i="4" s="1"/>
  <c r="K5" i="17"/>
  <c r="L4" i="16"/>
  <c r="AO62" i="22" l="1"/>
  <c r="AO47" i="22"/>
  <c r="AQ53" i="22"/>
  <c r="AQ46" i="22" s="1"/>
  <c r="AP61" i="22"/>
  <c r="AD6" i="4" s="1"/>
  <c r="AD27" i="4" s="1"/>
  <c r="L5" i="17"/>
  <c r="M4" i="16"/>
  <c r="AP62" i="22" l="1"/>
  <c r="AP47" i="22"/>
  <c r="AR53" i="22"/>
  <c r="AQ61" i="22"/>
  <c r="AE6" i="4" s="1"/>
  <c r="AE27" i="4" s="1"/>
  <c r="M5" i="17"/>
  <c r="B101" i="16" s="1"/>
  <c r="D101" i="16"/>
  <c r="E101" i="16"/>
  <c r="AR61" i="22" l="1"/>
  <c r="AF6" i="4" s="1"/>
  <c r="AF27" i="4" s="1"/>
  <c r="AR46" i="22"/>
  <c r="AQ62" i="22"/>
  <c r="AQ47" i="22"/>
  <c r="M6" i="16"/>
  <c r="D34" i="16"/>
  <c r="K35" i="16"/>
  <c r="K36" i="16" s="1"/>
  <c r="I34" i="16"/>
  <c r="G9" i="16"/>
  <c r="G10" i="16" s="1"/>
  <c r="K19" i="16"/>
  <c r="I19" i="16"/>
  <c r="K9" i="16"/>
  <c r="K10" i="16" s="1"/>
  <c r="I9" i="16"/>
  <c r="I10" i="16" s="1"/>
  <c r="M26" i="1"/>
  <c r="I27" i="10"/>
  <c r="C34" i="16"/>
  <c r="H58" i="1"/>
  <c r="E34" i="16"/>
  <c r="C101" i="16"/>
  <c r="F26" i="16"/>
  <c r="I6" i="16"/>
  <c r="X5" i="16" s="1"/>
  <c r="X15" i="16" s="1"/>
  <c r="K26" i="16"/>
  <c r="K29" i="16" s="1"/>
  <c r="J26" i="16"/>
  <c r="I35" i="16"/>
  <c r="I36" i="16" s="1"/>
  <c r="K34" i="16"/>
  <c r="I20" i="16" l="1"/>
  <c r="I56" i="16"/>
  <c r="K20" i="16"/>
  <c r="K56" i="16"/>
  <c r="AR62" i="22"/>
  <c r="L9" i="22" s="1"/>
  <c r="AR47" i="22"/>
  <c r="D70" i="16"/>
  <c r="K70" i="16"/>
  <c r="I70" i="16"/>
  <c r="L34" i="16"/>
  <c r="M34" i="16"/>
  <c r="M19" i="16"/>
  <c r="M20" i="16" s="1"/>
  <c r="L6" i="16"/>
  <c r="M9" i="16"/>
  <c r="M10" i="16" s="1"/>
  <c r="M29" i="16"/>
  <c r="M30" i="16" s="1"/>
  <c r="M31" i="16" s="1"/>
  <c r="E26" i="16"/>
  <c r="E29" i="16" s="1"/>
  <c r="M35" i="16"/>
  <c r="M36" i="16" s="1"/>
  <c r="L26" i="16"/>
  <c r="L29" i="16" s="1"/>
  <c r="H55" i="1"/>
  <c r="R49" i="1"/>
  <c r="C35" i="16"/>
  <c r="C36" i="16" s="1"/>
  <c r="L35" i="16"/>
  <c r="L36" i="16" s="1"/>
  <c r="D26" i="16"/>
  <c r="D29" i="16" s="1"/>
  <c r="J35" i="16"/>
  <c r="J36" i="16" s="1"/>
  <c r="H34" i="16"/>
  <c r="C70" i="16"/>
  <c r="J34" i="16"/>
  <c r="G19" i="16"/>
  <c r="G56" i="16" s="1"/>
  <c r="F35" i="16"/>
  <c r="F36" i="16" s="1"/>
  <c r="F29" i="16"/>
  <c r="G35" i="16"/>
  <c r="G36" i="16" s="1"/>
  <c r="J29" i="16"/>
  <c r="I26" i="16"/>
  <c r="I29" i="16" s="1"/>
  <c r="E9" i="16"/>
  <c r="E10" i="16" s="1"/>
  <c r="D6" i="16"/>
  <c r="B6" i="16"/>
  <c r="Q5" i="16" s="1"/>
  <c r="Q15" i="16" s="1"/>
  <c r="C6" i="16"/>
  <c r="R5" i="16" s="1"/>
  <c r="R15" i="16" s="1"/>
  <c r="R54" i="1"/>
  <c r="R51" i="1"/>
  <c r="R50" i="1"/>
  <c r="J19" i="16"/>
  <c r="E35" i="16"/>
  <c r="E36" i="16" s="1"/>
  <c r="C26" i="16"/>
  <c r="C29" i="16" s="1"/>
  <c r="B26" i="16"/>
  <c r="B29" i="16" s="1"/>
  <c r="O50" i="1"/>
  <c r="F19" i="16"/>
  <c r="O49" i="1"/>
  <c r="H19" i="16"/>
  <c r="C9" i="16"/>
  <c r="C10" i="16" s="1"/>
  <c r="C19" i="16"/>
  <c r="E19" i="16"/>
  <c r="D35" i="16"/>
  <c r="D36" i="16" s="1"/>
  <c r="G6" i="16"/>
  <c r="H9" i="16"/>
  <c r="H10" i="16" s="1"/>
  <c r="H6" i="16"/>
  <c r="J9" i="16"/>
  <c r="J10" i="16" s="1"/>
  <c r="J6" i="16"/>
  <c r="D19" i="16"/>
  <c r="H57" i="1"/>
  <c r="K6" i="16"/>
  <c r="L9" i="16"/>
  <c r="L10" i="16" s="1"/>
  <c r="G34" i="16"/>
  <c r="L19" i="16"/>
  <c r="L20" i="16" s="1"/>
  <c r="D9" i="16"/>
  <c r="D10" i="16" s="1"/>
  <c r="G26" i="16"/>
  <c r="G29" i="16" s="1"/>
  <c r="H26" i="16"/>
  <c r="H29" i="16" s="1"/>
  <c r="E6" i="16"/>
  <c r="T5" i="16" s="1"/>
  <c r="T15" i="16" s="1"/>
  <c r="F9" i="16"/>
  <c r="F10" i="16" s="1"/>
  <c r="N50" i="1"/>
  <c r="F6" i="16"/>
  <c r="U5" i="16" s="1"/>
  <c r="U15" i="16" s="1"/>
  <c r="R48" i="1"/>
  <c r="H35" i="16"/>
  <c r="F34" i="16"/>
  <c r="W5" i="16" l="1"/>
  <c r="W15" i="16" s="1"/>
  <c r="H47" i="16"/>
  <c r="V5" i="16"/>
  <c r="V15" i="16" s="1"/>
  <c r="G47" i="16"/>
  <c r="E32" i="22"/>
  <c r="D56" i="16"/>
  <c r="F32" i="22"/>
  <c r="E56" i="16"/>
  <c r="D32" i="22"/>
  <c r="C56" i="16"/>
  <c r="B55" i="16" s="1"/>
  <c r="H20" i="16"/>
  <c r="H56" i="16"/>
  <c r="G32" i="22"/>
  <c r="F56" i="16"/>
  <c r="J20" i="16"/>
  <c r="J56" i="16"/>
  <c r="D5" i="4"/>
  <c r="S5" i="16"/>
  <c r="P7" i="22" a="1"/>
  <c r="E46" i="1" a="1"/>
  <c r="E46" i="1" s="1"/>
  <c r="E31" i="1"/>
  <c r="G20" i="16"/>
  <c r="F20" i="16"/>
  <c r="E20" i="16"/>
  <c r="D20" i="16"/>
  <c r="I46" i="1" a="1"/>
  <c r="S51" i="1" s="1"/>
  <c r="B30" i="16"/>
  <c r="B31" i="16" s="1"/>
  <c r="H36" i="16"/>
  <c r="K29" i="1"/>
  <c r="N55" i="1"/>
  <c r="C20" i="16"/>
  <c r="J70" i="16"/>
  <c r="M70" i="16"/>
  <c r="G70" i="16"/>
  <c r="F70" i="16"/>
  <c r="E70" i="16"/>
  <c r="L70" i="16"/>
  <c r="H70" i="16"/>
  <c r="C69" i="16"/>
  <c r="K30" i="16"/>
  <c r="K31" i="16" s="1"/>
  <c r="L30" i="16"/>
  <c r="L31" i="16" s="1"/>
  <c r="O47" i="1"/>
  <c r="O48" i="1"/>
  <c r="J30" i="16"/>
  <c r="J31" i="16" s="1"/>
  <c r="D30" i="16"/>
  <c r="D31" i="16" s="1"/>
  <c r="N47" i="1"/>
  <c r="N51" i="1"/>
  <c r="E30" i="16"/>
  <c r="E31" i="16" s="1"/>
  <c r="I30" i="16"/>
  <c r="I31" i="16" s="1"/>
  <c r="H30" i="16"/>
  <c r="H31" i="16" s="1"/>
  <c r="N49" i="1"/>
  <c r="N48" i="1"/>
  <c r="G30" i="16"/>
  <c r="G31" i="16" s="1"/>
  <c r="C30" i="16"/>
  <c r="C31" i="16" s="1"/>
  <c r="C57" i="1"/>
  <c r="F30" i="16"/>
  <c r="F31" i="16" s="1"/>
  <c r="O51" i="1"/>
  <c r="R53" i="1"/>
  <c r="R52" i="1"/>
  <c r="N52" i="1"/>
  <c r="O52" i="1"/>
  <c r="O53" i="1"/>
  <c r="C58" i="1"/>
  <c r="N54" i="1"/>
  <c r="N53" i="1"/>
  <c r="I32" i="22" l="1"/>
  <c r="B54" i="16"/>
  <c r="S15" i="16"/>
  <c r="Y5" i="16"/>
  <c r="Q16" i="16"/>
  <c r="Q19" i="16" s="1"/>
  <c r="P7" i="22"/>
  <c r="AA7" i="22" s="1"/>
  <c r="AB7" i="22" s="1"/>
  <c r="AC7" i="22" s="1"/>
  <c r="AD7" i="22" s="1"/>
  <c r="AE7" i="22" s="1"/>
  <c r="AF7" i="22" s="1"/>
  <c r="AA8" i="22"/>
  <c r="AB8" i="22" s="1"/>
  <c r="AC8" i="22" s="1"/>
  <c r="AD8" i="22" s="1"/>
  <c r="AE8" i="22" s="1"/>
  <c r="AF8" i="22" s="1"/>
  <c r="M31" i="1"/>
  <c r="E27" i="1"/>
  <c r="M57" i="1"/>
  <c r="S50" i="1"/>
  <c r="S49" i="1"/>
  <c r="I46" i="1"/>
  <c r="S54" i="1"/>
  <c r="S53" i="1"/>
  <c r="S52" i="1"/>
  <c r="L57" i="1"/>
  <c r="S48" i="1"/>
  <c r="Q50" i="1"/>
  <c r="Q51" i="1"/>
  <c r="Q52" i="1"/>
  <c r="Q48" i="1"/>
  <c r="M29" i="1"/>
  <c r="C56" i="1"/>
  <c r="F57" i="1"/>
  <c r="F55" i="1"/>
  <c r="F58" i="1"/>
  <c r="Q53" i="1"/>
  <c r="Q49" i="1"/>
  <c r="Q54" i="1"/>
  <c r="H56" i="1" l="1"/>
  <c r="F56" i="1"/>
  <c r="M25" i="1"/>
  <c r="D55" i="1" l="1"/>
  <c r="O55" i="1" s="1"/>
  <c r="B9" i="16"/>
  <c r="B10" i="16" s="1"/>
  <c r="L58" i="1" l="1"/>
  <c r="I33" i="10"/>
  <c r="D57" i="1"/>
  <c r="M28" i="1"/>
  <c r="O54" i="1"/>
  <c r="D56" i="1" s="1"/>
  <c r="M58" i="1" l="1"/>
  <c r="I12" i="10"/>
  <c r="F36" i="17" l="1"/>
  <c r="F37" i="17" s="1"/>
  <c r="J56" i="17"/>
  <c r="J36" i="17"/>
  <c r="J37" i="17" s="1"/>
  <c r="M44" i="16"/>
  <c r="M69" i="16" s="1"/>
  <c r="M36" i="17"/>
  <c r="M37" i="17" s="1"/>
  <c r="I44" i="16"/>
  <c r="I69" i="16" s="1"/>
  <c r="I36" i="17"/>
  <c r="I37" i="17" s="1"/>
  <c r="I43" i="16" s="1"/>
  <c r="E44" i="16"/>
  <c r="E69" i="16" s="1"/>
  <c r="E37" i="17"/>
  <c r="G36" i="17"/>
  <c r="G37" i="17" s="1"/>
  <c r="K36" i="17"/>
  <c r="K37" i="17" s="1"/>
  <c r="H56" i="17"/>
  <c r="H36" i="17"/>
  <c r="H37" i="17" s="1"/>
  <c r="L44" i="16"/>
  <c r="L69" i="16" s="1"/>
  <c r="L36" i="17"/>
  <c r="L37" i="17" s="1"/>
  <c r="L43" i="16" s="1"/>
  <c r="G56" i="17" l="1"/>
  <c r="J44" i="16"/>
  <c r="J69" i="16" s="1"/>
  <c r="G74" i="16"/>
  <c r="H74" i="16"/>
  <c r="K43" i="16"/>
  <c r="F43" i="16"/>
  <c r="J43" i="16"/>
  <c r="G43" i="16"/>
  <c r="M56" i="17"/>
  <c r="F56" i="17"/>
  <c r="K44" i="16"/>
  <c r="K69" i="16" s="1"/>
  <c r="F44" i="16"/>
  <c r="F69" i="16" s="1"/>
  <c r="G44" i="16"/>
  <c r="G69" i="16" s="1"/>
  <c r="H44" i="16"/>
  <c r="L56" i="17"/>
  <c r="I56" i="17"/>
  <c r="H69" i="16" l="1"/>
  <c r="G46" i="16"/>
  <c r="H46" i="16"/>
  <c r="M74" i="16"/>
  <c r="I74" i="16"/>
  <c r="M43" i="16"/>
  <c r="H43" i="16"/>
  <c r="E43" i="16"/>
  <c r="F74" i="16"/>
  <c r="J74" i="16"/>
  <c r="L74" i="16"/>
  <c r="E74" i="16"/>
  <c r="D36" i="17"/>
  <c r="D37" i="17" s="1"/>
  <c r="D56" i="17"/>
  <c r="D74" i="16" s="1"/>
  <c r="C56" i="17"/>
  <c r="C74" i="16" s="1"/>
  <c r="C66" i="16"/>
  <c r="C47" i="17"/>
  <c r="C50" i="17" s="1"/>
  <c r="D43" i="16" l="1"/>
  <c r="D44" i="16"/>
  <c r="D69" i="16" s="1"/>
  <c r="G46" i="1" s="1" a="1"/>
  <c r="G46" i="1" s="1"/>
  <c r="C65" i="16"/>
  <c r="C62" i="16"/>
  <c r="B78" i="16"/>
  <c r="L49" i="1" s="1"/>
  <c r="L56" i="1" s="1"/>
  <c r="B85" i="16"/>
  <c r="C78" i="16"/>
  <c r="M49" i="1" s="1"/>
  <c r="M56" i="1" s="1"/>
  <c r="C67" i="17"/>
  <c r="E25" i="4" s="1"/>
  <c r="E26" i="4" s="1"/>
  <c r="E34" i="4" s="1"/>
  <c r="E36" i="4" l="1"/>
  <c r="E43" i="4" s="1"/>
  <c r="F43" i="4" s="1"/>
  <c r="G13" i="4" s="1"/>
  <c r="K56" i="17"/>
  <c r="K66" i="16"/>
  <c r="K62" i="16"/>
  <c r="K65" i="16"/>
  <c r="K74" i="16" l="1"/>
  <c r="H38" i="4" l="1"/>
  <c r="H39" i="4"/>
  <c r="I10" i="4" l="1"/>
  <c r="I39" i="4" s="1"/>
  <c r="I38" i="4" l="1"/>
  <c r="J10" i="4" s="1"/>
  <c r="J39" i="4" l="1"/>
  <c r="J38" i="4"/>
  <c r="K10" i="4" s="1"/>
  <c r="K38" i="4" l="1"/>
  <c r="L10" i="4" s="1"/>
  <c r="K39" i="4"/>
  <c r="L39" i="4" l="1"/>
  <c r="L38" i="4"/>
  <c r="M10" i="4" s="1"/>
  <c r="M39" i="4" l="1"/>
  <c r="M38" i="4"/>
  <c r="N10" i="4" s="1"/>
  <c r="N38" i="4" l="1"/>
  <c r="O10" i="4" s="1"/>
  <c r="N39" i="4"/>
  <c r="O39" i="4" l="1"/>
  <c r="O38" i="4"/>
  <c r="P10" i="4" s="1"/>
  <c r="P38" i="4" l="1"/>
  <c r="Q10" i="4" s="1"/>
  <c r="P39" i="4"/>
  <c r="Q38" i="4" l="1"/>
  <c r="R10" i="4" s="1"/>
  <c r="Q39" i="4"/>
  <c r="R39" i="4" l="1"/>
  <c r="R38" i="4"/>
  <c r="S10" i="4" s="1"/>
  <c r="S39" i="4" l="1"/>
  <c r="S38" i="4"/>
  <c r="T10" i="4" s="1"/>
  <c r="T38" i="4" l="1"/>
  <c r="U10" i="4" s="1"/>
  <c r="T39" i="4" l="1"/>
  <c r="U39" i="4" l="1"/>
  <c r="U38" i="4"/>
  <c r="V10" i="4" s="1"/>
  <c r="V39" i="4" l="1"/>
  <c r="V38" i="4"/>
  <c r="W10" i="4" s="1"/>
  <c r="W38" i="4" l="1"/>
  <c r="X10" i="4" s="1"/>
  <c r="W39" i="4"/>
  <c r="X39" i="4" l="1"/>
  <c r="X38" i="4"/>
  <c r="Y10" i="4" s="1"/>
  <c r="Y38" i="4" l="1"/>
  <c r="Z10" i="4" s="1"/>
  <c r="Y39" i="4"/>
  <c r="Z39" i="4" l="1"/>
  <c r="Z38" i="4"/>
  <c r="AA10" i="4" s="1"/>
  <c r="AA39" i="4" l="1"/>
  <c r="AA38" i="4"/>
  <c r="AB10" i="4" s="1"/>
  <c r="AB38" i="4" l="1"/>
  <c r="AC10" i="4" s="1"/>
  <c r="AB39" i="4" l="1"/>
  <c r="AC39" i="4" l="1"/>
  <c r="AC38" i="4"/>
  <c r="AD10" i="4" s="1"/>
  <c r="AD39" i="4" l="1"/>
  <c r="AD38" i="4"/>
  <c r="AE10" i="4" s="1"/>
  <c r="AE38" i="4" l="1"/>
  <c r="AF10" i="4" s="1"/>
  <c r="AE39" i="4"/>
  <c r="AF39" i="4" l="1"/>
  <c r="AG39" i="4" s="1"/>
  <c r="AF38" i="4"/>
  <c r="AG38" i="4" s="1"/>
  <c r="K63" i="17" l="1"/>
  <c r="K77" i="16"/>
  <c r="L63" i="17"/>
  <c r="L77" i="16"/>
  <c r="J78" i="16"/>
  <c r="L78" i="16"/>
  <c r="M78" i="16"/>
  <c r="G5" i="4" l="1"/>
  <c r="G14" i="4" l="1"/>
  <c r="G25" i="4"/>
  <c r="G26" i="4" s="1"/>
  <c r="G8" i="4"/>
  <c r="G12" i="4" s="1"/>
  <c r="G11" i="4"/>
  <c r="G20" i="4" s="1"/>
  <c r="G31" i="4"/>
  <c r="G15" i="4" l="1"/>
  <c r="G16" i="4" s="1"/>
  <c r="G17" i="4" s="1"/>
  <c r="G30" i="4" s="1"/>
  <c r="G19" i="4" l="1"/>
  <c r="G22" i="4" s="1"/>
  <c r="G28" i="4" l="1"/>
  <c r="G34" i="4" s="1"/>
  <c r="G29" i="4"/>
  <c r="G32" i="4" l="1"/>
  <c r="G35" i="4"/>
  <c r="G36" i="4" s="1"/>
  <c r="G43" i="4" s="1"/>
  <c r="H13" i="4" s="1"/>
  <c r="H5" i="4"/>
  <c r="H11" i="4" l="1"/>
  <c r="H20" i="4" s="1"/>
  <c r="H24" i="4"/>
  <c r="H21" i="4"/>
  <c r="H8" i="4"/>
  <c r="H23" i="4"/>
  <c r="H40" i="4" s="1"/>
  <c r="I5" i="4"/>
  <c r="J5" i="4" l="1"/>
  <c r="I11" i="4"/>
  <c r="I20" i="4" s="1"/>
  <c r="I23" i="4"/>
  <c r="I24" i="4"/>
  <c r="I21" i="4"/>
  <c r="I8" i="4"/>
  <c r="H14" i="4"/>
  <c r="H15" i="4" s="1"/>
  <c r="H25" i="4"/>
  <c r="H26" i="4" s="1"/>
  <c r="H31" i="4"/>
  <c r="H12" i="4"/>
  <c r="H16" i="4" l="1"/>
  <c r="H17" i="4" s="1"/>
  <c r="I40" i="4"/>
  <c r="I25" i="4"/>
  <c r="I26" i="4" s="1"/>
  <c r="I31" i="4"/>
  <c r="J11" i="4"/>
  <c r="J20" i="4" s="1"/>
  <c r="J23" i="4"/>
  <c r="J8" i="4"/>
  <c r="J24" i="4"/>
  <c r="J21" i="4"/>
  <c r="K21" i="4"/>
  <c r="I14" i="4"/>
  <c r="H28" i="4"/>
  <c r="I9" i="4"/>
  <c r="H19" i="4" l="1"/>
  <c r="H22" i="4" s="1"/>
  <c r="H34" i="4" s="1"/>
  <c r="H30" i="4"/>
  <c r="H29" i="4"/>
  <c r="I12" i="4"/>
  <c r="J40" i="4"/>
  <c r="K9" i="4" s="1"/>
  <c r="K24" i="4"/>
  <c r="K23" i="4"/>
  <c r="J14" i="4"/>
  <c r="K11" i="4"/>
  <c r="K20" i="4" s="1"/>
  <c r="K8" i="4"/>
  <c r="K5" i="4"/>
  <c r="L21" i="4"/>
  <c r="J9" i="4"/>
  <c r="J31" i="4"/>
  <c r="J25" i="4"/>
  <c r="J26" i="4" s="1"/>
  <c r="I41" i="4"/>
  <c r="H35" i="4" l="1"/>
  <c r="H36" i="4" s="1"/>
  <c r="H43" i="4" s="1"/>
  <c r="I13" i="4" s="1"/>
  <c r="H32" i="4"/>
  <c r="I28" i="4"/>
  <c r="K40" i="4"/>
  <c r="L23" i="4"/>
  <c r="L24" i="4"/>
  <c r="K14" i="4"/>
  <c r="K31" i="4"/>
  <c r="K25" i="4"/>
  <c r="K26" i="4" s="1"/>
  <c r="K12" i="4"/>
  <c r="J12" i="4"/>
  <c r="M21" i="4"/>
  <c r="L11" i="4"/>
  <c r="L20" i="4" s="1"/>
  <c r="L5" i="4"/>
  <c r="L8" i="4"/>
  <c r="J41" i="4"/>
  <c r="K41" i="4" s="1"/>
  <c r="L9" i="4" l="1"/>
  <c r="L40" i="4"/>
  <c r="I15" i="4"/>
  <c r="I16" i="4" s="1"/>
  <c r="I17" i="4" s="1"/>
  <c r="M9" i="4"/>
  <c r="M23" i="4"/>
  <c r="M24" i="4"/>
  <c r="L14" i="4"/>
  <c r="N21" i="4"/>
  <c r="L41" i="4"/>
  <c r="M11" i="4"/>
  <c r="M20" i="4" s="1"/>
  <c r="M8" i="4"/>
  <c r="M5" i="4"/>
  <c r="J28" i="4"/>
  <c r="K28" i="4"/>
  <c r="L31" i="4"/>
  <c r="L25" i="4"/>
  <c r="L26" i="4" s="1"/>
  <c r="I29" i="4" l="1"/>
  <c r="I19" i="4"/>
  <c r="I22" i="4" s="1"/>
  <c r="I34" i="4" s="1"/>
  <c r="I30" i="4"/>
  <c r="M40" i="4"/>
  <c r="N9" i="4" s="1"/>
  <c r="N23" i="4"/>
  <c r="N24" i="4"/>
  <c r="M41" i="4"/>
  <c r="M25" i="4"/>
  <c r="M26" i="4" s="1"/>
  <c r="M31" i="4"/>
  <c r="L12" i="4"/>
  <c r="M14" i="4"/>
  <c r="O21" i="4"/>
  <c r="N5" i="4"/>
  <c r="N11" i="4"/>
  <c r="N20" i="4" s="1"/>
  <c r="N8" i="4"/>
  <c r="I32" i="4" l="1"/>
  <c r="I35" i="4"/>
  <c r="I36" i="4" s="1"/>
  <c r="I43" i="4" s="1"/>
  <c r="N40" i="4"/>
  <c r="O24" i="4"/>
  <c r="O23" i="4"/>
  <c r="M12" i="4"/>
  <c r="O11" i="4"/>
  <c r="O20" i="4" s="1"/>
  <c r="O5" i="4"/>
  <c r="O8" i="4"/>
  <c r="N41" i="4"/>
  <c r="O9" i="4"/>
  <c r="L28" i="4"/>
  <c r="N25" i="4"/>
  <c r="N26" i="4" s="1"/>
  <c r="N31" i="4"/>
  <c r="N14" i="4"/>
  <c r="P21" i="4"/>
  <c r="J13" i="4" l="1"/>
  <c r="J15" i="4" s="1"/>
  <c r="J16" i="4" s="1"/>
  <c r="J17" i="4" s="1"/>
  <c r="M28" i="4"/>
  <c r="O14" i="4"/>
  <c r="O40" i="4"/>
  <c r="P9" i="4" s="1"/>
  <c r="P24" i="4"/>
  <c r="P23" i="4"/>
  <c r="N12" i="4"/>
  <c r="Q21" i="4"/>
  <c r="O25" i="4"/>
  <c r="O26" i="4" s="1"/>
  <c r="O31" i="4"/>
  <c r="O41" i="4"/>
  <c r="P11" i="4"/>
  <c r="P20" i="4" s="1"/>
  <c r="P5" i="4"/>
  <c r="P8" i="4"/>
  <c r="J30" i="4" l="1"/>
  <c r="J29" i="4"/>
  <c r="J19" i="4"/>
  <c r="J22" i="4" s="1"/>
  <c r="J34" i="4" s="1"/>
  <c r="N28" i="4"/>
  <c r="P40" i="4"/>
  <c r="Q9" i="4" s="1"/>
  <c r="Q24" i="4"/>
  <c r="Q23" i="4"/>
  <c r="O12" i="4"/>
  <c r="Q5" i="4"/>
  <c r="Q11" i="4"/>
  <c r="Q20" i="4" s="1"/>
  <c r="Q8" i="4"/>
  <c r="R21" i="4"/>
  <c r="P41" i="4"/>
  <c r="P25" i="4"/>
  <c r="P26" i="4" s="1"/>
  <c r="P31" i="4"/>
  <c r="P14" i="4"/>
  <c r="J35" i="4" l="1"/>
  <c r="J36" i="4" s="1"/>
  <c r="J43" i="4" s="1"/>
  <c r="J32" i="4"/>
  <c r="Q40" i="4"/>
  <c r="R9" i="4" s="1"/>
  <c r="R24" i="4"/>
  <c r="R23" i="4"/>
  <c r="Q14" i="4"/>
  <c r="Q31" i="4"/>
  <c r="Q25" i="4"/>
  <c r="Q26" i="4" s="1"/>
  <c r="R5" i="4"/>
  <c r="R11" i="4"/>
  <c r="R20" i="4" s="1"/>
  <c r="R8" i="4"/>
  <c r="P12" i="4"/>
  <c r="O28" i="4"/>
  <c r="Q12" i="4"/>
  <c r="S21" i="4"/>
  <c r="K13" i="4" l="1"/>
  <c r="K15" i="4" s="1"/>
  <c r="K16" i="4" s="1"/>
  <c r="K17" i="4" s="1"/>
  <c r="R40" i="4"/>
  <c r="S9" i="4" s="1"/>
  <c r="S24" i="4"/>
  <c r="S23" i="4"/>
  <c r="R14" i="4"/>
  <c r="Q28" i="4"/>
  <c r="Q41" i="4"/>
  <c r="R12" i="4"/>
  <c r="P28" i="4"/>
  <c r="T21" i="4"/>
  <c r="S8" i="4"/>
  <c r="S11" i="4"/>
  <c r="S20" i="4" s="1"/>
  <c r="S5" i="4"/>
  <c r="R31" i="4"/>
  <c r="R25" i="4"/>
  <c r="R26" i="4" s="1"/>
  <c r="K19" i="4" l="1"/>
  <c r="K22" i="4" s="1"/>
  <c r="K34" i="4" s="1"/>
  <c r="K30" i="4"/>
  <c r="K29" i="4"/>
  <c r="S40" i="4"/>
  <c r="T9" i="4" s="1"/>
  <c r="T23" i="4"/>
  <c r="T24" i="4"/>
  <c r="S14" i="4"/>
  <c r="R28" i="4"/>
  <c r="S12" i="4"/>
  <c r="S25" i="4"/>
  <c r="S26" i="4" s="1"/>
  <c r="S31" i="4"/>
  <c r="U21" i="4"/>
  <c r="T11" i="4"/>
  <c r="T20" i="4" s="1"/>
  <c r="T8" i="4"/>
  <c r="T5" i="4"/>
  <c r="R41" i="4"/>
  <c r="K35" i="4" l="1"/>
  <c r="K36" i="4" s="1"/>
  <c r="K43" i="4" s="1"/>
  <c r="L13" i="4" s="1"/>
  <c r="L15" i="4" s="1"/>
  <c r="K32" i="4"/>
  <c r="T40" i="4"/>
  <c r="U9" i="4" s="1"/>
  <c r="U23" i="4"/>
  <c r="U24" i="4"/>
  <c r="S28" i="4"/>
  <c r="U5" i="4"/>
  <c r="U11" i="4"/>
  <c r="U20" i="4" s="1"/>
  <c r="U8" i="4"/>
  <c r="S41" i="4"/>
  <c r="T31" i="4"/>
  <c r="T25" i="4"/>
  <c r="T26" i="4" s="1"/>
  <c r="V21" i="4"/>
  <c r="T12" i="4"/>
  <c r="T14" i="4"/>
  <c r="L16" i="4" l="1"/>
  <c r="L17" i="4" s="1"/>
  <c r="U40" i="4"/>
  <c r="V23" i="4"/>
  <c r="V24" i="4"/>
  <c r="T28" i="4"/>
  <c r="T41" i="4"/>
  <c r="W21" i="4"/>
  <c r="V11" i="4"/>
  <c r="V20" i="4" s="1"/>
  <c r="V5" i="4"/>
  <c r="V8" i="4"/>
  <c r="U14" i="4"/>
  <c r="U25" i="4"/>
  <c r="U26" i="4" s="1"/>
  <c r="U31" i="4"/>
  <c r="U12" i="4"/>
  <c r="V9" i="4"/>
  <c r="L19" i="4" l="1"/>
  <c r="L22" i="4" s="1"/>
  <c r="L34" i="4" s="1"/>
  <c r="L29" i="4"/>
  <c r="L30" i="4"/>
  <c r="V14" i="4"/>
  <c r="V40" i="4"/>
  <c r="W9" i="4" s="1"/>
  <c r="W24" i="4"/>
  <c r="W23" i="4"/>
  <c r="U28" i="4"/>
  <c r="U41" i="4"/>
  <c r="W5" i="4"/>
  <c r="W8" i="4"/>
  <c r="W11" i="4"/>
  <c r="W20" i="4" s="1"/>
  <c r="X21" i="4"/>
  <c r="V31" i="4"/>
  <c r="V25" i="4"/>
  <c r="V26" i="4" s="1"/>
  <c r="V12" i="4"/>
  <c r="W14" i="4" l="1"/>
  <c r="L32" i="4"/>
  <c r="L35" i="4"/>
  <c r="L36" i="4" s="1"/>
  <c r="L43" i="4" s="1"/>
  <c r="W40" i="4"/>
  <c r="X9" i="4" s="1"/>
  <c r="X24" i="4"/>
  <c r="X23" i="4"/>
  <c r="V28" i="4"/>
  <c r="V41" i="4"/>
  <c r="X5" i="4"/>
  <c r="X11" i="4"/>
  <c r="X20" i="4" s="1"/>
  <c r="X8" i="4"/>
  <c r="Y21" i="4"/>
  <c r="W12" i="4"/>
  <c r="W31" i="4"/>
  <c r="W25" i="4"/>
  <c r="W26" i="4" s="1"/>
  <c r="X40" i="4" l="1"/>
  <c r="Y9" i="4" s="1"/>
  <c r="Y24" i="4"/>
  <c r="Y23" i="4"/>
  <c r="W28" i="4"/>
  <c r="X12" i="4"/>
  <c r="X25" i="4"/>
  <c r="X26" i="4" s="1"/>
  <c r="X31" i="4"/>
  <c r="X14" i="4"/>
  <c r="Y11" i="4"/>
  <c r="Y20" i="4" s="1"/>
  <c r="Y5" i="4"/>
  <c r="Y8" i="4"/>
  <c r="M13" i="4"/>
  <c r="M15" i="4" s="1"/>
  <c r="Z21" i="4"/>
  <c r="W41" i="4"/>
  <c r="M16" i="4" l="1"/>
  <c r="M17" i="4" s="1"/>
  <c r="Y40" i="4"/>
  <c r="Z9" i="4" s="1"/>
  <c r="Z24" i="4"/>
  <c r="Z23" i="4"/>
  <c r="X41" i="4"/>
  <c r="Y41" i="4" s="1"/>
  <c r="AA21" i="4"/>
  <c r="Z8" i="4"/>
  <c r="Z11" i="4"/>
  <c r="Z20" i="4" s="1"/>
  <c r="Z5" i="4"/>
  <c r="X28" i="4"/>
  <c r="Y31" i="4"/>
  <c r="Y25" i="4"/>
  <c r="Y26" i="4" s="1"/>
  <c r="Y14" i="4"/>
  <c r="M19" i="4" l="1"/>
  <c r="M22" i="4" s="1"/>
  <c r="M34" i="4" s="1"/>
  <c r="M29" i="4"/>
  <c r="M30" i="4"/>
  <c r="Z40" i="4"/>
  <c r="AA9" i="4" s="1"/>
  <c r="AA24" i="4"/>
  <c r="AA23" i="4"/>
  <c r="Y12" i="4"/>
  <c r="Z25" i="4"/>
  <c r="Z26" i="4" s="1"/>
  <c r="Z31" i="4"/>
  <c r="Z14" i="4"/>
  <c r="AB21" i="4"/>
  <c r="AA8" i="4"/>
  <c r="AA11" i="4"/>
  <c r="AA20" i="4" s="1"/>
  <c r="AA5" i="4"/>
  <c r="Z41" i="4"/>
  <c r="M35" i="4" l="1"/>
  <c r="M36" i="4" s="1"/>
  <c r="M43" i="4" s="1"/>
  <c r="N13" i="4" s="1"/>
  <c r="N15" i="4" s="1"/>
  <c r="M32" i="4"/>
  <c r="Y28" i="4"/>
  <c r="AA40" i="4"/>
  <c r="AB9" i="4" s="1"/>
  <c r="AB24" i="4"/>
  <c r="AB23" i="4"/>
  <c r="Z12" i="4"/>
  <c r="AC21" i="4"/>
  <c r="AA14" i="4"/>
  <c r="AA12" i="4"/>
  <c r="AA25" i="4"/>
  <c r="AA26" i="4" s="1"/>
  <c r="AA31" i="4"/>
  <c r="AB11" i="4"/>
  <c r="AB20" i="4" s="1"/>
  <c r="AB8" i="4"/>
  <c r="N16" i="4" l="1"/>
  <c r="N17" i="4" s="1"/>
  <c r="AB40" i="4"/>
  <c r="AC23" i="4"/>
  <c r="AC24" i="4"/>
  <c r="Z28" i="4"/>
  <c r="AA28" i="4"/>
  <c r="AC9" i="4"/>
  <c r="AB12" i="4"/>
  <c r="AB14" i="4"/>
  <c r="AB31" i="4"/>
  <c r="AB25" i="4"/>
  <c r="AB26" i="4" s="1"/>
  <c r="AA41" i="4"/>
  <c r="AD21" i="4"/>
  <c r="AC8" i="4"/>
  <c r="AC5" i="4"/>
  <c r="AC11" i="4"/>
  <c r="AC20" i="4" s="1"/>
  <c r="N19" i="4" l="1"/>
  <c r="N22" i="4" s="1"/>
  <c r="N34" i="4" s="1"/>
  <c r="N29" i="4"/>
  <c r="N30" i="4"/>
  <c r="AC40" i="4"/>
  <c r="AD9" i="4" s="1"/>
  <c r="AD23" i="4"/>
  <c r="AD24" i="4"/>
  <c r="AB28" i="4"/>
  <c r="AD11" i="4"/>
  <c r="AD20" i="4" s="1"/>
  <c r="AD5" i="4"/>
  <c r="AD8" i="4"/>
  <c r="AB41" i="4"/>
  <c r="AE21" i="4"/>
  <c r="AC12" i="4"/>
  <c r="AC25" i="4"/>
  <c r="AC26" i="4" s="1"/>
  <c r="AC31" i="4"/>
  <c r="AC14" i="4"/>
  <c r="N32" i="4" l="1"/>
  <c r="N35" i="4"/>
  <c r="N36" i="4" s="1"/>
  <c r="N43" i="4" s="1"/>
  <c r="O13" i="4" s="1"/>
  <c r="O15" i="4" s="1"/>
  <c r="AD40" i="4"/>
  <c r="AE9" i="4" s="1"/>
  <c r="AE24" i="4"/>
  <c r="AE23" i="4"/>
  <c r="AF21" i="4"/>
  <c r="AC28" i="4"/>
  <c r="AE5" i="4"/>
  <c r="AE8" i="4"/>
  <c r="AE11" i="4"/>
  <c r="AE20" i="4" s="1"/>
  <c r="AC41" i="4"/>
  <c r="AD14" i="4"/>
  <c r="AD12" i="4"/>
  <c r="AD25" i="4"/>
  <c r="AD26" i="4" s="1"/>
  <c r="AD31" i="4"/>
  <c r="O16" i="4" l="1"/>
  <c r="O17" i="4" s="1"/>
  <c r="AE40" i="4"/>
  <c r="AF8" i="4"/>
  <c r="AF11" i="4"/>
  <c r="AF20" i="4" s="1"/>
  <c r="AF24" i="4"/>
  <c r="AF23" i="4"/>
  <c r="AG23" i="4" s="1"/>
  <c r="AF5" i="4"/>
  <c r="AE14" i="4"/>
  <c r="AD41" i="4"/>
  <c r="AE31" i="4"/>
  <c r="AE25" i="4"/>
  <c r="AE26" i="4" s="1"/>
  <c r="AF9" i="4"/>
  <c r="AG9" i="4" s="1"/>
  <c r="AD28" i="4"/>
  <c r="O19" i="4" l="1"/>
  <c r="O22" i="4" s="1"/>
  <c r="O34" i="4" s="1"/>
  <c r="O29" i="4"/>
  <c r="O30" i="4"/>
  <c r="AF40" i="4"/>
  <c r="AG40" i="4" s="1"/>
  <c r="AF14" i="4"/>
  <c r="AF31" i="4"/>
  <c r="AE41" i="4"/>
  <c r="AF25" i="4"/>
  <c r="AF26" i="4" s="1"/>
  <c r="AE12" i="4"/>
  <c r="O32" i="4" l="1"/>
  <c r="O35" i="4"/>
  <c r="O36" i="4" s="1"/>
  <c r="O43" i="4" s="1"/>
  <c r="P13" i="4" s="1"/>
  <c r="P15" i="4" s="1"/>
  <c r="AH24" i="4"/>
  <c r="AF12" i="4"/>
  <c r="AE28" i="4"/>
  <c r="AF41" i="4"/>
  <c r="AG41" i="4" s="1"/>
  <c r="P16" i="4" l="1"/>
  <c r="P17" i="4" s="1"/>
  <c r="AF28" i="4"/>
  <c r="P19" i="4" l="1"/>
  <c r="P22" i="4" s="1"/>
  <c r="P34" i="4" s="1"/>
  <c r="P30" i="4"/>
  <c r="P29" i="4"/>
  <c r="P32" i="4" l="1"/>
  <c r="P35" i="4"/>
  <c r="P36" i="4" s="1"/>
  <c r="P43" i="4" s="1"/>
  <c r="Q13" i="4" s="1"/>
  <c r="Q15" i="4" s="1"/>
  <c r="Q16" i="4" l="1"/>
  <c r="Q17" i="4" s="1"/>
  <c r="Q19" i="4" l="1"/>
  <c r="Q22" i="4" s="1"/>
  <c r="Q34" i="4" s="1"/>
  <c r="Q30" i="4"/>
  <c r="Q29" i="4"/>
  <c r="Q35" i="4" l="1"/>
  <c r="Q36" i="4" s="1"/>
  <c r="Q43" i="4" s="1"/>
  <c r="R13" i="4" s="1"/>
  <c r="R15" i="4" s="1"/>
  <c r="Q32" i="4"/>
  <c r="R16" i="4" l="1"/>
  <c r="R17" i="4" s="1"/>
  <c r="R19" i="4" l="1"/>
  <c r="R22" i="4" s="1"/>
  <c r="R34" i="4" s="1"/>
  <c r="R30" i="4"/>
  <c r="R29" i="4"/>
  <c r="R32" i="4" l="1"/>
  <c r="R35" i="4"/>
  <c r="R36" i="4" s="1"/>
  <c r="R43" i="4" s="1"/>
  <c r="S13" i="4" s="1"/>
  <c r="S15" i="4" s="1"/>
  <c r="S16" i="4" l="1"/>
  <c r="S17" i="4" s="1"/>
  <c r="S19" i="4" l="1"/>
  <c r="S22" i="4" s="1"/>
  <c r="S34" i="4" s="1"/>
  <c r="S30" i="4"/>
  <c r="S29" i="4"/>
  <c r="S32" i="4" l="1"/>
  <c r="S35" i="4"/>
  <c r="S36" i="4" s="1"/>
  <c r="S43" i="4" s="1"/>
  <c r="T13" i="4" s="1"/>
  <c r="T15" i="4" s="1"/>
  <c r="T16" i="4" l="1"/>
  <c r="T17" i="4" s="1"/>
  <c r="T19" i="4" l="1"/>
  <c r="T22" i="4" s="1"/>
  <c r="T34" i="4" s="1"/>
  <c r="T29" i="4"/>
  <c r="T30" i="4"/>
  <c r="T32" i="4" l="1"/>
  <c r="T35" i="4"/>
  <c r="T36" i="4" s="1"/>
  <c r="T43" i="4" s="1"/>
  <c r="U13" i="4" s="1"/>
  <c r="U15" i="4" s="1"/>
  <c r="U16" i="4" l="1"/>
  <c r="U17" i="4" s="1"/>
  <c r="U19" i="4" l="1"/>
  <c r="U22" i="4" s="1"/>
  <c r="U34" i="4" s="1"/>
  <c r="U29" i="4"/>
  <c r="U30" i="4"/>
  <c r="U35" i="4" l="1"/>
  <c r="U36" i="4" s="1"/>
  <c r="U43" i="4" s="1"/>
  <c r="V13" i="4" s="1"/>
  <c r="V15" i="4" s="1"/>
  <c r="U32" i="4"/>
  <c r="V16" i="4" l="1"/>
  <c r="V17" i="4" s="1"/>
  <c r="V19" i="4" l="1"/>
  <c r="V22" i="4" s="1"/>
  <c r="V34" i="4" s="1"/>
  <c r="V29" i="4"/>
  <c r="V30" i="4"/>
  <c r="V32" i="4" l="1"/>
  <c r="V35" i="4"/>
  <c r="V36" i="4" s="1"/>
  <c r="V43" i="4" s="1"/>
  <c r="W13" i="4" s="1"/>
  <c r="W15" i="4" s="1"/>
  <c r="W16" i="4" l="1"/>
  <c r="W17" i="4" s="1"/>
  <c r="W19" i="4" l="1"/>
  <c r="W22" i="4" s="1"/>
  <c r="W34" i="4" s="1"/>
  <c r="W30" i="4"/>
  <c r="W29" i="4"/>
  <c r="W32" i="4" l="1"/>
  <c r="W35" i="4"/>
  <c r="W36" i="4" s="1"/>
  <c r="W43" i="4" s="1"/>
  <c r="X13" i="4" s="1"/>
  <c r="X15" i="4" s="1"/>
  <c r="X16" i="4" l="1"/>
  <c r="X17" i="4" s="1"/>
  <c r="X19" i="4" l="1"/>
  <c r="X22" i="4" s="1"/>
  <c r="X34" i="4" s="1"/>
  <c r="X30" i="4"/>
  <c r="X29" i="4"/>
  <c r="X35" i="4" l="1"/>
  <c r="X36" i="4" s="1"/>
  <c r="Y13" i="4" s="1"/>
  <c r="Y15" i="4" s="1"/>
  <c r="X32" i="4"/>
  <c r="Y16" i="4" l="1"/>
  <c r="Y17" i="4" s="1"/>
  <c r="Y19" i="4" l="1"/>
  <c r="Y22" i="4" s="1"/>
  <c r="Y34" i="4" s="1"/>
  <c r="Y30" i="4"/>
  <c r="Y29" i="4"/>
  <c r="Y32" i="4" l="1"/>
  <c r="Y35" i="4"/>
  <c r="Y36" i="4" s="1"/>
  <c r="Y43" i="4" s="1"/>
  <c r="Z13" i="4" s="1"/>
  <c r="Z15" i="4" s="1"/>
  <c r="Z16" i="4" l="1"/>
  <c r="Z17" i="4" s="1"/>
  <c r="Z19" i="4" l="1"/>
  <c r="Z22" i="4" s="1"/>
  <c r="Z34" i="4" s="1"/>
  <c r="Z29" i="4"/>
  <c r="Z30" i="4"/>
  <c r="Z35" i="4" l="1"/>
  <c r="Z36" i="4" s="1"/>
  <c r="Z43" i="4" s="1"/>
  <c r="AA13" i="4" s="1"/>
  <c r="AA15" i="4" s="1"/>
  <c r="Z32" i="4"/>
  <c r="AA16" i="4" l="1"/>
  <c r="AA17" i="4" s="1"/>
  <c r="AA19" i="4" l="1"/>
  <c r="AA22" i="4" s="1"/>
  <c r="AA34" i="4" s="1"/>
  <c r="AA29" i="4"/>
  <c r="AA30" i="4"/>
  <c r="AA35" i="4" l="1"/>
  <c r="AA36" i="4" s="1"/>
  <c r="AA43" i="4" s="1"/>
  <c r="AB13" i="4" s="1"/>
  <c r="AB15" i="4" s="1"/>
  <c r="AA32" i="4"/>
  <c r="AB16" i="4" l="1"/>
  <c r="AB17" i="4" s="1"/>
  <c r="AB19" i="4" l="1"/>
  <c r="AB22" i="4" s="1"/>
  <c r="AB34" i="4" s="1"/>
  <c r="AB29" i="4"/>
  <c r="AB30" i="4"/>
  <c r="AB35" i="4" l="1"/>
  <c r="AB36" i="4" s="1"/>
  <c r="AB43" i="4" s="1"/>
  <c r="AC13" i="4" s="1"/>
  <c r="AC15" i="4" s="1"/>
  <c r="AB32" i="4"/>
  <c r="AC16" i="4" l="1"/>
  <c r="AC17" i="4" s="1"/>
  <c r="AC19" i="4" l="1"/>
  <c r="AC22" i="4" s="1"/>
  <c r="AC34" i="4" s="1"/>
  <c r="AC29" i="4"/>
  <c r="AC30" i="4"/>
  <c r="AC35" i="4" l="1"/>
  <c r="AC36" i="4" s="1"/>
  <c r="AC43" i="4" s="1"/>
  <c r="AD13" i="4" s="1"/>
  <c r="AD15" i="4" s="1"/>
  <c r="AC32" i="4"/>
  <c r="AD16" i="4" l="1"/>
  <c r="AD17" i="4" s="1"/>
  <c r="AD19" i="4" l="1"/>
  <c r="AD22" i="4" s="1"/>
  <c r="AD34" i="4" s="1"/>
  <c r="AD29" i="4"/>
  <c r="AD30" i="4"/>
  <c r="AD32" i="4" l="1"/>
  <c r="AD35" i="4"/>
  <c r="AD36" i="4" s="1"/>
  <c r="AD43" i="4" s="1"/>
  <c r="AE13" i="4" s="1"/>
  <c r="AE15" i="4" s="1"/>
  <c r="AE16" i="4" l="1"/>
  <c r="AE17" i="4" s="1"/>
  <c r="AE19" i="4" l="1"/>
  <c r="AE22" i="4" s="1"/>
  <c r="AE34" i="4" s="1"/>
  <c r="AE29" i="4"/>
  <c r="AE30" i="4"/>
  <c r="AE35" i="4" l="1"/>
  <c r="AE36" i="4" s="1"/>
  <c r="AE43" i="4" s="1"/>
  <c r="AF13" i="4" s="1"/>
  <c r="AF15" i="4" s="1"/>
  <c r="AE32" i="4"/>
  <c r="AF16" i="4" l="1"/>
  <c r="AF17" i="4" s="1"/>
  <c r="AF19" i="4" l="1"/>
  <c r="AF22" i="4" s="1"/>
  <c r="AF34" i="4" s="1"/>
  <c r="D72" i="4" s="1"/>
  <c r="AF30" i="4"/>
  <c r="AF29" i="4"/>
  <c r="AF32" i="4" l="1"/>
  <c r="AF35" i="4"/>
  <c r="AF36" i="4" s="1"/>
  <c r="AF43" i="4" s="1"/>
  <c r="D71" i="4" s="1"/>
  <c r="D79" i="4" l="1"/>
  <c r="D73" i="4"/>
  <c r="D78" i="4"/>
  <c r="E71" i="4" l="1"/>
  <c r="D76" i="4"/>
  <c r="E72" i="4"/>
  <c r="D75" i="4" l="1"/>
  <c r="J42" i="1" s="1"/>
  <c r="D81" i="4"/>
  <c r="H40" i="1"/>
  <c r="E79" i="4"/>
  <c r="E78" i="4"/>
  <c r="E42" i="10"/>
  <c r="I42" i="10" s="1"/>
  <c r="E46" i="10"/>
  <c r="I46" i="10" s="1"/>
  <c r="B63" i="2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tc={B8360AB7-5DB1-45D3-ABF9-3AFEF51621D6}</author>
    <author>tc={D17B5162-9C54-4F03-8882-3A424C1A2E60}</author>
    <author>tc={74106D0B-4568-4C95-B1A7-D780E3BD20D3}</author>
    <author>Eduardo Ferreira</author>
  </authors>
  <commentList>
    <comment ref="B2" authorId="0" shapeId="0" xr:uid="{B8360AB7-5DB1-45D3-ABF9-3AFEF51621D6}">
      <text>
        <t>[Threaded comment]
Your version of Excel allows you to read this threaded comment; however, any edits to it will get removed if the file is opened in a newer version of Excel. Learn more: https://go.microsoft.com/fwlink/?linkid=870924
Comment:
    Date of last update of the report</t>
      </text>
    </comment>
    <comment ref="D2" authorId="1" shapeId="0" xr:uid="{D17B5162-9C54-4F03-8882-3A424C1A2E60}">
      <text>
        <t>[Threaded comment]
Your version of Excel allows you to read this threaded comment; however, any edits to it will get removed if the file is opened in a newer version of Excel. Learn more: https://go.microsoft.com/fwlink/?linkid=870924
Comment:
    Insert the date when the company will issue their next quarter/annual report</t>
      </text>
    </comment>
    <comment ref="L2" authorId="2" shapeId="0" xr:uid="{74106D0B-4568-4C95-B1A7-D780E3BD20D3}">
      <text>
        <t>[Threaded comment]
Your version of Excel allows you to read this threaded comment; however, any edits to it will get removed if the file is opened in a newer version of Excel. Learn more: https://go.microsoft.com/fwlink/?linkid=870924
Comment:
    In what exchange the company is listed in (Input the main exchange)</t>
      </text>
    </comment>
    <comment ref="D45" authorId="3" shapeId="0" xr:uid="{3E3FFF3C-33A9-994C-B6DA-EFA3EDE9D6C0}">
      <text>
        <r>
          <rPr>
            <sz val="12"/>
            <color rgb="FFFFFFFF"/>
            <rFont val="Calibri"/>
            <family val="2"/>
          </rPr>
          <t>Eduardo Ferreira:</t>
        </r>
        <r>
          <rPr>
            <sz val="10"/>
            <color rgb="FF000000"/>
            <rFont val="Arial"/>
            <family val="2"/>
          </rPr>
          <t xml:space="preserve">
</t>
        </r>
        <r>
          <rPr>
            <sz val="10"/>
            <color rgb="FF000000"/>
            <rFont val="Arial"/>
            <family val="2"/>
          </rPr>
          <t xml:space="preserve">Op. Earnings is Earnings after Cost of good solds, regular selling, general, and adminin costs of running a business, excluding interest and taxes. (EBIT)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Damião Ribeiro</author>
  </authors>
  <commentList>
    <comment ref="I23" authorId="0" shapeId="0" xr:uid="{4933DAFF-721E-4DD7-9652-E02D2A561EE8}">
      <text>
        <r>
          <rPr>
            <b/>
            <sz val="9"/>
            <color indexed="81"/>
            <rFont val="Tahoma"/>
            <family val="2"/>
          </rPr>
          <t>Damião Ribeiro:</t>
        </r>
        <r>
          <rPr>
            <sz val="9"/>
            <color indexed="81"/>
            <rFont val="Tahoma"/>
            <family val="2"/>
          </rPr>
          <t xml:space="preserve">
Average YoY Growth (Gross PPE)</t>
        </r>
      </text>
    </comment>
    <comment ref="I25" authorId="0" shapeId="0" xr:uid="{07A694DB-1205-411E-9BB0-027D86C87314}">
      <text>
        <r>
          <rPr>
            <b/>
            <sz val="9"/>
            <color indexed="81"/>
            <rFont val="Tahoma"/>
            <family val="2"/>
          </rPr>
          <t>Damião Ribeiro:</t>
        </r>
        <r>
          <rPr>
            <sz val="9"/>
            <color indexed="81"/>
            <rFont val="Tahoma"/>
            <family val="2"/>
          </rPr>
          <t xml:space="preserve">
Average YoY Growth (Gross IA)</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tc={89D8C3D4-2308-4A1E-8BBA-327D9A0766AF}</author>
    <author>tc={CBB594EE-1D4E-4105-B3F7-43E5DE44354E}</author>
    <author>tc={4D0B496C-D49C-439A-B538-F0701038FA80}</author>
    <author>tc={6DF53802-7623-431F-ADE1-7F36049B9C20}</author>
    <author>tc={7AF898E0-B0F7-43A6-A18B-D06C09622208}</author>
  </authors>
  <commentList>
    <comment ref="A45" authorId="0" shapeId="0" xr:uid="{89D8C3D4-2308-4A1E-8BBA-327D9A0766AF}">
      <text>
        <t>[Threaded comment]
Your version of Excel allows you to read this threaded comment; however, any edits to it will get removed if the file is opened in a newer version of Excel. Learn more: https://go.microsoft.com/fwlink/?linkid=870924
Comment:
    Current Port. of LT Debt/Capital Leases</t>
      </text>
    </comment>
    <comment ref="A61" authorId="1" shapeId="0" xr:uid="{CBB594EE-1D4E-4105-B3F7-43E5DE44354E}">
      <text>
        <t xml:space="preserve">[Threaded comment]
Your version of Excel allows you to read this threaded comment; however, any edits to it will get removed if the file is opened in a newer version of Excel. Learn more: https://go.microsoft.com/fwlink/?linkid=870924
Comment:
    From cash flow statement
</t>
      </text>
    </comment>
    <comment ref="A62" authorId="2" shapeId="0" xr:uid="{4D0B496C-D49C-439A-B538-F0701038FA80}">
      <text>
        <t>[Threaded comment]
Your version of Excel allows you to read this threaded comment; however, any edits to it will get removed if the file is opened in a newer version of Excel. Learn more: https://go.microsoft.com/fwlink/?linkid=870924
Comment:
    Changes in working capital</t>
      </text>
    </comment>
    <comment ref="A69" authorId="3" shapeId="0" xr:uid="{6DF53802-7623-431F-ADE1-7F36049B9C20}">
      <text>
        <t xml:space="preserve">[Threaded comment]
Your version of Excel allows you to read this threaded comment; however, any edits to it will get removed if the file is opened in a newer version of Excel. Learn more: https://go.microsoft.com/fwlink/?linkid=870924
Comment:
    Short + long tern
</t>
      </text>
    </comment>
    <comment ref="A89" authorId="4" shapeId="0" xr:uid="{7AF898E0-B0F7-43A6-A18B-D06C09622208}">
      <text>
        <t>[Threaded comment]
Your version of Excel allows you to read this threaded comment; however, any edits to it will get removed if the file is opened in a newer version of Excel. Learn more: https://go.microsoft.com/fwlink/?linkid=870924
Comment:
    Basic</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6">
    <bk>
      <extLst>
        <ext uri="{3e2802c4-a4d2-4d8b-9148-e3be6c30e623}">
          <xlrd:rvb i="2"/>
        </ext>
      </extLst>
    </bk>
    <bk>
      <extLst>
        <ext uri="{3e2802c4-a4d2-4d8b-9148-e3be6c30e623}">
          <xlrd:rvb i="5"/>
        </ext>
      </extLst>
    </bk>
    <bk>
      <extLst>
        <ext uri="{3e2802c4-a4d2-4d8b-9148-e3be6c30e623}">
          <xlrd:rvb i="8"/>
        </ext>
      </extLst>
    </bk>
    <bk>
      <extLst>
        <ext uri="{3e2802c4-a4d2-4d8b-9148-e3be6c30e623}">
          <xlrd:rvb i="11"/>
        </ext>
      </extLst>
    </bk>
    <bk>
      <extLst>
        <ext uri="{3e2802c4-a4d2-4d8b-9148-e3be6c30e623}">
          <xlrd:rvb i="14"/>
        </ext>
      </extLst>
    </bk>
    <bk>
      <extLst>
        <ext uri="{3e2802c4-a4d2-4d8b-9148-e3be6c30e623}">
          <xlrd:rvb i="15"/>
        </ext>
      </extLst>
    </bk>
  </futureMetadata>
  <futureMetadata name="XLDAPR" count="1">
    <bk>
      <extLst>
        <ext uri="{bdbb8cdc-fa1e-496e-a857-3c3f30c029c3}">
          <xda:dynamicArrayProperties fDynamic="1" fCollapsed="0"/>
        </ext>
      </extLst>
    </bk>
  </futureMetadata>
  <cellMetadata count="1">
    <bk>
      <rc t="2" v="0"/>
    </bk>
  </cellMetadata>
  <valueMetadata count="6">
    <bk>
      <rc t="1" v="0"/>
    </bk>
    <bk>
      <rc t="1" v="1"/>
    </bk>
    <bk>
      <rc t="1" v="2"/>
    </bk>
    <bk>
      <rc t="1" v="3"/>
    </bk>
    <bk>
      <rc t="1" v="4"/>
    </bk>
    <bk>
      <rc t="1" v="5"/>
    </bk>
  </valueMetadata>
</metadata>
</file>

<file path=xl/sharedStrings.xml><?xml version="1.0" encoding="utf-8"?>
<sst xmlns="http://schemas.openxmlformats.org/spreadsheetml/2006/main" count="1981" uniqueCount="1033">
  <si>
    <t>Team 1</t>
  </si>
  <si>
    <t>NYSE</t>
  </si>
  <si>
    <t xml:space="preserve">SIC: </t>
  </si>
  <si>
    <t>COMPANY DESCRIPTION</t>
  </si>
  <si>
    <t>CEO &amp; BOARD OF DIRECTORS</t>
  </si>
  <si>
    <t>Name, Age and Gender</t>
  </si>
  <si>
    <t>Tenure</t>
  </si>
  <si>
    <t>Executive?</t>
  </si>
  <si>
    <t>Other roles</t>
  </si>
  <si>
    <t>Dirk Van de Put (Male, 64)</t>
  </si>
  <si>
    <t>Yes</t>
  </si>
  <si>
    <t>Chairman, CEO, former CEO of McCain foods, former president of Groupe Danone SA</t>
  </si>
  <si>
    <t>Lewis W.K. Booth(Male, 75)</t>
  </si>
  <si>
    <t>No</t>
  </si>
  <si>
    <t>-</t>
  </si>
  <si>
    <t>Charles E. Bunch(Male, 75)</t>
  </si>
  <si>
    <t>Ertharin Cousin(Female, 66)</t>
  </si>
  <si>
    <t>Founder and CEO of Food Systems for the future Institute</t>
  </si>
  <si>
    <t>Cees ´t Hart(Male, 66)</t>
  </si>
  <si>
    <t>9 months</t>
  </si>
  <si>
    <t>Brian McNamara(Male, 56)</t>
  </si>
  <si>
    <t>2 months</t>
  </si>
  <si>
    <t>Jorge S. Mesquita (Male, 61)</t>
  </si>
  <si>
    <t>Anindita Mukherjee (Female, 57)</t>
  </si>
  <si>
    <t>Jane Hamilton Nielsen (Female, 59)</t>
  </si>
  <si>
    <t>Patrick T. Sierwert (Male, 69)</t>
  </si>
  <si>
    <t>Lead Independent Director, former Managing director and partner of the Carlyle Group</t>
  </si>
  <si>
    <t>Michael A Todman (Male, 65)</t>
  </si>
  <si>
    <t>USD MILLIONS</t>
  </si>
  <si>
    <t>In short</t>
  </si>
  <si>
    <t>3F 8M</t>
  </si>
  <si>
    <t>COMPANY OVERVIEW</t>
  </si>
  <si>
    <t>Stock</t>
  </si>
  <si>
    <t>Liquidity and Solvency</t>
  </si>
  <si>
    <t>Segments</t>
  </si>
  <si>
    <t>Profitability (2022)</t>
  </si>
  <si>
    <t>Multiples</t>
  </si>
  <si>
    <t>Last Price</t>
  </si>
  <si>
    <t>Total Assets</t>
  </si>
  <si>
    <t>Regions</t>
  </si>
  <si>
    <t>% Sales</t>
  </si>
  <si>
    <t>Reporting Year</t>
  </si>
  <si>
    <t>Float</t>
  </si>
  <si>
    <t>99,26%</t>
  </si>
  <si>
    <t>Outstanding Shares</t>
  </si>
  <si>
    <t>Total Liabilities</t>
  </si>
  <si>
    <t>End of Year</t>
  </si>
  <si>
    <t>Insiders Own</t>
  </si>
  <si>
    <t>0,19%</t>
  </si>
  <si>
    <t>Market Cap.</t>
  </si>
  <si>
    <t>Cash/Share</t>
  </si>
  <si>
    <t>EBITDA</t>
  </si>
  <si>
    <t>b (Yahoo)</t>
  </si>
  <si>
    <t>0,58</t>
  </si>
  <si>
    <t>+Total Debt</t>
  </si>
  <si>
    <t>EBITDA/Net Financial Cost (NFC)</t>
  </si>
  <si>
    <t>Depreciation &amp; Amortization</t>
  </si>
  <si>
    <t>Score (S&amp;P)</t>
  </si>
  <si>
    <t>BBB</t>
  </si>
  <si>
    <t>-Cash</t>
  </si>
  <si>
    <t>Debt/EBITDA</t>
  </si>
  <si>
    <t>EBIT</t>
  </si>
  <si>
    <t>Price/Book Value</t>
  </si>
  <si>
    <t>=Enterprise Value</t>
  </si>
  <si>
    <t>"Others Assets"/Asset</t>
  </si>
  <si>
    <t>Net Income</t>
  </si>
  <si>
    <t>NCF(3y avg)/Asset</t>
  </si>
  <si>
    <t>Holdings (nac/int'l)</t>
  </si>
  <si>
    <t>Debt/Assets</t>
  </si>
  <si>
    <t>Categories</t>
  </si>
  <si>
    <t>EPS</t>
  </si>
  <si>
    <t>Price/Net Inc. (3y avg)</t>
  </si>
  <si>
    <t>t liq. (Holdings/Vol.)</t>
  </si>
  <si>
    <t>EBITDA Margin (average)</t>
  </si>
  <si>
    <t>ROA</t>
  </si>
  <si>
    <t>EV/Asset</t>
  </si>
  <si>
    <t>% Short</t>
  </si>
  <si>
    <t>1,25%</t>
  </si>
  <si>
    <t>Operating Margin (average)</t>
  </si>
  <si>
    <t>ROIC</t>
  </si>
  <si>
    <t>EV/Ebitda (3y average)</t>
  </si>
  <si>
    <t>Traffic ESG</t>
  </si>
  <si>
    <t>Net Income Margin (average)</t>
  </si>
  <si>
    <t>EBITDA (3y average)</t>
  </si>
  <si>
    <t>Price/NCF (3y average)</t>
  </si>
  <si>
    <t>E</t>
  </si>
  <si>
    <t>Net Income (3y average)</t>
  </si>
  <si>
    <t>Bonds 1,3,5a (USD)</t>
  </si>
  <si>
    <t>S</t>
  </si>
  <si>
    <t>Net Financial Cost/Avg Net Debt</t>
  </si>
  <si>
    <t>NCF (3y average)</t>
  </si>
  <si>
    <t>Div+Rep.(3y avg)/Price</t>
  </si>
  <si>
    <t>G</t>
  </si>
  <si>
    <t>Div. Yield</t>
  </si>
  <si>
    <t>INVESTMENT THESIS</t>
  </si>
  <si>
    <t>Pillars of Recommendation</t>
  </si>
  <si>
    <t>Recommendation</t>
  </si>
  <si>
    <t>Valuation Assumptions</t>
  </si>
  <si>
    <t>Pillar</t>
  </si>
  <si>
    <t>Explanation</t>
  </si>
  <si>
    <t>Moderate Buy</t>
  </si>
  <si>
    <t>Check DCF</t>
  </si>
  <si>
    <t>DCF</t>
  </si>
  <si>
    <t>As we explained in the DCF the company shows signs of potencial growth</t>
  </si>
  <si>
    <t>Mindful Snacking</t>
  </si>
  <si>
    <t>Mondelez has the objetive of by 2025 to deliver up to 100% of their net revenue, through products with indidually wrapped portion serving size of less than 200 calories packs, which is what a rising trend of their consumers want and might prove as a solution to higher input prices and to health aware consumers</t>
  </si>
  <si>
    <t>Brand recognition</t>
  </si>
  <si>
    <t>Mondelez brands are widely known which may attract more attention from investors and consumers</t>
  </si>
  <si>
    <t>Risks of Investment</t>
  </si>
  <si>
    <t>Price Target</t>
  </si>
  <si>
    <t>Valuation</t>
  </si>
  <si>
    <t>Risk</t>
  </si>
  <si>
    <t>Discount Rate</t>
  </si>
  <si>
    <t>Price M. Upside</t>
  </si>
  <si>
    <t>Health awareness trend</t>
  </si>
  <si>
    <t xml:space="preserve">If consumers switch to a more health oriented purchases, Mondelez with only the brands it has now, will be negatively affected </t>
  </si>
  <si>
    <t>Cocoa prices</t>
  </si>
  <si>
    <t>Cocoa is one of the main inputs of Mondelez, their most popular products contain it as an ingredient, if the present cocoa price situation worsens Mondelez will be at risk</t>
  </si>
  <si>
    <t>Upside</t>
  </si>
  <si>
    <t>EV M. Upside</t>
  </si>
  <si>
    <t>FINANCIAL PERFORMANCE</t>
  </si>
  <si>
    <t>Year</t>
  </si>
  <si>
    <t>Net Sales</t>
  </si>
  <si>
    <t>Operating Margin</t>
  </si>
  <si>
    <t>Dividends + Share Buyback</t>
  </si>
  <si>
    <t>Net Cash Flow</t>
  </si>
  <si>
    <t>Capex + Investments</t>
  </si>
  <si>
    <t>Cash Flow</t>
  </si>
  <si>
    <t>Operating CF</t>
  </si>
  <si>
    <t>Investing CF</t>
  </si>
  <si>
    <t>Net Capex</t>
  </si>
  <si>
    <t>Investments &amp; Acquisitions</t>
  </si>
  <si>
    <t>Financing CF</t>
  </si>
  <si>
    <t>Dividends</t>
  </si>
  <si>
    <t>Share Buyback</t>
  </si>
  <si>
    <t>Annual Growth Rate</t>
  </si>
  <si>
    <t>FX</t>
  </si>
  <si>
    <t>Average Growth Rate</t>
  </si>
  <si>
    <t>Changes in Cash</t>
  </si>
  <si>
    <t>CVAR</t>
  </si>
  <si>
    <r>
      <t>Inventory/</t>
    </r>
    <r>
      <rPr>
        <sz val="10"/>
        <rFont val="Symbol"/>
        <family val="1"/>
        <charset val="2"/>
      </rPr>
      <t>D</t>
    </r>
    <r>
      <rPr>
        <sz val="10"/>
        <rFont val="Arial"/>
        <family val="2"/>
      </rPr>
      <t xml:space="preserve"> Revenues</t>
    </r>
  </si>
  <si>
    <t>Last Year</t>
  </si>
  <si>
    <t>t inversiones; t adq. neto dep.</t>
  </si>
  <si>
    <t>QUALITATIVE ANALYSIS</t>
  </si>
  <si>
    <t>SWOT ANALYSIS</t>
  </si>
  <si>
    <t>HOLDERS</t>
  </si>
  <si>
    <t>Pros</t>
  </si>
  <si>
    <t>Cons</t>
  </si>
  <si>
    <t>Name</t>
  </si>
  <si>
    <t>% Stake</t>
  </si>
  <si>
    <t>Brand recognition(Mondelez brands are easily recognized, having consumers worldwide)                                                                                                           Newer generations snacking trend(Most recent generations tend to "snack" along the day),                                                                                                                                              Wide portfolio(Belvita, Cadbury, Sour patch kids,...)</t>
  </si>
  <si>
    <t>Industry highly competitive(This industry is very with large companies focused on innovating their products and attracting consumers)                                                                                                                                                                             Dependance on developed countries(For example 67% of their sales are from NA and EU)</t>
  </si>
  <si>
    <t>The Vanguard Group, Inc.</t>
  </si>
  <si>
    <t>BlackRock Institutional Trust Company, N.A.</t>
  </si>
  <si>
    <t>State Street Global Advisors (US)</t>
  </si>
  <si>
    <t>T. Rowe Price Associates, Inc.</t>
  </si>
  <si>
    <t>Capital Research Global Investors</t>
  </si>
  <si>
    <t>Geode Capital Management, L.L.C.</t>
  </si>
  <si>
    <t>Invesco Capital Management (QQQ Trust)</t>
  </si>
  <si>
    <t>JP Morgan Asset Management</t>
  </si>
  <si>
    <t>Fidelity Management &amp; Research Company LLC</t>
  </si>
  <si>
    <t>Capital World Investors</t>
  </si>
  <si>
    <t>Opportunities</t>
  </si>
  <si>
    <t>Risks</t>
  </si>
  <si>
    <t>Columbia Threadneedle Investments (US)</t>
  </si>
  <si>
    <t>Health aware snacks(Consumers are more selective on their choices trying to be more healthy, Mondelez could try to grow in this market aswell).</t>
  </si>
  <si>
    <t>Input prices(With changes in their inputs, due to instability on producing countries, climate change among other threats, their future could become unpredictable, an example of this could be the rise of cocoa prices),                                                                         Health awareness trend(Consumers might switch to consumption of healthier products and Mondelez doesn´t have much to offer),  Cybersecurity</t>
  </si>
  <si>
    <t>Norges Bank Investment Management (NBIM)</t>
  </si>
  <si>
    <t>Lindsell Train Limited</t>
  </si>
  <si>
    <t>Capital International Investors</t>
  </si>
  <si>
    <t>Managed Account Advisors LLC</t>
  </si>
  <si>
    <t>Legal &amp; General Investment Management Ltd.</t>
  </si>
  <si>
    <t>Neuberger Berman, LLC [Activist]</t>
  </si>
  <si>
    <t>Vontobel Asset Management, Inc.</t>
  </si>
  <si>
    <t>BofA Global Research (US)</t>
  </si>
  <si>
    <t>Nuveen LLC</t>
  </si>
  <si>
    <t>NOTES</t>
  </si>
  <si>
    <t>STOCK PERFORMANCE (5 years)</t>
  </si>
  <si>
    <t>Invertir</t>
  </si>
  <si>
    <t>NO invertir</t>
  </si>
  <si>
    <t>Mantener sin elevar posición</t>
  </si>
  <si>
    <t>Mantener (y seguir comprando)</t>
  </si>
  <si>
    <t>Liquidar</t>
  </si>
  <si>
    <t>PENDIENTE</t>
  </si>
  <si>
    <t>Products</t>
  </si>
  <si>
    <t>Nominal value</t>
  </si>
  <si>
    <t>YoY Growth</t>
  </si>
  <si>
    <t>Weight</t>
  </si>
  <si>
    <t>Region</t>
  </si>
  <si>
    <t>Latin America</t>
  </si>
  <si>
    <t>AMEA</t>
  </si>
  <si>
    <t>Europe</t>
  </si>
  <si>
    <t>North America</t>
  </si>
  <si>
    <t>TOTAL</t>
  </si>
  <si>
    <t>Category</t>
  </si>
  <si>
    <t>Biscuits &amp; Baked Snacks</t>
  </si>
  <si>
    <t>Chocolate</t>
  </si>
  <si>
    <t>Gum &amp; Candy</t>
  </si>
  <si>
    <t>Beverages</t>
  </si>
  <si>
    <t>Cheese &amp; Grocery</t>
  </si>
  <si>
    <t>Description</t>
  </si>
  <si>
    <t>Graphs</t>
  </si>
  <si>
    <t>Brands like Oreo and Chips Ahoy</t>
  </si>
  <si>
    <t>Brands like Milka and Dairy Milk</t>
  </si>
  <si>
    <t>Brands like Halls and Trident</t>
  </si>
  <si>
    <t>Brands like Tang and Bournvita</t>
  </si>
  <si>
    <t>Brands like Wheat Thins and Philadelphia</t>
  </si>
  <si>
    <t>Industry</t>
  </si>
  <si>
    <t>Graphs (Industry Forecasts)</t>
  </si>
  <si>
    <t>Drivers</t>
  </si>
  <si>
    <t>Cocoa Prices</t>
  </si>
  <si>
    <t>Because of the higher cocoa costs many companies are passing on the burden to the consumers and chocolate sales have been going down.</t>
  </si>
  <si>
    <t>Consumer Preferences</t>
  </si>
  <si>
    <t>Increasing consumers preference towards baked food over fried food.</t>
  </si>
  <si>
    <t>Sales forecast</t>
  </si>
  <si>
    <t>Source</t>
  </si>
  <si>
    <t>Market Growth CAGR</t>
  </si>
  <si>
    <t>Period</t>
  </si>
  <si>
    <t>Mordor Intelligence</t>
  </si>
  <si>
    <t>2024-2030</t>
  </si>
  <si>
    <t>2024-2029</t>
  </si>
  <si>
    <t>Fortune Business</t>
  </si>
  <si>
    <t>2022-2029</t>
  </si>
  <si>
    <t>Average</t>
  </si>
  <si>
    <t>Company's Strategy / Extra Notes</t>
  </si>
  <si>
    <t>-Mondelez International focuses on growing by putting consumers first, especially in chocolate, biscuits, and backed snacks.</t>
  </si>
  <si>
    <t>-They want to expand into new markets and offer products at different prices, quickly adapting to what consumers want.</t>
  </si>
  <si>
    <t>-Mondelez is working to save money and improve how they sell online, using digital tools to meet customer needs.</t>
  </si>
  <si>
    <t xml:space="preserve">-They're letting local teams make more decisions to better serve customers, while also trying to pollute less and use less packaging. </t>
  </si>
  <si>
    <t>Peer Logo</t>
  </si>
  <si>
    <t>Peer Name</t>
  </si>
  <si>
    <t>Hershey's, is an American multinational confectionery company headquartered in Hershey, Pennsylvania, U.S. The Hershey Company is one of the largest chocolate manufacturers in the world it also manufactures baked products, such as cookies and cakes, and sells beverages like milkshakes, as well as other products.
Hershey's chocolate is available in 60 countries, In addition, Hershey is a member of the World Cocoa Foundation. It is also associated with the Hersheypark Stadium and the Giant Center.</t>
  </si>
  <si>
    <t>Tootsie Roll Industries is an American manufacturer of confectionery based in Chicago, Illinois. Its best-known products include the namesake Tootsie Rolls and Tootsie Pops. Tootsie Roll Industries currently markets its brands internationally in Canada, Mexico, and over 75 other countries.</t>
  </si>
  <si>
    <t>Nestlé S.A. is a Swiss multinational food and drink processing conglomerate corporation headquartered in Vevey, Switzerland. It has been the largest publicly held food company in the world
Nestlé's products include baby food, medical food, bottled water, breakfast cereals, coffee and tea, confectionery, dairy products, ice cream, frozen food, pet foods, and snacks. Nestlé has 447 factories, operates in 189 countries, and employs around 339,000 people.It is one of the main shareholders of L'Oreal, the world's largest cosmetics company.
The company has been associated with various controversies, facing criticism and boycotts over its marketing of baby formula as an alternative to breastfeeding in developing countries (where clean water may be scarce), its reliance on child labour in cocoa production, and its production and promotion of bottled water.</t>
  </si>
  <si>
    <t>Chocoladefabriken Lindt &amp; Sprüngli AG, aka Lindt, is a Swiss chocolatier and confectionery company founded in 1845 and known for its chocolate truffles and chocolate bars, among other sweets. It is based in Kilchberg Switzerland, where its main factory and museum are located. Lindt is one of the largest Swiss chocolate manufacturers.</t>
  </si>
  <si>
    <t>In Millions USD</t>
  </si>
  <si>
    <t>AVERAGE</t>
  </si>
  <si>
    <t>Deviation from Average</t>
  </si>
  <si>
    <t>Company Info</t>
  </si>
  <si>
    <t>TRAFFIC</t>
  </si>
  <si>
    <t>Market Cap</t>
  </si>
  <si>
    <t>Best Value</t>
  </si>
  <si>
    <t>Net Sales (current)</t>
  </si>
  <si>
    <t>Profitability</t>
  </si>
  <si>
    <t>Important Value</t>
  </si>
  <si>
    <t>Sales Growth (ttm)</t>
  </si>
  <si>
    <t>Sales Growth (36m)</t>
  </si>
  <si>
    <t>Worst Value</t>
  </si>
  <si>
    <t>Net Income Margin</t>
  </si>
  <si>
    <t>Return on Equity (RoE)</t>
  </si>
  <si>
    <t>Return on Invested Capital (ROIC)</t>
  </si>
  <si>
    <t>Solvency</t>
  </si>
  <si>
    <t>Net Debt/EBITDA</t>
  </si>
  <si>
    <t>Interest Coverage Ratio</t>
  </si>
  <si>
    <t>Liquidity</t>
  </si>
  <si>
    <t>Current Ratio</t>
  </si>
  <si>
    <t>Quick Ratio</t>
  </si>
  <si>
    <t>Activity</t>
  </si>
  <si>
    <t>Inventory Turnover</t>
  </si>
  <si>
    <t>Acc. Receivable Turnover</t>
  </si>
  <si>
    <t>Price/Sales</t>
  </si>
  <si>
    <t>Payables Turnover</t>
  </si>
  <si>
    <t>Fixed Asset Turnover</t>
  </si>
  <si>
    <t>Total Asset Turnover</t>
  </si>
  <si>
    <t>Price/Earnings</t>
  </si>
  <si>
    <t>Price/Book</t>
  </si>
  <si>
    <t>EV/Sales</t>
  </si>
  <si>
    <t>EV/EBITDA</t>
  </si>
  <si>
    <t>Stock Info</t>
  </si>
  <si>
    <r>
      <t xml:space="preserve">b </t>
    </r>
    <r>
      <rPr>
        <b/>
        <sz val="10"/>
        <rFont val="Arial"/>
        <family val="2"/>
      </rPr>
      <t>(Yahoo)</t>
    </r>
  </si>
  <si>
    <t>Dividend Yield (yahoo finance)</t>
  </si>
  <si>
    <t>Stock Performance</t>
  </si>
  <si>
    <t>1y</t>
  </si>
  <si>
    <t>3y</t>
  </si>
  <si>
    <t>Current Price</t>
  </si>
  <si>
    <t>Average Target Price</t>
  </si>
  <si>
    <t>Upside/Downside</t>
  </si>
  <si>
    <t>Extra</t>
  </si>
  <si>
    <t>3y Operating Cash Flow</t>
  </si>
  <si>
    <t>R&amp;D/Net Sales</t>
  </si>
  <si>
    <t>Financial Data</t>
  </si>
  <si>
    <t>IS</t>
  </si>
  <si>
    <t>Net Sales (36m ago)</t>
  </si>
  <si>
    <t>Net Sales (12m ago)</t>
  </si>
  <si>
    <t>COGS</t>
  </si>
  <si>
    <t>Operating Income</t>
  </si>
  <si>
    <t>Net Financial Cost</t>
  </si>
  <si>
    <t>Taxes</t>
  </si>
  <si>
    <t>R&amp;D</t>
  </si>
  <si>
    <t>BS</t>
  </si>
  <si>
    <t>Cash &amp; Eq.</t>
  </si>
  <si>
    <t>Acc. Receivables</t>
  </si>
  <si>
    <t>Inventory</t>
  </si>
  <si>
    <t>Current Assets</t>
  </si>
  <si>
    <t>Fixed Assets</t>
  </si>
  <si>
    <t>Acc. Payable</t>
  </si>
  <si>
    <t>Current Liabilities</t>
  </si>
  <si>
    <t>Total Debt</t>
  </si>
  <si>
    <t>Total Equity</t>
  </si>
  <si>
    <t>Mondelez</t>
  </si>
  <si>
    <t>Hershey´s</t>
  </si>
  <si>
    <t>ROE</t>
  </si>
  <si>
    <t>Leverage</t>
  </si>
  <si>
    <t>ROE (Confirmation)</t>
  </si>
  <si>
    <t>Net Profit Margin</t>
  </si>
  <si>
    <t>Tootsey Roll</t>
  </si>
  <si>
    <t>Nestle</t>
  </si>
  <si>
    <t>Lindt</t>
  </si>
  <si>
    <t>T rate</t>
  </si>
  <si>
    <t>Numerator</t>
  </si>
  <si>
    <t>Invested cap</t>
  </si>
  <si>
    <t>ROIC Confirmation</t>
  </si>
  <si>
    <t>Company GICS Sector:</t>
  </si>
  <si>
    <t>Consumer Staples</t>
  </si>
  <si>
    <t>&lt;- Select Industry</t>
  </si>
  <si>
    <t>ESG Analysis</t>
  </si>
  <si>
    <t>Relative ESG Analysis</t>
  </si>
  <si>
    <t>Parameters</t>
  </si>
  <si>
    <t>Impact</t>
  </si>
  <si>
    <t>Do they report?</t>
  </si>
  <si>
    <t>Ranking</t>
  </si>
  <si>
    <t>Mitigation Plan</t>
  </si>
  <si>
    <t>Traffic Lights</t>
  </si>
  <si>
    <t>Improvement over time?</t>
  </si>
  <si>
    <t>Targets / Goals?</t>
  </si>
  <si>
    <t>Comments</t>
  </si>
  <si>
    <t>Environmental</t>
  </si>
  <si>
    <t>Ratios</t>
  </si>
  <si>
    <t>CO2 Direct Emissions</t>
  </si>
  <si>
    <t>Medium</t>
  </si>
  <si>
    <t xml:space="preserve">Is a bit irregular, in the previous years they were improving, but last year they have incresead a bit their emissions
</t>
  </si>
  <si>
    <t xml:space="preserve">"They are in the process of adjusting our SBTi scope 
boundaries while considering the more recent launch of the SBTi’s 
guidance on Forest, Land and Agriculture (FLAG) emissions and 
finalizing their reduction pathway towards our net zero goal."
</t>
  </si>
  <si>
    <t>Still not much improvement on the CO2 direct emissions numbers, but they have a lot of planes to change that like: partnering on innovative technologies, changes in investment holdings in other companies, partnering for People &amp; Planet supplier partnership program. In the CO2 emissions acroos the manufacturing operation is were we can see a big reduction already, 25% in the last 4 years. I believe they will decrease the direct emissions in the future.</t>
  </si>
  <si>
    <t>CO2 Emissions/$M Sales</t>
  </si>
  <si>
    <t>Total Water Consumption</t>
  </si>
  <si>
    <t>Yes, over the past 4 years, the total water consumption has decreased</t>
  </si>
  <si>
    <t xml:space="preserve">They have a goal to reduce absolute water usage in priority sites by 10% by 2025.
Expanding beyond manufacturing operations, MDLZ is integrating water stewardship into raw material production to address the majority of its water footprint. The aim is to develop an end-to-end 2030 water stewardship strategy by applying learnings from this expanded approach.  </t>
  </si>
  <si>
    <t>They are managing to improve over the years, twith projects like: "Improving Water Use Across Europe", "Reducing Water Consumption in Peru", "Saving Water in India". If MDLZ keep this strategy and mindset they will continue to improve the numbers.</t>
  </si>
  <si>
    <t>Water Consumption/$M Sales</t>
  </si>
  <si>
    <t>Total Energy Consumption</t>
  </si>
  <si>
    <t>Medium High</t>
  </si>
  <si>
    <t>Yes, they have been consuming less energy in the last four years in a row, and the percentage of renewable energy is increasing exponatially, 4x higher compared to 4 years ago</t>
  </si>
  <si>
    <t>They are aiming to use 100% renewable electricity
across Mondelēz International manufacturing sites by 2030</t>
  </si>
  <si>
    <t>In this sector Mondelez are going really well, with plans for: reducing emissions in logistics, investing in renewables around the world, converting from fossil fuels to biogas. 39% of total energy is renewable which is pretty good. They are doing na amazing job in this sector.</t>
  </si>
  <si>
    <t>Energy Consumption/$M Sales</t>
  </si>
  <si>
    <t>Waste Management</t>
  </si>
  <si>
    <t>Over the past years there as been a decrease on total waste generated in
internal manufacturing sites and total food waste generated
in internal manufacturing
sites, but only last that didn't happen with very small increase over those numbers</t>
  </si>
  <si>
    <t>In 2022, MDLZ reduced food waste  in internal manufacturing sites  by 25%, exceeding their goal of a  15% reduction by 2025 (vs. 2018).
This early delivery proves their focus on eliminating waste from their sites.
They also reduced food waste from distribution by 58%, exceeding their goal of a 50% reduction by 2025 (vs. 2018).</t>
  </si>
  <si>
    <t xml:space="preserve">MDLZ is a Consumer Staples Industry, therefore Waste Management is a really important topic. On this subject the company has really good numbers and plan to keep improving, they are doing very well. </t>
  </si>
  <si>
    <t>Waste Production/$M Sales</t>
  </si>
  <si>
    <t>Land Degradation/Deforestation/Biodiversity loss/Animal sufering/…</t>
  </si>
  <si>
    <t>N/A</t>
  </si>
  <si>
    <t>Inputs</t>
  </si>
  <si>
    <t>Social</t>
  </si>
  <si>
    <t>Net Sales ($M)</t>
  </si>
  <si>
    <t xml:space="preserve"> $                  30 016,00</t>
  </si>
  <si>
    <t xml:space="preserve"> $                11 165,00</t>
  </si>
  <si>
    <t xml:space="preserve"> $                      769,37</t>
  </si>
  <si>
    <t xml:space="preserve"> $                 7 100,00</t>
  </si>
  <si>
    <t xml:space="preserve"> $                 5 201,20</t>
  </si>
  <si>
    <t>Employee Turnover %</t>
  </si>
  <si>
    <t>CO2 Emissions Total (Tonnes)</t>
  </si>
  <si>
    <t> </t>
  </si>
  <si>
    <t>Salaries &amp; Compensation</t>
  </si>
  <si>
    <t>Improved. In 2018 -18% of Total Recordable Incidents, in 2019 -22%, in 2020 -10%, in 2021 +17% and in 2022 -5%</t>
  </si>
  <si>
    <t>In 2021 MDLZ launched “The Right You,” a global cross-functional initiative empowering their team members to thrive both at work and at home. “The Right You” is a globally-integrated, holistic approach to employee well-being, that provides employees with resources, tools, social support, privacy, and strategies to adopt and maintain healthy behaviors and ensures awareness of all employees of available resources.</t>
  </si>
  <si>
    <t>The Audit Committee oversees their safety performance and reviews with management their safety priorities and initiatives. To promote a strong culture of safety and prioritize keeping a safe working environment, they employ comprehensive health, safety and environment management policies and standards throughout the organization. In addition, they strive to continuously improve our work processes, tools and metrics to reduce workplace injuries and enhance safety. They will keep improving in this topic.</t>
  </si>
  <si>
    <t>Water Consumption Total (Cubic Meters)</t>
  </si>
  <si>
    <t>Reputation</t>
  </si>
  <si>
    <t>Energy Consumption Total (Gigajoules)</t>
  </si>
  <si>
    <t>Discrimination Events</t>
  </si>
  <si>
    <t>Waste Production Total (Tonnes)</t>
  </si>
  <si>
    <t>Work Safety</t>
  </si>
  <si>
    <t>ESG Scores</t>
  </si>
  <si>
    <t>Damage to consumer health</t>
  </si>
  <si>
    <t>Refinitiv</t>
  </si>
  <si>
    <t>PXP?</t>
  </si>
  <si>
    <t>Sustainalytics</t>
  </si>
  <si>
    <t>22.6 (medium risk)</t>
  </si>
  <si>
    <t>21.8 (medium risk)</t>
  </si>
  <si>
    <t>38 (high risk)</t>
  </si>
  <si>
    <t>20.9 (medium risk)</t>
  </si>
  <si>
    <t>23.5 (medium risk)</t>
  </si>
  <si>
    <t>Supply chain</t>
  </si>
  <si>
    <t>In 2022, MDLZ continued to drove more spend with minority and women owned businesses, creating equitable opportunities in the communities they
serve throughout the globe, building a more
inclusive and diverse supply chain.</t>
  </si>
  <si>
    <t>$1 billion with diverse suppliers (majority owned and controlled by women, racial/ethnic minorities, LGBTQ+ individuals, individuals with disabilities, and veterans) globally by 2024.</t>
  </si>
  <si>
    <t xml:space="preserve">
Continuing their journey towards the $1B goal, the company remains dedicated to fostering a diverse and inclusive supply chain. Their commitment to DE&amp;I remains unwavering as they strive to empower underrepresented communities. Upholding their values, they aim to drive innovation and provide customers with healthier snack options. Their focus on DE&amp;I initiatives strengthens partnerships with locally relevant communities. Together, they aim to ensure that 100% of their business supports underrepresented groups, furthering their mission of inclusivity.
(DE&amp;I stands for Diversity, Equity, and Inclusion)</t>
  </si>
  <si>
    <t>ISS</t>
  </si>
  <si>
    <t>C</t>
  </si>
  <si>
    <t>D-</t>
  </si>
  <si>
    <t>Community involvement</t>
  </si>
  <si>
    <t>CDP</t>
  </si>
  <si>
    <t>A-/B-/C</t>
  </si>
  <si>
    <t>B/B-/B</t>
  </si>
  <si>
    <t>F/F</t>
  </si>
  <si>
    <t>F/F/F</t>
  </si>
  <si>
    <t>D/D/F</t>
  </si>
  <si>
    <t>Public Sector</t>
  </si>
  <si>
    <t>Litigation</t>
  </si>
  <si>
    <t>Corporate Governance</t>
  </si>
  <si>
    <t>PARAMETERS</t>
  </si>
  <si>
    <t>Diversity (Gender, Age, Industry, Region)</t>
  </si>
  <si>
    <t>Increased</t>
  </si>
  <si>
    <t>According to ZIPPIA: Mondelēz International has 80,000 employees.
40% of Mondelēz International employees are women, while 60% are men.
The most common ethnicity at Mondelēz International is White (62%).
15% of Mondelēz International employees are Hispanic or Latino.
11% of Mondelēz International employees are Black or African American.</t>
  </si>
  <si>
    <t>IMPACT</t>
  </si>
  <si>
    <t>RANKING</t>
  </si>
  <si>
    <t>MITIGATION PLAN</t>
  </si>
  <si>
    <t>% Independence</t>
  </si>
  <si>
    <t>At least 80% of their directors must meet the independence requirements prescribed by Nasdaq listing standards.A director is considered independent if the Board affirmatively determines, after reviewing all relevant information, that the director has no relationship with Mondelēz International or any of its subsidiaries that would interfere with the exercise of independent judgment in carrying out the responsibilities of a director.The Board determined that all People and Compensation Committee members are independent within the meaning of the Nasdaq listing standards, including the heightened independence criteria for compensation committee members.</t>
  </si>
  <si>
    <t>Low</t>
  </si>
  <si>
    <t>"Best in class"</t>
  </si>
  <si>
    <t>Is there evidence of a plan/program ?</t>
  </si>
  <si>
    <t>average time as independent directors</t>
  </si>
  <si>
    <t>The independent directors annually select the independent Lead Director for a one-year term. However, if each member of the Governance Committee fails to receive a sufficient vote for re-election,
then the independent directors who received a sufficient vote appoint a committee amongst themselves to
consider the resignation offers and make a recommendation to the Board whether to accept them. However, if
only three or fewer independent directors received a sufficient vote for re-election, then all independent
directors may participate in the action regarding whether to accept the resignation offers, other than with
respect to his or her individual resignation offer tendered pursuant to this provision.</t>
  </si>
  <si>
    <t>Recent departures of directors / C-level executives?</t>
  </si>
  <si>
    <t>There are no reports of any big problems with departures from directors/C- level executives.</t>
  </si>
  <si>
    <t>High</t>
  </si>
  <si>
    <t>CEO/Chairman duality</t>
  </si>
  <si>
    <t>"Villain"</t>
  </si>
  <si>
    <t>Dirk Van de Put is Chairman and CEO of Mondelēz International</t>
  </si>
  <si>
    <t>Very high</t>
  </si>
  <si>
    <t>Transparency (ESG, segments, acquisitions, other)</t>
  </si>
  <si>
    <t>The annual report have a lot of information, yet I encountered some difficulty locating specific details, especially within the governance segment.</t>
  </si>
  <si>
    <t>Time taken to report after the end of the quarter / year</t>
  </si>
  <si>
    <t>MDLZ published its annual report on January 30, 2024.</t>
  </si>
  <si>
    <t>Additional participation of the CEO in other boards or excessive participation of Ch.</t>
  </si>
  <si>
    <t xml:space="preserve">4 of 11 memeber of the board  are board of directors in other companies. </t>
  </si>
  <si>
    <t>Audit / Consulting</t>
  </si>
  <si>
    <t> "The Audit Committee (the “Committee”) of the Board of Directors (the “Board”) of Mondelēz International, Inc. (“Mondelēz International” or the “Company”) will oversee
Mondelēz International’s accounting and financial reporting processes, and audits of its" financial statements.</t>
  </si>
  <si>
    <t>ESG-compensation related</t>
  </si>
  <si>
    <t>Management compensation schemes</t>
  </si>
  <si>
    <t>See Proxy Statement 2023, page 61</t>
  </si>
  <si>
    <t>Assumptions</t>
  </si>
  <si>
    <t>Prospects:</t>
  </si>
  <si>
    <t>Links:</t>
  </si>
  <si>
    <t>Revenue Growth</t>
  </si>
  <si>
    <t>CAGR (ST) 24-28:</t>
  </si>
  <si>
    <t>Finbox (Consumer Staples Industry)</t>
  </si>
  <si>
    <t xml:space="preserve">Average </t>
  </si>
  <si>
    <t>Short Term Forecast</t>
  </si>
  <si>
    <t>Long Term Forecast</t>
  </si>
  <si>
    <t>Revenue growth</t>
  </si>
  <si>
    <t>EBIT/Sales</t>
  </si>
  <si>
    <t>Modelling Factors</t>
  </si>
  <si>
    <t>Last 5 Years</t>
  </si>
  <si>
    <t>Reference</t>
  </si>
  <si>
    <t>Depreciation factor</t>
  </si>
  <si>
    <t>% PPE</t>
  </si>
  <si>
    <t>Amortization factor</t>
  </si>
  <si>
    <t>% IA</t>
  </si>
  <si>
    <t>Stock-based comp</t>
  </si>
  <si>
    <t>% Revenue</t>
  </si>
  <si>
    <t>Tax Rate</t>
  </si>
  <si>
    <t>% EBT</t>
  </si>
  <si>
    <t>Interest Rate on debt</t>
  </si>
  <si>
    <t>% Debt</t>
  </si>
  <si>
    <t>Interest Rate on cash</t>
  </si>
  <si>
    <t xml:space="preserve">% Cash </t>
  </si>
  <si>
    <t>PPE+ROA</t>
  </si>
  <si>
    <t>- -</t>
  </si>
  <si>
    <t>Growing with CAPEX</t>
  </si>
  <si>
    <t>Working capital flows</t>
  </si>
  <si>
    <t xml:space="preserve">% Change in Revenues </t>
  </si>
  <si>
    <t>Intangible Assets</t>
  </si>
  <si>
    <t>Growing with Amortization</t>
  </si>
  <si>
    <t xml:space="preserve">CAPEX </t>
  </si>
  <si>
    <t>Acquisition factor</t>
  </si>
  <si>
    <t>% Net Income</t>
  </si>
  <si>
    <t>Repurchases</t>
  </si>
  <si>
    <t>Leases</t>
  </si>
  <si>
    <t>Cash Costs for EBIT</t>
  </si>
  <si>
    <t>% EBITDA</t>
  </si>
  <si>
    <t>Forecasts</t>
  </si>
  <si>
    <t>Revenue and Operating Profit Forecast:</t>
  </si>
  <si>
    <t>Historical Data</t>
  </si>
  <si>
    <t>Growth (YoY)</t>
  </si>
  <si>
    <t>Sum of Biscuits and Chocolate Segment</t>
  </si>
  <si>
    <t>EBIT/Sales (%)</t>
  </si>
  <si>
    <t>Percentage over Total Sales</t>
  </si>
  <si>
    <t>AVG</t>
  </si>
  <si>
    <t>they plan on lowering the quantity of food, producing "mindful snacking", in order to meet ESG targets. We think that hey might take advantage by increasing prices,</t>
  </si>
  <si>
    <t xml:space="preserve">they're trying to reach 90% </t>
  </si>
  <si>
    <t>Target 2030</t>
  </si>
  <si>
    <t>that's why we chose to increase their operating margin a little bit for the upcoming years</t>
  </si>
  <si>
    <t>Considering the fact that Biscuits &amp; Backed Snacks is the predominant segment (49%), we also think that the</t>
  </si>
  <si>
    <t>Segment's Breakdown</t>
  </si>
  <si>
    <t>increase in Cocoa price will affect operating margin less than expected. Moreover, Mondelez is trying to "push"</t>
  </si>
  <si>
    <t>for "mixed" chocolate products such as chocolate bars with almonds, strawberries...</t>
  </si>
  <si>
    <t>9,64%</t>
  </si>
  <si>
    <t xml:space="preserve">Another factor to take into consideration in the cocoa price analysis is that some South American countries are </t>
  </si>
  <si>
    <t>increasing the farming of cocoa trees. Assuming that the production of cocoa beans will take 6 years,</t>
  </si>
  <si>
    <t>5,54%</t>
  </si>
  <si>
    <t>we can conclude that from 2030, there will be an increase in cocoa supply which may let the cocoa price decrease</t>
  </si>
  <si>
    <t>To sum up, we think that the Operating Margin will increase.</t>
  </si>
  <si>
    <t>https://www.washingtonpost.com/business/2024/03/12/inflation-chocolate-prices-grocery-cost/</t>
  </si>
  <si>
    <t>Weights:</t>
  </si>
  <si>
    <t>growth of the B&amp;B Snacks segment on avg (last 5 yrs)</t>
  </si>
  <si>
    <t>growth of the Chocolate segment on avg (last 5 yrs)</t>
  </si>
  <si>
    <t>growth of the G&amp;C segment on avg (last 5 yrs)</t>
  </si>
  <si>
    <t>growth of the Beverages segment on avg (last 5 yrs)</t>
  </si>
  <si>
    <t>Total Sales:</t>
  </si>
  <si>
    <t>Total sales</t>
  </si>
  <si>
    <t>growth of the C&amp;G segment on avg (last 5 yrs)</t>
  </si>
  <si>
    <t>Growth</t>
  </si>
  <si>
    <t>biscuits are not so affected by the degrowth caused by cocoa prices but it still contains chocolate example chips ahoy oreo</t>
  </si>
  <si>
    <t>Short-Term</t>
  </si>
  <si>
    <t>Long-Term</t>
  </si>
  <si>
    <t>problem most of their biscuits are made out chocolate, but they are micropackging(oreo thins, chips ahoy smaller)</t>
  </si>
  <si>
    <t>which will help as they can sell this smaller portion with higher prices, a focus on their healthy products might help healthy ones</t>
  </si>
  <si>
    <t>Prices will grow but last year they had positive growth due to increasing prices</t>
  </si>
  <si>
    <t xml:space="preserve">Biscuits and snacks are the pillar to the snacking culture that is on the rise, </t>
  </si>
  <si>
    <t>5,18%</t>
  </si>
  <si>
    <t>they still need to get healthier products, so i believe a growth of</t>
  </si>
  <si>
    <t>4,40%</t>
  </si>
  <si>
    <t>4,86%</t>
  </si>
  <si>
    <t>7,25%</t>
  </si>
  <si>
    <t>5,01%</t>
  </si>
  <si>
    <t>https://www.mondelezinternational.com/snacking-made-right/esg-topics/mindful-snacking/</t>
  </si>
  <si>
    <t>https://www.fortunebusinessinsights.com/biscuits-market-108482</t>
  </si>
  <si>
    <t>ST BISCUITS</t>
  </si>
  <si>
    <t>https://www.imarcgroup.com/biscuits-market</t>
  </si>
  <si>
    <t>https://www.mordorintelligence.com/industry-reports/biscuits-market</t>
  </si>
  <si>
    <t xml:space="preserve">We assumed a growth rate around 9% for the short period, considering that B&amp;B Snacks is the main activity of Mondelez, </t>
  </si>
  <si>
    <t>and the company will keep investing on it. We have been more conservative over the long period, making the growth rate decrease gradually to an overall 4%</t>
  </si>
  <si>
    <t xml:space="preserve">They also micropack it but the costs of of its raw materials are growing a lot i believe they </t>
  </si>
  <si>
    <t>might handle it good but the the industry as a whole doesnt seems so bright tablerone mini</t>
  </si>
  <si>
    <t>The chocolates as their milka products are not just chocolate they also include caramel, strawberry, jelly</t>
  </si>
  <si>
    <t>General chocolate industry</t>
  </si>
  <si>
    <t>238,5</t>
  </si>
  <si>
    <t>224,1</t>
  </si>
  <si>
    <t>208,7</t>
  </si>
  <si>
    <t>195,7</t>
  </si>
  <si>
    <t>190,4</t>
  </si>
  <si>
    <t>185,6</t>
  </si>
  <si>
    <t>https://www.statista.com/forecasts/983554/global-chocolate-confectionery-market-size</t>
  </si>
  <si>
    <t>rise of input prices may even drive out small producers out of the market and help big companies such as mondelez grow</t>
  </si>
  <si>
    <t>growth of chocolate segment</t>
  </si>
  <si>
    <t>https://www.statista.com/outlook/cmo/food/confectionery-snacks/confectionery/chocolate-confectionery/worldwide</t>
  </si>
  <si>
    <t>AVG growth of chocolate in industry(3y)</t>
  </si>
  <si>
    <t>https://www.mordorintelligence.com/industry-reports/chocolate-market</t>
  </si>
  <si>
    <t>4,97%</t>
  </si>
  <si>
    <t>ST</t>
  </si>
  <si>
    <t>AVG growth of mondelez chocolate</t>
  </si>
  <si>
    <t>https://www.linkedin.com/pulse/cocoa-chocolate-market-size-projected-surpass-us-5820867-dcrrf/?trk=article-ssr-frontend-pulse_more-articles_related-content-card</t>
  </si>
  <si>
    <t>LR</t>
  </si>
  <si>
    <t>In 6 years i believe their sales will grow, as there will be more cocoa trees available</t>
  </si>
  <si>
    <t>https://www.cocoterra.com/how-long-does-it-take-to-grow-a-cocoa-tree/</t>
  </si>
  <si>
    <t>https://www.fortunebusinessinsights.com/industry-reports/cocoa-and-chocolate-market-100075</t>
  </si>
  <si>
    <t>4,98%</t>
  </si>
  <si>
    <t xml:space="preserve">and it starts to go down </t>
  </si>
  <si>
    <t>From the problems in Africa with Cocoa Beans other countries may start producing their own such as Equador and Brazil, the catch is that a cocoa tree takes 6 years to grow, so in a 6 year time, cocoa availability may be back again</t>
  </si>
  <si>
    <t>https://wadr.org/analysts-warn-latin-america-could-overtake-ghana-and-cote-divoire-in-cocoa-production/</t>
  </si>
  <si>
    <t>https://thecocoapost.com/what-does-west-africas-lone-battle-with-cssvd-mean-for-the-future-of-chocolate/</t>
  </si>
  <si>
    <t>https://www.sustainabilitybynumbers.com/p/cocoa-prices</t>
  </si>
  <si>
    <t>The rising of cocoa price may let Revenues grow in the short period considering an increase in the price applied to the consumers. (7% growth in the ST)</t>
  </si>
  <si>
    <t>We have been then more conservative on the Long Term (3% overall)</t>
  </si>
  <si>
    <t>Gum and Candy</t>
  </si>
  <si>
    <t>We assumed that Revenues from this segment will substantially decrease starting from 2024, due to the deal with Perletti Van Melle</t>
  </si>
  <si>
    <r>
      <rPr>
        <sz val="11"/>
        <color rgb="FF000000"/>
        <rFont val="Calibri"/>
        <family val="2"/>
      </rPr>
      <t>Mondelez has sold a part of the Gum &amp; Candy segment (</t>
    </r>
    <r>
      <rPr>
        <b/>
        <sz val="11"/>
        <color rgb="FF000000"/>
        <rFont val="Calibri"/>
        <family val="2"/>
      </rPr>
      <t>we computed the remaining part as (Total revenues from G&amp;C segment - revenues from Europe and North America</t>
    </r>
    <r>
      <rPr>
        <sz val="11"/>
        <color rgb="FF000000"/>
        <rFont val="Calibri"/>
        <family val="2"/>
      </rPr>
      <t>)</t>
    </r>
  </si>
  <si>
    <t>by 1.35B in October 2023. That's why Revenues from 2023 weren't affected too much from the deal.</t>
  </si>
  <si>
    <t>From 2025, we have taken into account the fact that Mondelez kept the Undeveloped part of the segment, and so considering that growth rates</t>
  </si>
  <si>
    <t>revenues coming from applying the growth rate to the remaining part of the segment G&amp;C</t>
  </si>
  <si>
    <t>of undeveloped countries are higher, we assumed a 10% growth for the remaining years of the short period. In light of this, we tried to assume -40% for 2024, which comes from the -46% due to the sell, and a 8% growth rate applied to the remaining part</t>
  </si>
  <si>
    <t>Then, we have been more conservative over the long run (overall 5% growth)</t>
  </si>
  <si>
    <t>https://ir.mondelezinternational.com/news-releases/news-release-details/mondelez-international-announces-agreement-sell-its-developed/</t>
  </si>
  <si>
    <t>https://www.confectionerynews.com/Article/2023/10/03/mondelez-completes-sale-of-gum-business-to-perfetti-van-melle-group</t>
  </si>
  <si>
    <t>https://www.fooddive.com/news/mondelez-sells-gum-business-trident-dentyne/639087/</t>
  </si>
  <si>
    <t>Do the average of last years of AMEA and latin America</t>
  </si>
  <si>
    <t>https://www.reuters.com/business/retail-consumer/mondelez-sell-gum-business-developed-markets-135-bln-2022-12-19/</t>
  </si>
  <si>
    <t>SEE OLDER ONES</t>
  </si>
  <si>
    <t>Gum Candy AMEA and LAC</t>
  </si>
  <si>
    <t>growth</t>
  </si>
  <si>
    <t>Will be probably lower due to desinvestiture i think 8%, but the markets they still are still developing</t>
  </si>
  <si>
    <t>remaining part</t>
  </si>
  <si>
    <t>Beverage</t>
  </si>
  <si>
    <t>We assumed a growth with inflation around 2/3%.</t>
  </si>
  <si>
    <t>Cheese and grocery</t>
  </si>
  <si>
    <t>We  considered a growt rate of 3% for ST and 2% for the LT, in line with the average computed for the last 5 years.</t>
  </si>
  <si>
    <t>We have been conservative, considering the fact that the main focus of Mondelez is on B&amp;B Snacks and Chocolate segments</t>
  </si>
  <si>
    <t xml:space="preserve">Appendix: </t>
  </si>
  <si>
    <t>8,3</t>
  </si>
  <si>
    <t>7,6</t>
  </si>
  <si>
    <t>6,9</t>
  </si>
  <si>
    <t>6,2</t>
  </si>
  <si>
    <t>5,5</t>
  </si>
  <si>
    <t>4,8</t>
  </si>
  <si>
    <t>4,1</t>
  </si>
  <si>
    <t>3,4</t>
  </si>
  <si>
    <t>2,7</t>
  </si>
  <si>
    <t>growth decay on biscuits</t>
  </si>
  <si>
    <t>7,4</t>
  </si>
  <si>
    <t>6,8</t>
  </si>
  <si>
    <t>5,6</t>
  </si>
  <si>
    <t>4,4</t>
  </si>
  <si>
    <t>3,8</t>
  </si>
  <si>
    <t>3,2</t>
  </si>
  <si>
    <t>2,6</t>
  </si>
  <si>
    <t>9,2</t>
  </si>
  <si>
    <t>8,4</t>
  </si>
  <si>
    <t>5,2</t>
  </si>
  <si>
    <t>3,6</t>
  </si>
  <si>
    <t>2,8</t>
  </si>
  <si>
    <t>philadelfia</t>
  </si>
  <si>
    <t>Total growth %</t>
  </si>
  <si>
    <t>FX Impact</t>
  </si>
  <si>
    <t>Depreciation</t>
  </si>
  <si>
    <t>net PPE</t>
  </si>
  <si>
    <t>%</t>
  </si>
  <si>
    <t>Amort</t>
  </si>
  <si>
    <t>IA</t>
  </si>
  <si>
    <t>Stock base compensation</t>
  </si>
  <si>
    <t>rev</t>
  </si>
  <si>
    <t>I</t>
  </si>
  <si>
    <t>EBT</t>
  </si>
  <si>
    <t>T</t>
  </si>
  <si>
    <t>Average last 3 years</t>
  </si>
  <si>
    <t>reported tax rate excluding unusual items</t>
  </si>
  <si>
    <t>Debt</t>
  </si>
  <si>
    <t>average</t>
  </si>
  <si>
    <t>Debt repayment</t>
  </si>
  <si>
    <t>% total debt</t>
  </si>
  <si>
    <t>Total</t>
  </si>
  <si>
    <t>NI</t>
  </si>
  <si>
    <t>Div</t>
  </si>
  <si>
    <t>buyback</t>
  </si>
  <si>
    <t>Div%</t>
  </si>
  <si>
    <t>Buybcks%</t>
  </si>
  <si>
    <t>Capex</t>
  </si>
  <si>
    <t>Acq</t>
  </si>
  <si>
    <t>Averag</t>
  </si>
  <si>
    <t>Acq %</t>
  </si>
  <si>
    <t>Changes in NWC</t>
  </si>
  <si>
    <t>Changes in rev</t>
  </si>
  <si>
    <t>flows related to leases</t>
  </si>
  <si>
    <t>average Total debt last 5 years</t>
  </si>
  <si>
    <t>DIO</t>
  </si>
  <si>
    <t>Hershey</t>
  </si>
  <si>
    <t>DSO</t>
  </si>
  <si>
    <t>DPO</t>
  </si>
  <si>
    <t>---</t>
  </si>
  <si>
    <t>CCC</t>
  </si>
  <si>
    <t>Av mondelez</t>
  </si>
  <si>
    <t>Long term debt</t>
  </si>
  <si>
    <t>Considering rollover of debt at 4%</t>
  </si>
  <si>
    <t>due in 2050</t>
  </si>
  <si>
    <t>due in 2041</t>
  </si>
  <si>
    <t>due in 2045</t>
  </si>
  <si>
    <t>due in 2025</t>
  </si>
  <si>
    <t>Short term debt</t>
  </si>
  <si>
    <t>VALUATION MODEL</t>
  </si>
  <si>
    <t>Short Term</t>
  </si>
  <si>
    <t>Long Term</t>
  </si>
  <si>
    <t>Section</t>
  </si>
  <si>
    <t>Line #</t>
  </si>
  <si>
    <t>ITEM</t>
  </si>
  <si>
    <t>2021 (Real)</t>
  </si>
  <si>
    <t>2022 (Real)</t>
  </si>
  <si>
    <t>2023 (Real)</t>
  </si>
  <si>
    <t>INCOME STATEMENT</t>
  </si>
  <si>
    <t>Revenues/Sales</t>
  </si>
  <si>
    <t>EBIT/Operating Margin</t>
  </si>
  <si>
    <t>5a</t>
  </si>
  <si>
    <t>(Dep)</t>
  </si>
  <si>
    <t>5b</t>
  </si>
  <si>
    <t>(Amort)</t>
  </si>
  <si>
    <t>5c</t>
  </si>
  <si>
    <t>(Stock based compensation)</t>
  </si>
  <si>
    <t>(Net financing cost)</t>
  </si>
  <si>
    <t>Other income/(cost)</t>
  </si>
  <si>
    <t>Earnings before taxes</t>
  </si>
  <si>
    <t>(Income tax)</t>
  </si>
  <si>
    <t>Net income</t>
  </si>
  <si>
    <t>CASH FLOW STATEMENT</t>
  </si>
  <si>
    <t>Operating cash flows before WK</t>
  </si>
  <si>
    <t>(Stock-based compensation)</t>
  </si>
  <si>
    <t>(Working Capital Flows)</t>
  </si>
  <si>
    <t>-Total Operating Cash Flow</t>
  </si>
  <si>
    <t>(CAPEX)</t>
  </si>
  <si>
    <t>(Other investing flows)</t>
  </si>
  <si>
    <t>-Total Investing Flows</t>
  </si>
  <si>
    <t>(Flows related to leases)</t>
  </si>
  <si>
    <t>Flows related to debt</t>
  </si>
  <si>
    <t>(Repurchases)/Issuance of stock</t>
  </si>
  <si>
    <t>(Dividends)</t>
  </si>
  <si>
    <t>Other financing flows</t>
  </si>
  <si>
    <t>-Total Financing flows</t>
  </si>
  <si>
    <t>SUMMARY</t>
  </si>
  <si>
    <t>Cash before shareholder returns</t>
  </si>
  <si>
    <t>Returns to shareholders</t>
  </si>
  <si>
    <t>Excess cash acumulation</t>
  </si>
  <si>
    <t>BALANCE SHEET</t>
  </si>
  <si>
    <t>Intangible assets</t>
  </si>
  <si>
    <t>Accumulated amortization</t>
  </si>
  <si>
    <t>PPE+Right of use Assets</t>
  </si>
  <si>
    <t>Accumulated depreciation</t>
  </si>
  <si>
    <t>CASH &amp; DEBT &amp; DISCOUNTING</t>
  </si>
  <si>
    <t>Ending cash balance</t>
  </si>
  <si>
    <t>Discount factor</t>
  </si>
  <si>
    <t>DF + 0.1%</t>
  </si>
  <si>
    <t>+0.1%</t>
  </si>
  <si>
    <t>DF+0.5%</t>
  </si>
  <si>
    <t>+0.5%</t>
  </si>
  <si>
    <t> Discount Rate</t>
  </si>
  <si>
    <t>Risk free rate</t>
  </si>
  <si>
    <t>Equity premium</t>
  </si>
  <si>
    <t>Firm premium</t>
  </si>
  <si>
    <t>Modelling factors</t>
  </si>
  <si>
    <t>Reference (line)</t>
  </si>
  <si>
    <t>Area</t>
  </si>
  <si>
    <t>Proxy country</t>
  </si>
  <si>
    <t>% segments</t>
  </si>
  <si>
    <t>US</t>
  </si>
  <si>
    <t>EU</t>
  </si>
  <si>
    <t>Germany</t>
  </si>
  <si>
    <t>India</t>
  </si>
  <si>
    <t>Brazil</t>
  </si>
  <si>
    <t>Weighted average</t>
  </si>
  <si>
    <t>--</t>
  </si>
  <si>
    <t>$ millions</t>
  </si>
  <si>
    <t>Value of flows</t>
  </si>
  <si>
    <t>Value of perpetuity</t>
  </si>
  <si>
    <t>Total Value</t>
  </si>
  <si>
    <t>Actual share price</t>
  </si>
  <si>
    <t>Total value vs Mkt Cap</t>
  </si>
  <si>
    <t>Estimated NPV per share</t>
  </si>
  <si>
    <t>Sensibility</t>
  </si>
  <si>
    <t>Sensitivity +0.1%</t>
  </si>
  <si>
    <t>Sensitivity +0.5%</t>
  </si>
  <si>
    <t>Notes</t>
  </si>
  <si>
    <t>Price where it'd be a "BUY"</t>
  </si>
  <si>
    <t>Sector</t>
  </si>
  <si>
    <t>Sub-Industry</t>
  </si>
  <si>
    <t>Environment</t>
  </si>
  <si>
    <t>Communication Services</t>
  </si>
  <si>
    <t>Interactive Home Entertainment</t>
  </si>
  <si>
    <t>CO2</t>
  </si>
  <si>
    <t>Water</t>
  </si>
  <si>
    <t>Energy</t>
  </si>
  <si>
    <t>Waste</t>
  </si>
  <si>
    <t>Degradation</t>
  </si>
  <si>
    <t>Turnover</t>
  </si>
  <si>
    <t>Compensation</t>
  </si>
  <si>
    <t>Discrimination</t>
  </si>
  <si>
    <t>Security</t>
  </si>
  <si>
    <t>Damage</t>
  </si>
  <si>
    <t>Pension</t>
  </si>
  <si>
    <t>Supply</t>
  </si>
  <si>
    <t>Community</t>
  </si>
  <si>
    <t>Public</t>
  </si>
  <si>
    <t>Interactive Media &amp; Services</t>
  </si>
  <si>
    <t>Integrated Telecommunication Services</t>
  </si>
  <si>
    <t>Very High</t>
  </si>
  <si>
    <t>Consumer Discretionary</t>
  </si>
  <si>
    <t>Direct CO2 emissions</t>
  </si>
  <si>
    <t>Cable &amp; Satellite</t>
  </si>
  <si>
    <t>Total Water Use</t>
  </si>
  <si>
    <t>Broadcasting</t>
  </si>
  <si>
    <t>Renewable Energy</t>
  </si>
  <si>
    <t>Movies &amp; Entertainment</t>
  </si>
  <si>
    <t>Financials</t>
  </si>
  <si>
    <t>Forestry</t>
  </si>
  <si>
    <t>Advertising</t>
  </si>
  <si>
    <t>Health Care</t>
  </si>
  <si>
    <t>Land Degradation/Deforestation/Biodiversity loss/Animal sufering/...</t>
  </si>
  <si>
    <t>Alternative Carriers</t>
  </si>
  <si>
    <t>Industrials</t>
  </si>
  <si>
    <t>Publishing</t>
  </si>
  <si>
    <t>Information Technology</t>
  </si>
  <si>
    <t>Employee turnover</t>
  </si>
  <si>
    <t>Wireless Telecommunication Services</t>
  </si>
  <si>
    <t>Materials</t>
  </si>
  <si>
    <t>Salaries and compensation</t>
  </si>
  <si>
    <t>Automotive Retail</t>
  </si>
  <si>
    <t>Real Estate</t>
  </si>
  <si>
    <t>Reputational issues</t>
  </si>
  <si>
    <t>Internet &amp; Direct Marketing Retail</t>
  </si>
  <si>
    <t>Utilities</t>
  </si>
  <si>
    <t>Discrimination issues</t>
  </si>
  <si>
    <t>Auto Parts &amp; Equipment</t>
  </si>
  <si>
    <t>Job security</t>
  </si>
  <si>
    <t>Specialty Stores</t>
  </si>
  <si>
    <t>Health injuries</t>
  </si>
  <si>
    <t>Computer &amp; Electronics Retail</t>
  </si>
  <si>
    <t>Hotels, Resorts &amp; Cruise Lines</t>
  </si>
  <si>
    <t>Tobacco</t>
  </si>
  <si>
    <t>Oil &amp; Gas Exploration &amp; Production</t>
  </si>
  <si>
    <t>Life &amp; Health Insurance</t>
  </si>
  <si>
    <t>Health Care Equipment</t>
  </si>
  <si>
    <t>Industrial Conglomerates</t>
  </si>
  <si>
    <t>IT Consulting &amp; Other Services</t>
  </si>
  <si>
    <t>Industrial Gases</t>
  </si>
  <si>
    <t>Office REITs</t>
  </si>
  <si>
    <t>Independent Power Producers &amp; Energy Traders</t>
  </si>
  <si>
    <t>Restaurants</t>
  </si>
  <si>
    <t>Agricultural Products</t>
  </si>
  <si>
    <t>Oil &amp; Gas Equipment &amp; Services</t>
  </si>
  <si>
    <t>Property &amp; Casualty Insurance</t>
  </si>
  <si>
    <t>Pharmaceuticals</t>
  </si>
  <si>
    <t>Airlines</t>
  </si>
  <si>
    <t>Application Software</t>
  </si>
  <si>
    <t>Specialty Chemicals</t>
  </si>
  <si>
    <t>Specialized REITs</t>
  </si>
  <si>
    <t>Electric Utilities</t>
  </si>
  <si>
    <t>Homebuilding</t>
  </si>
  <si>
    <t>Distillers &amp; Vintners</t>
  </si>
  <si>
    <t>Integrated Oil &amp; Gas</t>
  </si>
  <si>
    <t>Consumer Finance</t>
  </si>
  <si>
    <t>Health Care Supplies</t>
  </si>
  <si>
    <t>Building Products</t>
  </si>
  <si>
    <t>Semiconductors</t>
  </si>
  <si>
    <t>Paper Packaging</t>
  </si>
  <si>
    <t>Residential REITs</t>
  </si>
  <si>
    <t>Multi-Utilities</t>
  </si>
  <si>
    <t>General Merchandise Stores</t>
  </si>
  <si>
    <t>Packaged Foods &amp; Meats</t>
  </si>
  <si>
    <t>Oil &amp; Gas Refining &amp; Marketing</t>
  </si>
  <si>
    <t>Asset Management &amp; Custody Banks</t>
  </si>
  <si>
    <t>Health Care Distributors</t>
  </si>
  <si>
    <t>Electrical Components &amp; Equipment</t>
  </si>
  <si>
    <t>Internet Services &amp; Infrastructure</t>
  </si>
  <si>
    <t>Metal &amp; Glass Containers</t>
  </si>
  <si>
    <t>Real Estate Services</t>
  </si>
  <si>
    <t>Water Utilities</t>
  </si>
  <si>
    <t>Automobile Manufacturers</t>
  </si>
  <si>
    <t>Household Products</t>
  </si>
  <si>
    <t>Oil &amp; Gas Storage &amp; Transportation</t>
  </si>
  <si>
    <t>Insurance Brokers</t>
  </si>
  <si>
    <t>Biotechnology</t>
  </si>
  <si>
    <t>Aerospace &amp; Defense</t>
  </si>
  <si>
    <t>Electronic Components</t>
  </si>
  <si>
    <t>Fertilizers &amp; Agricultural Chemicals</t>
  </si>
  <si>
    <t>Industrial REITs</t>
  </si>
  <si>
    <t>Gas Utilities</t>
  </si>
  <si>
    <t>Apparel Retail</t>
  </si>
  <si>
    <t>Soft Drinks</t>
  </si>
  <si>
    <t>Multi-line Insurance</t>
  </si>
  <si>
    <t>Managed Health Care</t>
  </si>
  <si>
    <t>Air Freight &amp; Logistics</t>
  </si>
  <si>
    <t>Technology Hardware, Storage &amp; Peripherals</t>
  </si>
  <si>
    <t>Commodity Chemicals</t>
  </si>
  <si>
    <t>Retail REITs</t>
  </si>
  <si>
    <t>Consumer Electronics</t>
  </si>
  <si>
    <t>Hypermarkets &amp; Super Centers</t>
  </si>
  <si>
    <t>Diversified Banks</t>
  </si>
  <si>
    <t>Life Sciences Tools &amp; Services</t>
  </si>
  <si>
    <t>Construction Machinery &amp; Heavy Trucks</t>
  </si>
  <si>
    <t>Semiconductor Equipment</t>
  </si>
  <si>
    <t>Diversified Chemicals</t>
  </si>
  <si>
    <t>Health Care REITs</t>
  </si>
  <si>
    <t>Apparel, Accessories &amp; Luxury Goods</t>
  </si>
  <si>
    <t>Personal Products</t>
  </si>
  <si>
    <t>Multi-Sector Holdings</t>
  </si>
  <si>
    <t>Health Care Technology</t>
  </si>
  <si>
    <t>Diversified Support Services</t>
  </si>
  <si>
    <t>Communications Equipment</t>
  </si>
  <si>
    <t>Copper</t>
  </si>
  <si>
    <t>Hotel &amp; Resort REITs</t>
  </si>
  <si>
    <t>Leisure Products</t>
  </si>
  <si>
    <t>Food Retail</t>
  </si>
  <si>
    <t>Financial Exchanges &amp; Data</t>
  </si>
  <si>
    <t>Health Care Services</t>
  </si>
  <si>
    <t>Railroads</t>
  </si>
  <si>
    <t>Data Processing &amp; Outsourced Services</t>
  </si>
  <si>
    <t>Construction Materials</t>
  </si>
  <si>
    <t>Home Improvement Retail</t>
  </si>
  <si>
    <t>Brewers</t>
  </si>
  <si>
    <t>Investment Banking &amp; Brokerage</t>
  </si>
  <si>
    <t>Health Care Facilities</t>
  </si>
  <si>
    <t>Industrial Machinery</t>
  </si>
  <si>
    <t>Technology Distributors</t>
  </si>
  <si>
    <t>Gold</t>
  </si>
  <si>
    <t>Casinos &amp; Gaming</t>
  </si>
  <si>
    <t>Food Distributors</t>
  </si>
  <si>
    <t>Regional Banks</t>
  </si>
  <si>
    <t>Agricultural &amp; Farm Machinery</t>
  </si>
  <si>
    <t>Electronic Equipment &amp; Instruments</t>
  </si>
  <si>
    <t>Steel</t>
  </si>
  <si>
    <t>Home Furnishings</t>
  </si>
  <si>
    <t>Drug Retail</t>
  </si>
  <si>
    <t>Reinsurance</t>
  </si>
  <si>
    <t>Research &amp; Consulting Services</t>
  </si>
  <si>
    <t>Systems Software</t>
  </si>
  <si>
    <t>Distributors</t>
  </si>
  <si>
    <t>Thrifts &amp; Mortgage Finance</t>
  </si>
  <si>
    <t>Construction &amp; Engineering</t>
  </si>
  <si>
    <t>Electronic Manufacturing Services</t>
  </si>
  <si>
    <t>Housewares &amp; Specialties</t>
  </si>
  <si>
    <t>Trucking</t>
  </si>
  <si>
    <t>Household Appliances</t>
  </si>
  <si>
    <t>Environmental &amp; Facilities Services</t>
  </si>
  <si>
    <t>Human Resource &amp; Employment Services</t>
  </si>
  <si>
    <t>Trading Companies &amp; Distributors</t>
  </si>
  <si>
    <t>Results</t>
  </si>
  <si>
    <t>Growth vs. Previous year</t>
  </si>
  <si>
    <t>Gross Profit</t>
  </si>
  <si>
    <t>Organic price</t>
  </si>
  <si>
    <t>% over sales</t>
  </si>
  <si>
    <t>Organic vol/mix</t>
  </si>
  <si>
    <t>Operating expenses</t>
  </si>
  <si>
    <t>Impact of acquisitions and Divestitures</t>
  </si>
  <si>
    <t>Total confirmation</t>
  </si>
  <si>
    <t xml:space="preserve">     Growth vs. Previous year</t>
  </si>
  <si>
    <t>Summary</t>
  </si>
  <si>
    <t>Other Expenses (Revenues)</t>
  </si>
  <si>
    <t>Total Growth</t>
  </si>
  <si>
    <t>Average Total Growth</t>
  </si>
  <si>
    <t>Organic Growth</t>
  </si>
  <si>
    <t>Changes Net Working Capital</t>
  </si>
  <si>
    <t>Average Organic Growth</t>
  </si>
  <si>
    <t>Difference</t>
  </si>
  <si>
    <t>EBITDA Margin</t>
  </si>
  <si>
    <t>% Tax</t>
  </si>
  <si>
    <t>US CPI December</t>
  </si>
  <si>
    <t>US CPI YoY</t>
  </si>
  <si>
    <t>Cash Generated</t>
  </si>
  <si>
    <t>Share buyback</t>
  </si>
  <si>
    <t>FNP''</t>
  </si>
  <si>
    <t>FNP'</t>
  </si>
  <si>
    <t>Payout Ratio</t>
  </si>
  <si>
    <t>Assets</t>
  </si>
  <si>
    <t>Accounts Receivable</t>
  </si>
  <si>
    <t>Property, Plant and Equipment</t>
  </si>
  <si>
    <t>Other Assets</t>
  </si>
  <si>
    <t>Assets Delta</t>
  </si>
  <si>
    <t>Revenues Delta</t>
  </si>
  <si>
    <t>average all years</t>
  </si>
  <si>
    <t>average 3 years</t>
  </si>
  <si>
    <t>Liabilities</t>
  </si>
  <si>
    <t xml:space="preserve">   Short-Term Debt</t>
  </si>
  <si>
    <t xml:space="preserve">   Short-Term Leases</t>
  </si>
  <si>
    <t>Other current liabilities</t>
  </si>
  <si>
    <t>Non-current Liabilities</t>
  </si>
  <si>
    <t xml:space="preserve">   Long-Term Debt</t>
  </si>
  <si>
    <t xml:space="preserve">   Long-Term Leases</t>
  </si>
  <si>
    <t>Other non-current liabilities</t>
  </si>
  <si>
    <t>Net Debt</t>
  </si>
  <si>
    <t>Minority Interest</t>
  </si>
  <si>
    <t xml:space="preserve">Shareholder's Equity </t>
  </si>
  <si>
    <t>Changes in cash</t>
  </si>
  <si>
    <t>Other Data</t>
  </si>
  <si>
    <t>Number of employees</t>
  </si>
  <si>
    <t xml:space="preserve">Shares Outstanding </t>
  </si>
  <si>
    <t>Fitch/ S&amp;P Rating</t>
  </si>
  <si>
    <t>Dividend Yield</t>
  </si>
  <si>
    <t>Daily Volume in Millions of USD</t>
  </si>
  <si>
    <t xml:space="preserve">Short % of Float </t>
  </si>
  <si>
    <t>Corporate Bonds 3, 5 Y 10</t>
  </si>
  <si>
    <t>Average Price</t>
  </si>
  <si>
    <t>Moody's</t>
  </si>
  <si>
    <t>YTM</t>
  </si>
  <si>
    <t>DIVISA</t>
  </si>
  <si>
    <t>Figures in Millions of USD</t>
  </si>
  <si>
    <t>Company</t>
  </si>
  <si>
    <t>Report in millions</t>
  </si>
  <si>
    <t>RESULTS</t>
  </si>
  <si>
    <t>Hoja</t>
  </si>
  <si>
    <t>Nombre campo Bloomberg</t>
  </si>
  <si>
    <t>Cambio de signo</t>
  </si>
  <si>
    <t>Income Statement</t>
  </si>
  <si>
    <t>Sales</t>
  </si>
  <si>
    <t>Ingreso</t>
  </si>
  <si>
    <t xml:space="preserve">    + Coste de bienes y servicios</t>
  </si>
  <si>
    <t xml:space="preserve">    + Ventas, generales y admin</t>
  </si>
  <si>
    <t>investment income+other income expense+income loss+minority interest+non controlling interest+share onf net profit+gain8losses) on equity investments+share of result from associates nd joint ventures+non operating profit+</t>
  </si>
  <si>
    <t xml:space="preserve">    + Investigación y desarrollo</t>
  </si>
  <si>
    <t xml:space="preserve">    + Coste de financiación de beneficio</t>
  </si>
  <si>
    <t xml:space="preserve">    + Otro gasto operativo</t>
  </si>
  <si>
    <t xml:space="preserve">  - Beneficio (pérdida) de filiales</t>
  </si>
  <si>
    <t xml:space="preserve">  - Minoritarios</t>
  </si>
  <si>
    <t>interest expense+financial income and expenses+other financial expense-income+interest and other net+</t>
  </si>
  <si>
    <t xml:space="preserve">  - Ingreso (pérdida) no operacional</t>
  </si>
  <si>
    <t xml:space="preserve">  - Gasto de impuesto a la renta (Beneficio)</t>
  </si>
  <si>
    <t>Flujo de caja</t>
  </si>
  <si>
    <t xml:space="preserve">  + Ingreso neto</t>
  </si>
  <si>
    <t>FINANCIAL POSITION</t>
  </si>
  <si>
    <t>Weighted Average Shares (Basic NI)</t>
  </si>
  <si>
    <t>Weighted Average Shares (Diluted NI)</t>
  </si>
  <si>
    <t>Net gains (losses) from ForEx</t>
  </si>
  <si>
    <t>Total Comprehensive Income</t>
  </si>
  <si>
    <t>cash flows</t>
  </si>
  <si>
    <t>NWC</t>
  </si>
  <si>
    <t>Net Working Capital</t>
  </si>
  <si>
    <t xml:space="preserve">  + Dividendos pagados</t>
  </si>
  <si>
    <t>Cambiar signo</t>
  </si>
  <si>
    <t xml:space="preserve">    + Aumento en capital</t>
  </si>
  <si>
    <t xml:space="preserve">    + Baja en capital</t>
  </si>
  <si>
    <t>Cambiar signo y hacer suma</t>
  </si>
  <si>
    <t>ASSETS</t>
  </si>
  <si>
    <t>Current</t>
  </si>
  <si>
    <t>Balance Sheet</t>
  </si>
  <si>
    <t>Balance</t>
  </si>
  <si>
    <t xml:space="preserve">  + Efectivo, equivalentes y STI</t>
  </si>
  <si>
    <t>Other Current Assets</t>
  </si>
  <si>
    <t xml:space="preserve">  + Cuentas y notas por cobrar</t>
  </si>
  <si>
    <t xml:space="preserve">    + Activos derivados y de cobertura</t>
  </si>
  <si>
    <t xml:space="preserve">  + Inversiones y cuentas por cobrar a LP</t>
  </si>
  <si>
    <t>Non-current</t>
  </si>
  <si>
    <t xml:space="preserve">  + Inventarios</t>
  </si>
  <si>
    <t>Operating leases</t>
  </si>
  <si>
    <t>Equity Method Investments</t>
  </si>
  <si>
    <t>Other Non-Current Assets</t>
  </si>
  <si>
    <t xml:space="preserve">  + Propiedad, planta y equipo; neto</t>
  </si>
  <si>
    <t>Activos totales</t>
  </si>
  <si>
    <t>LIABILITIES</t>
  </si>
  <si>
    <t>Payables</t>
  </si>
  <si>
    <t>Short term Debt</t>
  </si>
  <si>
    <t>Pasivos totales corrientes</t>
  </si>
  <si>
    <t xml:space="preserve">    + Préstamos CP</t>
  </si>
  <si>
    <t>Total non current liabilities</t>
  </si>
  <si>
    <t>Pasivos totales no corrientes</t>
  </si>
  <si>
    <t>Other non current Liabilities</t>
  </si>
  <si>
    <t xml:space="preserve">    + Préstamos a largo plazo</t>
  </si>
  <si>
    <t xml:space="preserve">  + Participación minoritaria/no dominante</t>
  </si>
  <si>
    <t>CASH FLOW</t>
  </si>
  <si>
    <t>Changes in assets and liabilities</t>
  </si>
  <si>
    <t>Other Adjustments</t>
  </si>
  <si>
    <t>Other Inflows (Outflows)</t>
  </si>
  <si>
    <t>Debt Borrowing</t>
  </si>
  <si>
    <t>Debt Repayment</t>
  </si>
  <si>
    <t>Lease Increases</t>
  </si>
  <si>
    <t>Lease Payments</t>
  </si>
  <si>
    <t>cash flows FINANCING</t>
  </si>
  <si>
    <t>Dividends paid</t>
  </si>
  <si>
    <t>(Vitalis will later fill this info)</t>
  </si>
  <si>
    <t xml:space="preserve">Other Data </t>
  </si>
  <si>
    <t xml:space="preserve">Average Price </t>
  </si>
  <si>
    <t xml:space="preserve">Number of employees </t>
  </si>
  <si>
    <t>10-K</t>
  </si>
  <si>
    <t>bloomberg</t>
  </si>
  <si>
    <t>Shares Outstanding (Thousands)</t>
  </si>
  <si>
    <t>Yahoo finance</t>
  </si>
  <si>
    <t>Dividend Yield(Yahoo Finance)</t>
  </si>
  <si>
    <t>Yahoo Finance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</si>
</sst>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6">
    <numFmt numFmtId="164" formatCode="_-&quot;$&quot;* #,##0.00_-;\-&quot;$&quot;* #,##0.00_-;_-&quot;$&quot;* &quot;-&quot;??_-;_-@_-"/>
    <numFmt numFmtId="165" formatCode="&quot;$&quot;#,##0.00"/>
    <numFmt numFmtId="166" formatCode="&quot;$&quot;#,##0"/>
    <numFmt numFmtId="167" formatCode="0.0%"/>
    <numFmt numFmtId="168" formatCode="0.0"/>
    <numFmt numFmtId="169" formatCode="#,##0.0"/>
    <numFmt numFmtId="170" formatCode="[$$-409]#,##0.00_ ;\-[$$-409]#,##0.00\ "/>
    <numFmt numFmtId="171" formatCode="[$$-409]#,##0.00"/>
    <numFmt numFmtId="172" formatCode="[$$-409]#,##0"/>
    <numFmt numFmtId="173" formatCode="_-[$$-409]* #,##0.00_ ;_-[$$-409]* \-#,##0.00\ ;_-[$$-409]* &quot;-&quot;??_ ;_-@_ "/>
    <numFmt numFmtId="174" formatCode="0.000000"/>
    <numFmt numFmtId="175" formatCode="_([$$-409]* #,##0.00_);_([$$-409]* \(#,##0.00\);_([$$-409]* &quot;-&quot;??_);_(@_)"/>
    <numFmt numFmtId="176" formatCode="0.000%"/>
    <numFmt numFmtId="177" formatCode="&quot;€&quot;#,##0.00"/>
    <numFmt numFmtId="178" formatCode="_-* #,##0.00\ [$CHF-100C]_-;\-* #,##0.00\ [$CHF-100C]_-;_-* &quot;-&quot;??\ [$CHF-100C]_-;_-@_-"/>
    <numFmt numFmtId="179" formatCode="#0.000"/>
  </numFmts>
  <fonts count="93">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2"/>
      <name val="Arial"/>
      <family val="2"/>
    </font>
    <font>
      <u/>
      <sz val="10"/>
      <color indexed="12"/>
      <name val="Arial"/>
      <family val="2"/>
    </font>
    <font>
      <sz val="10"/>
      <color indexed="8"/>
      <name val="Arial"/>
      <family val="2"/>
    </font>
    <font>
      <sz val="10"/>
      <name val="Arial"/>
      <family val="2"/>
    </font>
    <font>
      <b/>
      <sz val="10"/>
      <name val="Arial"/>
      <family val="2"/>
    </font>
    <font>
      <b/>
      <sz val="10"/>
      <name val="Symbol"/>
      <family val="1"/>
      <charset val="2"/>
    </font>
    <font>
      <sz val="10"/>
      <name val="Symbol"/>
      <family val="1"/>
      <charset val="2"/>
    </font>
    <font>
      <b/>
      <sz val="16"/>
      <color indexed="9"/>
      <name val="Arial"/>
      <family val="2"/>
    </font>
    <font>
      <b/>
      <sz val="10"/>
      <color indexed="9"/>
      <name val="Arial"/>
      <family val="2"/>
    </font>
    <font>
      <b/>
      <sz val="10"/>
      <color indexed="8"/>
      <name val="Arial"/>
      <family val="2"/>
    </font>
    <font>
      <sz val="10"/>
      <color indexed="63"/>
      <name val="Arial"/>
      <family val="2"/>
    </font>
    <font>
      <i/>
      <sz val="10"/>
      <color indexed="8"/>
      <name val="Arial"/>
      <family val="2"/>
    </font>
    <font>
      <b/>
      <sz val="9.3000000000000007"/>
      <name val="Arial"/>
      <family val="2"/>
    </font>
    <font>
      <sz val="10"/>
      <name val="Arial"/>
      <family val="2"/>
    </font>
    <font>
      <b/>
      <sz val="11"/>
      <name val="Arial"/>
      <family val="2"/>
    </font>
    <font>
      <sz val="11"/>
      <color theme="1"/>
      <name val="Calibri"/>
      <family val="2"/>
      <scheme val="minor"/>
    </font>
    <font>
      <sz val="10"/>
      <color rgb="FFFF0000"/>
      <name val="Arial"/>
      <family val="2"/>
    </font>
    <font>
      <sz val="10"/>
      <color theme="0"/>
      <name val="Arial"/>
      <family val="2"/>
    </font>
    <font>
      <b/>
      <sz val="10"/>
      <color theme="0"/>
      <name val="Arial"/>
      <family val="2"/>
    </font>
    <font>
      <b/>
      <sz val="11"/>
      <color theme="3"/>
      <name val="Arial"/>
      <family val="2"/>
    </font>
    <font>
      <sz val="10"/>
      <color rgb="FF333333"/>
      <name val="Arial"/>
      <family val="2"/>
    </font>
    <font>
      <b/>
      <sz val="14"/>
      <color rgb="FFFF0000"/>
      <name val="Arial"/>
      <family val="2"/>
    </font>
    <font>
      <b/>
      <sz val="16"/>
      <color theme="0"/>
      <name val="Arial"/>
      <family val="2"/>
    </font>
    <font>
      <sz val="10"/>
      <color rgb="FF92D050"/>
      <name val="Arial"/>
      <family val="2"/>
    </font>
    <font>
      <sz val="10"/>
      <color theme="1"/>
      <name val="Arial"/>
      <family val="2"/>
    </font>
    <font>
      <sz val="10"/>
      <color rgb="FF000000"/>
      <name val="Arial"/>
      <family val="2"/>
    </font>
    <font>
      <sz val="11"/>
      <name val="Arial"/>
      <family val="2"/>
    </font>
    <font>
      <sz val="11"/>
      <color theme="1"/>
      <name val="Arial"/>
      <family val="2"/>
    </font>
    <font>
      <sz val="12"/>
      <color rgb="FFFFFFFF"/>
      <name val="Calibri"/>
      <family val="2"/>
    </font>
    <font>
      <sz val="7.5"/>
      <name val="Arial"/>
      <family val="2"/>
    </font>
    <font>
      <sz val="9"/>
      <name val="Arial"/>
      <family val="2"/>
    </font>
    <font>
      <b/>
      <sz val="9"/>
      <name val="Arial"/>
      <family val="2"/>
    </font>
    <font>
      <sz val="7.5"/>
      <color theme="0"/>
      <name val="Arial"/>
      <family val="2"/>
    </font>
    <font>
      <b/>
      <sz val="7.5"/>
      <name val="Arial"/>
      <family val="2"/>
    </font>
    <font>
      <b/>
      <sz val="16"/>
      <name val="Arial"/>
      <family val="2"/>
    </font>
    <font>
      <b/>
      <u/>
      <sz val="10"/>
      <color theme="4"/>
      <name val="Arial"/>
      <family val="2"/>
    </font>
    <font>
      <b/>
      <sz val="14"/>
      <name val="Arial"/>
      <family val="2"/>
    </font>
    <font>
      <b/>
      <sz val="14"/>
      <color theme="0"/>
      <name val="Arial"/>
      <family val="2"/>
    </font>
    <font>
      <b/>
      <sz val="12"/>
      <color theme="0"/>
      <name val="Arial"/>
      <family val="2"/>
    </font>
    <font>
      <b/>
      <sz val="9"/>
      <color theme="0"/>
      <name val="Arial"/>
      <family val="2"/>
    </font>
    <font>
      <b/>
      <sz val="8"/>
      <color theme="0"/>
      <name val="Arial"/>
      <family val="2"/>
    </font>
    <font>
      <b/>
      <sz val="11"/>
      <color theme="0"/>
      <name val="Arial"/>
      <family val="2"/>
    </font>
    <font>
      <b/>
      <sz val="12"/>
      <color indexed="9"/>
      <name val="Arial"/>
      <family val="2"/>
    </font>
    <font>
      <b/>
      <sz val="10"/>
      <color rgb="FFFF0000"/>
      <name val="Arial"/>
      <family val="2"/>
    </font>
    <font>
      <sz val="16"/>
      <color theme="0"/>
      <name val="Arial"/>
      <family val="2"/>
    </font>
    <font>
      <sz val="11"/>
      <color rgb="FF000000"/>
      <name val="Calibri"/>
      <family val="2"/>
    </font>
    <font>
      <b/>
      <sz val="16"/>
      <color rgb="FFFFFFFF"/>
      <name val="Arial"/>
      <family val="2"/>
    </font>
    <font>
      <b/>
      <sz val="11"/>
      <color rgb="FF000000"/>
      <name val="Calibri"/>
      <family val="2"/>
    </font>
    <font>
      <b/>
      <sz val="11"/>
      <name val="Calibri"/>
      <family val="2"/>
    </font>
    <font>
      <sz val="10"/>
      <color rgb="FFFFFFFF"/>
      <name val="Arial"/>
      <family val="2"/>
    </font>
    <font>
      <sz val="11"/>
      <name val="Calibri"/>
      <family val="2"/>
    </font>
    <font>
      <sz val="11"/>
      <color rgb="FFC00000"/>
      <name val="Calibri"/>
      <family val="2"/>
    </font>
    <font>
      <b/>
      <sz val="14"/>
      <color rgb="FF000000"/>
      <name val="Calibri"/>
      <family val="2"/>
    </font>
    <font>
      <sz val="11"/>
      <color theme="1"/>
      <name val="Calibri"/>
      <family val="2"/>
    </font>
    <font>
      <sz val="10"/>
      <color rgb="FF232A31"/>
      <name val="Arial"/>
      <family val="2"/>
    </font>
    <font>
      <b/>
      <sz val="10"/>
      <color rgb="FF000000"/>
      <name val="Arial"/>
      <family val="2"/>
    </font>
    <font>
      <b/>
      <sz val="11"/>
      <color theme="1"/>
      <name val="Calibri"/>
      <family val="2"/>
      <scheme val="minor"/>
    </font>
    <font>
      <sz val="11"/>
      <color theme="0"/>
      <name val="Calibri"/>
      <family val="2"/>
    </font>
    <font>
      <sz val="12"/>
      <name val="Arial"/>
      <family val="2"/>
    </font>
    <font>
      <b/>
      <sz val="11"/>
      <color rgb="FF374151"/>
      <name val="Arial"/>
      <family val="2"/>
    </font>
    <font>
      <sz val="11"/>
      <color rgb="FFFF0000"/>
      <name val="Calibri"/>
      <family val="2"/>
    </font>
    <font>
      <sz val="10"/>
      <name val="Calibri"/>
      <family val="2"/>
      <charset val="1"/>
    </font>
    <font>
      <sz val="14"/>
      <name val="Arial"/>
      <family val="2"/>
    </font>
    <font>
      <sz val="8"/>
      <color theme="0"/>
      <name val="Arial"/>
      <family val="2"/>
    </font>
    <font>
      <b/>
      <sz val="12"/>
      <color rgb="FF000000"/>
      <name val="Arial"/>
      <family val="2"/>
    </font>
    <font>
      <b/>
      <sz val="8"/>
      <color rgb="FFFFFFFF"/>
      <name val="Arial"/>
      <family val="2"/>
    </font>
    <font>
      <b/>
      <sz val="11"/>
      <color rgb="FFFFFFFF"/>
      <name val="Arial"/>
      <family val="2"/>
    </font>
    <font>
      <i/>
      <sz val="10"/>
      <name val="Arial"/>
      <family val="2"/>
    </font>
    <font>
      <i/>
      <sz val="10"/>
      <color theme="1"/>
      <name val="Arial"/>
      <family val="2"/>
    </font>
    <font>
      <b/>
      <sz val="11"/>
      <color rgb="FF000000"/>
      <name val="Calibri"/>
      <family val="2"/>
      <scheme val="minor"/>
    </font>
    <font>
      <b/>
      <sz val="11"/>
      <color indexed="9"/>
      <name val="Arial"/>
      <family val="2"/>
    </font>
    <font>
      <sz val="9"/>
      <color indexed="81"/>
      <name val="Tahoma"/>
      <family val="2"/>
    </font>
    <font>
      <b/>
      <sz val="9"/>
      <color indexed="81"/>
      <name val="Tahoma"/>
      <family val="2"/>
    </font>
    <font>
      <sz val="16"/>
      <color rgb="FF000000"/>
      <name val="Calibri"/>
      <family val="2"/>
    </font>
    <font>
      <b/>
      <sz val="11"/>
      <color theme="0"/>
      <name val="Calibri"/>
      <family val="2"/>
    </font>
    <font>
      <b/>
      <sz val="11"/>
      <color rgb="FF000000"/>
      <name val="Aptos Narrow"/>
      <family val="2"/>
    </font>
    <font>
      <sz val="13"/>
      <color rgb="FF000000"/>
      <name val="Calibri"/>
      <family val="2"/>
    </font>
    <font>
      <sz val="11"/>
      <color rgb="FF000000"/>
      <name val="Aptos Narrow"/>
      <family val="2"/>
    </font>
    <font>
      <sz val="11"/>
      <color indexed="8"/>
      <name val="Calibri"/>
      <family val="2"/>
      <scheme val="minor"/>
    </font>
    <font>
      <u/>
      <sz val="10"/>
      <color theme="10"/>
      <name val="Arial"/>
      <family val="2"/>
    </font>
    <font>
      <b/>
      <sz val="12"/>
      <color rgb="FF000000"/>
      <name val="Aptos Narrow"/>
      <family val="2"/>
    </font>
    <font>
      <u val="double"/>
      <sz val="11"/>
      <color rgb="FF000000"/>
      <name val="Calibri"/>
      <family val="2"/>
    </font>
    <font>
      <sz val="7.5"/>
      <color rgb="FFFF0000"/>
      <name val="Arial"/>
      <family val="2"/>
    </font>
    <font>
      <sz val="16"/>
      <color rgb="FF000000"/>
      <name val="Arial"/>
      <family val="2"/>
    </font>
  </fonts>
  <fills count="55">
    <fill>
      <patternFill patternType="none"/>
    </fill>
    <fill>
      <patternFill patternType="gray125"/>
    </fill>
    <fill>
      <patternFill patternType="solid">
        <fgColor rgb="FF4F81BD"/>
        <bgColor indexed="64"/>
      </patternFill>
    </fill>
    <fill>
      <patternFill patternType="solid">
        <fgColor rgb="FFFFFFFF"/>
        <bgColor indexed="64"/>
      </patternFill>
    </fill>
    <fill>
      <patternFill patternType="solid">
        <fgColor rgb="FFF2F2F2"/>
        <bgColor indexed="64"/>
      </patternFill>
    </fill>
    <fill>
      <patternFill patternType="solid">
        <fgColor theme="3"/>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7030A0"/>
        <bgColor indexed="64"/>
      </patternFill>
    </fill>
    <fill>
      <patternFill patternType="solid">
        <fgColor rgb="FFFFFF00"/>
        <bgColor indexed="64"/>
      </patternFill>
    </fill>
    <fill>
      <patternFill patternType="solid">
        <fgColor theme="5"/>
        <bgColor indexed="64"/>
      </patternFill>
    </fill>
    <fill>
      <patternFill patternType="solid">
        <fgColor theme="3" tint="0.79998168889431442"/>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0" tint="-4.9989318521683403E-2"/>
        <bgColor indexed="64"/>
      </patternFill>
    </fill>
    <fill>
      <patternFill patternType="solid">
        <fgColor theme="1"/>
        <bgColor indexed="64"/>
      </patternFill>
    </fill>
    <fill>
      <patternFill patternType="solid">
        <fgColor indexed="57"/>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rgb="FF00B050"/>
        <bgColor indexed="64"/>
      </patternFill>
    </fill>
    <fill>
      <patternFill patternType="solid">
        <fgColor theme="4" tint="0.79998168889431442"/>
        <bgColor indexed="64"/>
      </patternFill>
    </fill>
    <fill>
      <patternFill patternType="solid">
        <fgColor rgb="FFBBF0FB"/>
        <bgColor indexed="64"/>
      </patternFill>
    </fill>
    <fill>
      <patternFill patternType="solid">
        <fgColor rgb="FF9AFCBB"/>
        <bgColor indexed="64"/>
      </patternFill>
    </fill>
    <fill>
      <patternFill patternType="solid">
        <fgColor rgb="FF91E8F9"/>
        <bgColor indexed="64"/>
      </patternFill>
    </fill>
    <fill>
      <patternFill patternType="solid">
        <fgColor rgb="FF92D050"/>
        <bgColor indexed="64"/>
      </patternFill>
    </fill>
    <fill>
      <patternFill patternType="solid">
        <fgColor rgb="FF002060"/>
        <bgColor indexed="64"/>
      </patternFill>
    </fill>
    <fill>
      <patternFill patternType="solid">
        <fgColor rgb="FF339966"/>
        <bgColor indexed="64"/>
      </patternFill>
    </fill>
    <fill>
      <patternFill patternType="solid">
        <fgColor rgb="FF1F497D"/>
        <bgColor indexed="64"/>
      </patternFill>
    </fill>
    <fill>
      <patternFill patternType="solid">
        <fgColor rgb="FF1B7087"/>
        <bgColor indexed="64"/>
      </patternFill>
    </fill>
    <fill>
      <patternFill patternType="solid">
        <fgColor theme="0" tint="-0.249977111117893"/>
        <bgColor indexed="64"/>
      </patternFill>
    </fill>
    <fill>
      <patternFill patternType="solid">
        <fgColor theme="1" tint="0.499984740745262"/>
        <bgColor indexed="64"/>
      </patternFill>
    </fill>
    <fill>
      <patternFill patternType="solid">
        <fgColor rgb="FFC5D9F1"/>
        <bgColor indexed="64"/>
      </patternFill>
    </fill>
    <fill>
      <patternFill patternType="solid">
        <fgColor rgb="FF1F497D"/>
        <bgColor rgb="FF000000"/>
      </patternFill>
    </fill>
    <fill>
      <patternFill patternType="solid">
        <fgColor rgb="FFDAEEF3"/>
        <bgColor rgb="FF000000"/>
      </patternFill>
    </fill>
    <fill>
      <patternFill patternType="solid">
        <fgColor rgb="FFDDD9C4"/>
        <bgColor rgb="FF000000"/>
      </patternFill>
    </fill>
    <fill>
      <patternFill patternType="solid">
        <fgColor rgb="FFFFFF00"/>
        <bgColor rgb="FF000000"/>
      </patternFill>
    </fill>
    <fill>
      <patternFill patternType="solid">
        <fgColor rgb="FFD9D9D9"/>
        <bgColor rgb="FF000000"/>
      </patternFill>
    </fill>
    <fill>
      <patternFill patternType="solid">
        <fgColor rgb="FFFDE9D9"/>
        <bgColor rgb="FF000000"/>
      </patternFill>
    </fill>
    <fill>
      <patternFill patternType="solid">
        <fgColor theme="0"/>
        <bgColor rgb="FF000000"/>
      </patternFill>
    </fill>
    <fill>
      <patternFill patternType="solid">
        <fgColor theme="2" tint="-9.9978637043366805E-2"/>
        <bgColor indexed="64"/>
      </patternFill>
    </fill>
    <fill>
      <patternFill patternType="solid">
        <fgColor rgb="FFFF0000"/>
        <bgColor rgb="FF000000"/>
      </patternFill>
    </fill>
    <fill>
      <patternFill patternType="solid">
        <fgColor rgb="FF00B050"/>
        <bgColor rgb="FF000000"/>
      </patternFill>
    </fill>
    <fill>
      <patternFill patternType="solid">
        <fgColor theme="9" tint="0.79998168889431442"/>
        <bgColor indexed="64"/>
      </patternFill>
    </fill>
    <fill>
      <patternFill patternType="solid">
        <fgColor rgb="FF92D050"/>
        <bgColor rgb="FF000000"/>
      </patternFill>
    </fill>
    <fill>
      <patternFill patternType="solid">
        <fgColor theme="6" tint="0.79998168889431442"/>
        <bgColor indexed="64"/>
      </patternFill>
    </fill>
    <fill>
      <patternFill patternType="solid">
        <fgColor rgb="FF0070C0"/>
        <bgColor indexed="64"/>
      </patternFill>
    </fill>
    <fill>
      <patternFill patternType="solid">
        <fgColor theme="4" tint="0.59999389629810485"/>
        <bgColor indexed="64"/>
      </patternFill>
    </fill>
    <fill>
      <patternFill patternType="solid">
        <fgColor theme="6"/>
        <bgColor indexed="64"/>
      </patternFill>
    </fill>
    <fill>
      <patternFill patternType="solid">
        <fgColor theme="9"/>
        <bgColor indexed="64"/>
      </patternFill>
    </fill>
    <fill>
      <patternFill patternType="solid">
        <fgColor rgb="FFFFFFFF"/>
        <bgColor rgb="FF000000"/>
      </patternFill>
    </fill>
    <fill>
      <patternFill patternType="solid">
        <fgColor rgb="FFD9D9D9"/>
        <bgColor rgb="FFD9D9D9"/>
      </patternFill>
    </fill>
  </fills>
  <borders count="256">
    <border>
      <left/>
      <right/>
      <top/>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style="thin">
        <color indexed="64"/>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medium">
        <color theme="3"/>
      </left>
      <right/>
      <top style="thin">
        <color theme="0" tint="-0.499984740745262"/>
      </top>
      <bottom style="thin">
        <color theme="0" tint="-0.499984740745262"/>
      </bottom>
      <diagonal/>
    </border>
    <border>
      <left style="medium">
        <color theme="3"/>
      </left>
      <right/>
      <top style="thin">
        <color theme="0" tint="-0.499984740745262"/>
      </top>
      <bottom/>
      <diagonal/>
    </border>
    <border>
      <left style="medium">
        <color theme="3"/>
      </left>
      <right/>
      <top/>
      <bottom/>
      <diagonal/>
    </border>
    <border>
      <left/>
      <right style="medium">
        <color theme="3"/>
      </right>
      <top style="thin">
        <color theme="0" tint="-0.499984740745262"/>
      </top>
      <bottom style="thin">
        <color theme="0" tint="-0.499984740745262"/>
      </bottom>
      <diagonal/>
    </border>
    <border>
      <left/>
      <right style="medium">
        <color theme="3"/>
      </right>
      <top/>
      <bottom/>
      <diagonal/>
    </border>
    <border>
      <left style="medium">
        <color theme="3"/>
      </left>
      <right/>
      <top/>
      <bottom style="thin">
        <color theme="0" tint="-0.499984740745262"/>
      </bottom>
      <diagonal/>
    </border>
    <border>
      <left style="medium">
        <color theme="3"/>
      </left>
      <right/>
      <top/>
      <bottom style="medium">
        <color theme="3"/>
      </bottom>
      <diagonal/>
    </border>
    <border>
      <left/>
      <right style="thin">
        <color theme="0" tint="-0.499984740745262"/>
      </right>
      <top/>
      <bottom/>
      <diagonal/>
    </border>
    <border>
      <left style="thin">
        <color theme="0" tint="-0.499984740745262"/>
      </left>
      <right style="thin">
        <color theme="0" tint="-0.499984740745262"/>
      </right>
      <top/>
      <bottom/>
      <diagonal/>
    </border>
    <border>
      <left style="thin">
        <color theme="0" tint="-0.499984740745262"/>
      </left>
      <right style="thin">
        <color theme="0" tint="-0.499984740745262"/>
      </right>
      <top/>
      <bottom style="medium">
        <color theme="3"/>
      </bottom>
      <diagonal/>
    </border>
    <border>
      <left/>
      <right/>
      <top style="medium">
        <color theme="3"/>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medium">
        <color theme="3"/>
      </left>
      <right style="thin">
        <color theme="0" tint="-0.249977111117893"/>
      </right>
      <top style="medium">
        <color theme="3"/>
      </top>
      <bottom style="thin">
        <color theme="0" tint="-0.249977111117893"/>
      </bottom>
      <diagonal/>
    </border>
    <border>
      <left style="thin">
        <color theme="0" tint="-0.249977111117893"/>
      </left>
      <right style="thin">
        <color theme="0" tint="-0.249977111117893"/>
      </right>
      <top style="medium">
        <color theme="3"/>
      </top>
      <bottom style="thin">
        <color theme="0" tint="-0.249977111117893"/>
      </bottom>
      <diagonal/>
    </border>
    <border>
      <left style="medium">
        <color theme="3"/>
      </left>
      <right style="thin">
        <color theme="0" tint="-0.249977111117893"/>
      </right>
      <top style="thin">
        <color theme="0" tint="-0.249977111117893"/>
      </top>
      <bottom style="thin">
        <color theme="0" tint="-0.249977111117893"/>
      </bottom>
      <diagonal/>
    </border>
    <border>
      <left style="thin">
        <color theme="0" tint="-0.249977111117893"/>
      </left>
      <right style="medium">
        <color theme="3"/>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style="thin">
        <color theme="0" tint="-0.249977111117893"/>
      </left>
      <right style="thin">
        <color theme="0" tint="-0.249977111117893"/>
      </right>
      <top/>
      <bottom style="thin">
        <color theme="0" tint="-0.249977111117893"/>
      </bottom>
      <diagonal/>
    </border>
    <border>
      <left/>
      <right/>
      <top style="medium">
        <color theme="3"/>
      </top>
      <bottom style="thin">
        <color theme="0" tint="-0.499984740745262"/>
      </bottom>
      <diagonal/>
    </border>
    <border>
      <left/>
      <right style="medium">
        <color theme="3"/>
      </right>
      <top style="medium">
        <color theme="3"/>
      </top>
      <bottom style="thin">
        <color theme="0" tint="-0.499984740745262"/>
      </bottom>
      <diagonal/>
    </border>
    <border>
      <left/>
      <right/>
      <top/>
      <bottom style="thin">
        <color indexed="64"/>
      </bottom>
      <diagonal/>
    </border>
    <border>
      <left style="thin">
        <color theme="0" tint="-0.249977111117893"/>
      </left>
      <right/>
      <top/>
      <bottom style="thin">
        <color theme="0" tint="-0.249977111117893"/>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theme="3"/>
      </left>
      <right style="medium">
        <color theme="3"/>
      </right>
      <top style="thin">
        <color theme="0" tint="-0.499984740745262"/>
      </top>
      <bottom/>
      <diagonal/>
    </border>
    <border>
      <left/>
      <right/>
      <top style="medium">
        <color theme="3"/>
      </top>
      <bottom style="medium">
        <color theme="3"/>
      </bottom>
      <diagonal/>
    </border>
    <border>
      <left/>
      <right style="medium">
        <color indexed="64"/>
      </right>
      <top style="medium">
        <color indexed="64"/>
      </top>
      <bottom/>
      <diagonal/>
    </border>
    <border>
      <left/>
      <right style="medium">
        <color theme="3"/>
      </right>
      <top/>
      <bottom style="thin">
        <color theme="0" tint="-0.249977111117893"/>
      </bottom>
      <diagonal/>
    </border>
    <border>
      <left style="medium">
        <color indexed="64"/>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theme="0" tint="-0.249977111117893"/>
      </left>
      <right/>
      <top style="thin">
        <color rgb="FF1F497D"/>
      </top>
      <bottom style="thin">
        <color theme="0" tint="-0.249977111117893"/>
      </bottom>
      <diagonal/>
    </border>
    <border>
      <left/>
      <right/>
      <top style="thin">
        <color rgb="FF1F497D"/>
      </top>
      <bottom style="thin">
        <color theme="0" tint="-0.249977111117893"/>
      </bottom>
      <diagonal/>
    </border>
    <border>
      <left/>
      <right style="thin">
        <color theme="0" tint="-0.249977111117893"/>
      </right>
      <top style="thin">
        <color rgb="FF1F497D"/>
      </top>
      <bottom style="thin">
        <color theme="0" tint="-0.249977111117893"/>
      </bottom>
      <diagonal/>
    </border>
    <border>
      <left style="medium">
        <color rgb="FF1F497D"/>
      </left>
      <right/>
      <top/>
      <bottom/>
      <diagonal/>
    </border>
    <border>
      <left/>
      <right style="medium">
        <color rgb="FF1F497D"/>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77111117893"/>
      </left>
      <right style="medium">
        <color theme="3"/>
      </right>
      <top/>
      <bottom style="thin">
        <color theme="0" tint="-0.249977111117893"/>
      </bottom>
      <diagonal/>
    </border>
    <border>
      <left style="thin">
        <color theme="0" tint="-0.14999847407452621"/>
      </left>
      <right style="thin">
        <color theme="0" tint="-0.14999847407452621"/>
      </right>
      <top style="medium">
        <color theme="3"/>
      </top>
      <bottom/>
      <diagonal/>
    </border>
    <border>
      <left style="thin">
        <color theme="0" tint="-0.249977111117893"/>
      </left>
      <right/>
      <top style="medium">
        <color theme="3"/>
      </top>
      <bottom/>
      <diagonal/>
    </border>
    <border>
      <left/>
      <right style="thin">
        <color theme="0" tint="-0.249977111117893"/>
      </right>
      <top style="medium">
        <color theme="3"/>
      </top>
      <bottom/>
      <diagonal/>
    </border>
    <border>
      <left style="thin">
        <color theme="0" tint="-0.249977111117893"/>
      </left>
      <right style="thin">
        <color theme="0" tint="-0.249977111117893"/>
      </right>
      <top style="medium">
        <color theme="3"/>
      </top>
      <bottom/>
      <diagonal/>
    </border>
    <border>
      <left style="thin">
        <color theme="0" tint="-0.249977111117893"/>
      </left>
      <right style="medium">
        <color theme="3"/>
      </right>
      <top style="medium">
        <color theme="3"/>
      </top>
      <bottom/>
      <diagonal/>
    </border>
    <border>
      <left style="thin">
        <color indexed="64"/>
      </left>
      <right style="medium">
        <color rgb="FF1F497D"/>
      </right>
      <top style="thin">
        <color indexed="64"/>
      </top>
      <bottom style="thin">
        <color indexed="64"/>
      </bottom>
      <diagonal/>
    </border>
    <border>
      <left style="thin">
        <color theme="0" tint="-0.24994659260841701"/>
      </left>
      <right style="thin">
        <color theme="0" tint="-0.24994659260841701"/>
      </right>
      <top style="thin">
        <color theme="0" tint="-0.24994659260841701"/>
      </top>
      <bottom/>
      <diagonal/>
    </border>
    <border>
      <left style="thin">
        <color indexed="64"/>
      </left>
      <right style="medium">
        <color rgb="FF1F497D"/>
      </right>
      <top/>
      <bottom style="thin">
        <color indexed="64"/>
      </bottom>
      <diagonal/>
    </border>
    <border>
      <left style="thin">
        <color theme="0" tint="-0.24994659260841701"/>
      </left>
      <right style="medium">
        <color theme="3"/>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rgb="FF1F497D"/>
      </left>
      <right style="thin">
        <color rgb="FF1F497D"/>
      </right>
      <top style="thin">
        <color rgb="FF1F497D"/>
      </top>
      <bottom style="thin">
        <color rgb="FF1F497D"/>
      </bottom>
      <diagonal/>
    </border>
    <border>
      <left style="medium">
        <color rgb="FF1F497D"/>
      </left>
      <right style="medium">
        <color rgb="FF1F497D"/>
      </right>
      <top style="medium">
        <color rgb="FF1F497D"/>
      </top>
      <bottom style="medium">
        <color rgb="FF1F497D"/>
      </bottom>
      <diagonal/>
    </border>
    <border>
      <left style="medium">
        <color rgb="FF1F497D"/>
      </left>
      <right style="medium">
        <color theme="3"/>
      </right>
      <top/>
      <bottom style="medium">
        <color rgb="FF1F497D"/>
      </bottom>
      <diagonal/>
    </border>
    <border>
      <left style="medium">
        <color rgb="FF1F497D"/>
      </left>
      <right/>
      <top style="medium">
        <color rgb="FF1F497D"/>
      </top>
      <bottom/>
      <diagonal/>
    </border>
    <border>
      <left/>
      <right/>
      <top style="medium">
        <color rgb="FF1F497D"/>
      </top>
      <bottom/>
      <diagonal/>
    </border>
    <border>
      <left/>
      <right style="medium">
        <color rgb="FF1F497D"/>
      </right>
      <top style="medium">
        <color rgb="FF1F497D"/>
      </top>
      <bottom/>
      <diagonal/>
    </border>
    <border>
      <left style="medium">
        <color rgb="FF1F497D"/>
      </left>
      <right/>
      <top/>
      <bottom style="medium">
        <color rgb="FF1F497D"/>
      </bottom>
      <diagonal/>
    </border>
    <border>
      <left/>
      <right/>
      <top style="medium">
        <color theme="3"/>
      </top>
      <bottom style="medium">
        <color rgb="FF1F497D"/>
      </bottom>
      <diagonal/>
    </border>
    <border>
      <left style="medium">
        <color rgb="FF1F497D"/>
      </left>
      <right/>
      <top style="medium">
        <color rgb="FF1F497D"/>
      </top>
      <bottom style="medium">
        <color rgb="FF1F497D"/>
      </bottom>
      <diagonal/>
    </border>
    <border>
      <left/>
      <right/>
      <top style="medium">
        <color rgb="FF1F497D"/>
      </top>
      <bottom style="medium">
        <color rgb="FF1F497D"/>
      </bottom>
      <diagonal/>
    </border>
    <border>
      <left/>
      <right style="medium">
        <color rgb="FF1F497D"/>
      </right>
      <top style="medium">
        <color rgb="FF1F497D"/>
      </top>
      <bottom style="medium">
        <color rgb="FF1F497D"/>
      </bottom>
      <diagonal/>
    </border>
    <border>
      <left/>
      <right/>
      <top/>
      <bottom style="medium">
        <color rgb="FF1F497D"/>
      </bottom>
      <diagonal/>
    </border>
    <border>
      <left/>
      <right style="medium">
        <color rgb="FF1F497D"/>
      </right>
      <top/>
      <bottom style="medium">
        <color rgb="FF1F497D"/>
      </bottom>
      <diagonal/>
    </border>
    <border>
      <left style="medium">
        <color rgb="FF1F497D"/>
      </left>
      <right/>
      <top style="medium">
        <color rgb="FF1F497D"/>
      </top>
      <bottom style="thin">
        <color theme="0" tint="-0.24994659260841701"/>
      </bottom>
      <diagonal/>
    </border>
    <border>
      <left/>
      <right style="medium">
        <color rgb="FF1F497D"/>
      </right>
      <top style="medium">
        <color rgb="FF1F497D"/>
      </top>
      <bottom style="thin">
        <color theme="0" tint="-0.24994659260841701"/>
      </bottom>
      <diagonal/>
    </border>
    <border>
      <left style="medium">
        <color rgb="FF1F497D"/>
      </left>
      <right/>
      <top style="thin">
        <color theme="0" tint="-0.24994659260841701"/>
      </top>
      <bottom style="thin">
        <color theme="0" tint="-0.24994659260841701"/>
      </bottom>
      <diagonal/>
    </border>
    <border>
      <left/>
      <right style="medium">
        <color rgb="FF1F497D"/>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medium">
        <color rgb="FF1F497D"/>
      </left>
      <right/>
      <top style="thin">
        <color theme="0" tint="-0.24994659260841701"/>
      </top>
      <bottom style="medium">
        <color rgb="FF1F497D"/>
      </bottom>
      <diagonal/>
    </border>
    <border>
      <left/>
      <right style="medium">
        <color rgb="FF1F497D"/>
      </right>
      <top style="thin">
        <color theme="0" tint="-0.24994659260841701"/>
      </top>
      <bottom style="medium">
        <color rgb="FF1F497D"/>
      </bottom>
      <diagonal/>
    </border>
    <border>
      <left style="medium">
        <color rgb="FF1F497D"/>
      </left>
      <right style="medium">
        <color rgb="FF1F497D"/>
      </right>
      <top style="medium">
        <color rgb="FF1F497D"/>
      </top>
      <bottom style="thin">
        <color theme="0" tint="-0.24994659260841701"/>
      </bottom>
      <diagonal/>
    </border>
    <border>
      <left style="medium">
        <color rgb="FF1F497D"/>
      </left>
      <right style="medium">
        <color rgb="FF1F497D"/>
      </right>
      <top style="thin">
        <color theme="0" tint="-0.24994659260841701"/>
      </top>
      <bottom style="thin">
        <color theme="0" tint="-0.24994659260841701"/>
      </bottom>
      <diagonal/>
    </border>
    <border>
      <left style="medium">
        <color rgb="FF1F497D"/>
      </left>
      <right style="medium">
        <color rgb="FF1F497D"/>
      </right>
      <top style="thin">
        <color theme="0" tint="-0.24994659260841701"/>
      </top>
      <bottom style="medium">
        <color rgb="FF1F497D"/>
      </bottom>
      <diagonal/>
    </border>
    <border>
      <left style="medium">
        <color rgb="FF1F497D"/>
      </left>
      <right style="medium">
        <color rgb="FF1F497D"/>
      </right>
      <top/>
      <bottom/>
      <diagonal/>
    </border>
    <border>
      <left style="medium">
        <color rgb="FF1F497D"/>
      </left>
      <right style="medium">
        <color rgb="FF1F497D"/>
      </right>
      <top/>
      <bottom style="medium">
        <color rgb="FF1F497D"/>
      </bottom>
      <diagonal/>
    </border>
    <border>
      <left style="medium">
        <color rgb="FF1F497D"/>
      </left>
      <right style="medium">
        <color rgb="FF1F497D"/>
      </right>
      <top/>
      <bottom style="thin">
        <color theme="0" tint="-0.24994659260841701"/>
      </bottom>
      <diagonal/>
    </border>
    <border>
      <left/>
      <right style="medium">
        <color rgb="FF1F497D"/>
      </right>
      <top/>
      <bottom style="thin">
        <color theme="0" tint="-0.24994659260841701"/>
      </bottom>
      <diagonal/>
    </border>
    <border>
      <left style="medium">
        <color rgb="FF1F497D"/>
      </left>
      <right style="medium">
        <color rgb="FF1F497D"/>
      </right>
      <top style="thin">
        <color theme="0" tint="-0.24994659260841701"/>
      </top>
      <bottom/>
      <diagonal/>
    </border>
    <border>
      <left style="medium">
        <color rgb="FF1F497D"/>
      </left>
      <right/>
      <top style="medium">
        <color theme="3"/>
      </top>
      <bottom style="medium">
        <color theme="3"/>
      </bottom>
      <diagonal/>
    </border>
    <border>
      <left style="medium">
        <color rgb="FF1F497D"/>
      </left>
      <right/>
      <top style="medium">
        <color theme="3"/>
      </top>
      <bottom style="medium">
        <color rgb="FF1F497D"/>
      </bottom>
      <diagonal/>
    </border>
    <border>
      <left/>
      <right/>
      <top/>
      <bottom style="medium">
        <color theme="0" tint="-0.24994659260841701"/>
      </bottom>
      <diagonal/>
    </border>
    <border>
      <left/>
      <right/>
      <top style="medium">
        <color theme="0" tint="-0.24994659260841701"/>
      </top>
      <bottom/>
      <diagonal/>
    </border>
    <border>
      <left/>
      <right/>
      <top style="medium">
        <color theme="0" tint="-0.24994659260841701"/>
      </top>
      <bottom style="medium">
        <color theme="0" tint="-0.24994659260841701"/>
      </bottom>
      <diagonal/>
    </border>
    <border>
      <left style="medium">
        <color rgb="FF1F497D"/>
      </left>
      <right/>
      <top/>
      <bottom style="medium">
        <color theme="0" tint="-0.24994659260841701"/>
      </bottom>
      <diagonal/>
    </border>
    <border>
      <left style="medium">
        <color rgb="FF1F497D"/>
      </left>
      <right/>
      <top style="medium">
        <color theme="0" tint="-0.24994659260841701"/>
      </top>
      <bottom/>
      <diagonal/>
    </border>
    <border>
      <left style="medium">
        <color rgb="FF1F497D"/>
      </left>
      <right/>
      <top style="medium">
        <color theme="0" tint="-0.24994659260841701"/>
      </top>
      <bottom style="medium">
        <color theme="0" tint="-0.24994659260841701"/>
      </bottom>
      <diagonal/>
    </border>
    <border>
      <left/>
      <right style="medium">
        <color rgb="FF1F497D"/>
      </right>
      <top style="medium">
        <color theme="0" tint="-0.24994659260841701"/>
      </top>
      <bottom style="medium">
        <color theme="0" tint="-0.24994659260841701"/>
      </bottom>
      <diagonal/>
    </border>
    <border>
      <left style="medium">
        <color rgb="FF1F497D"/>
      </left>
      <right/>
      <top style="medium">
        <color theme="0" tint="-0.24994659260841701"/>
      </top>
      <bottom style="medium">
        <color rgb="FF1F497D"/>
      </bottom>
      <diagonal/>
    </border>
    <border>
      <left/>
      <right/>
      <top style="medium">
        <color theme="0" tint="-0.24994659260841701"/>
      </top>
      <bottom style="medium">
        <color rgb="FF1F497D"/>
      </bottom>
      <diagonal/>
    </border>
    <border>
      <left/>
      <right style="medium">
        <color rgb="FF1F497D"/>
      </right>
      <top style="medium">
        <color theme="0" tint="-0.24994659260841701"/>
      </top>
      <bottom style="medium">
        <color rgb="FF1F497D"/>
      </bottom>
      <diagonal/>
    </border>
    <border>
      <left style="medium">
        <color rgb="FF1F497D"/>
      </left>
      <right/>
      <top style="medium">
        <color rgb="FF1F497D"/>
      </top>
      <bottom style="medium">
        <color theme="0" tint="-0.24994659260841701"/>
      </bottom>
      <diagonal/>
    </border>
    <border>
      <left/>
      <right/>
      <top style="medium">
        <color rgb="FF1F497D"/>
      </top>
      <bottom style="medium">
        <color theme="0" tint="-0.24994659260841701"/>
      </bottom>
      <diagonal/>
    </border>
    <border>
      <left style="thin">
        <color rgb="FF1F497D"/>
      </left>
      <right/>
      <top style="thin">
        <color rgb="FF1F497D"/>
      </top>
      <bottom style="thin">
        <color rgb="FF1F497D"/>
      </bottom>
      <diagonal/>
    </border>
    <border>
      <left/>
      <right/>
      <top style="thin">
        <color rgb="FF1F497D"/>
      </top>
      <bottom style="thin">
        <color rgb="FF1F497D"/>
      </bottom>
      <diagonal/>
    </border>
    <border>
      <left style="medium">
        <color theme="1" tint="0.24994659260841701"/>
      </left>
      <right style="medium">
        <color theme="1" tint="0.24994659260841701"/>
      </right>
      <top style="medium">
        <color theme="1" tint="0.24994659260841701"/>
      </top>
      <bottom style="medium">
        <color theme="1" tint="0.24994659260841701"/>
      </bottom>
      <diagonal/>
    </border>
    <border>
      <left style="medium">
        <color theme="1" tint="0.24994659260841701"/>
      </left>
      <right/>
      <top style="medium">
        <color theme="1" tint="0.24994659260841701"/>
      </top>
      <bottom style="medium">
        <color theme="1" tint="0.24994659260841701"/>
      </bottom>
      <diagonal/>
    </border>
    <border>
      <left/>
      <right/>
      <top style="medium">
        <color theme="1" tint="0.24994659260841701"/>
      </top>
      <bottom style="medium">
        <color theme="1" tint="0.24994659260841701"/>
      </bottom>
      <diagonal/>
    </border>
    <border>
      <left/>
      <right style="medium">
        <color theme="1" tint="0.24994659260841701"/>
      </right>
      <top style="medium">
        <color theme="1" tint="0.24994659260841701"/>
      </top>
      <bottom style="medium">
        <color theme="1" tint="0.24994659260841701"/>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indexed="64"/>
      </top>
      <bottom/>
      <diagonal/>
    </border>
    <border>
      <left/>
      <right/>
      <top style="medium">
        <color rgb="FF000000"/>
      </top>
      <bottom style="medium">
        <color rgb="FF000000"/>
      </bottom>
      <diagonal/>
    </border>
    <border>
      <left/>
      <right style="medium">
        <color rgb="FF000000"/>
      </right>
      <top/>
      <bottom/>
      <diagonal/>
    </border>
    <border>
      <left style="medium">
        <color rgb="FF000000"/>
      </left>
      <right style="medium">
        <color rgb="FF000000"/>
      </right>
      <top/>
      <bottom/>
      <diagonal/>
    </border>
    <border>
      <left style="medium">
        <color rgb="FF000000"/>
      </left>
      <right/>
      <top/>
      <bottom style="medium">
        <color rgb="FF000000"/>
      </bottom>
      <diagonal/>
    </border>
    <border>
      <left style="medium">
        <color rgb="FF000000"/>
      </left>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top/>
      <bottom style="thin">
        <color rgb="FF000000"/>
      </bottom>
      <diagonal/>
    </border>
    <border>
      <left style="thin">
        <color rgb="FF000000"/>
      </left>
      <right style="medium">
        <color rgb="FF000000"/>
      </right>
      <top/>
      <bottom style="thin">
        <color rgb="FF000000"/>
      </bottom>
      <diagonal/>
    </border>
    <border>
      <left style="medium">
        <color theme="1" tint="0.24994659260841701"/>
      </left>
      <right/>
      <top style="medium">
        <color theme="3"/>
      </top>
      <bottom style="thin">
        <color theme="0" tint="-0.499984740745262"/>
      </bottom>
      <diagonal/>
    </border>
    <border>
      <left style="thin">
        <color theme="0" tint="-0.499984740745262"/>
      </left>
      <right style="medium">
        <color theme="3"/>
      </right>
      <top style="thin">
        <color theme="0" tint="-0.499984740745262"/>
      </top>
      <bottom/>
      <diagonal/>
    </border>
    <border>
      <left style="thin">
        <color theme="0" tint="-0.499984740745262"/>
      </left>
      <right style="medium">
        <color theme="3"/>
      </right>
      <top/>
      <bottom/>
      <diagonal/>
    </border>
    <border>
      <left style="thin">
        <color theme="0" tint="-0.499984740745262"/>
      </left>
      <right style="medium">
        <color theme="3"/>
      </right>
      <top/>
      <bottom style="medium">
        <color theme="3"/>
      </bottom>
      <diagonal/>
    </border>
    <border>
      <left style="medium">
        <color rgb="FF000000"/>
      </left>
      <right/>
      <top style="medium">
        <color rgb="FF000000"/>
      </top>
      <bottom style="medium">
        <color rgb="FF000000"/>
      </bottom>
      <diagonal/>
    </border>
    <border>
      <left/>
      <right/>
      <top/>
      <bottom style="medium">
        <color rgb="FF000000"/>
      </bottom>
      <diagonal/>
    </border>
    <border>
      <left style="medium">
        <color indexed="64"/>
      </left>
      <right style="thin">
        <color indexed="64"/>
      </right>
      <top style="medium">
        <color indexed="64"/>
      </top>
      <bottom style="medium">
        <color rgb="FF000000"/>
      </bottom>
      <diagonal/>
    </border>
    <border>
      <left/>
      <right style="thin">
        <color indexed="64"/>
      </right>
      <top style="medium">
        <color indexed="64"/>
      </top>
      <bottom style="medium">
        <color rgb="FF000000"/>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right style="medium">
        <color rgb="FF000000"/>
      </right>
      <top style="medium">
        <color rgb="FF000000"/>
      </top>
      <bottom/>
      <diagonal/>
    </border>
    <border>
      <left/>
      <right style="medium">
        <color rgb="FF000000"/>
      </right>
      <top/>
      <bottom style="medium">
        <color rgb="FF000000"/>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medium">
        <color indexed="64"/>
      </bottom>
      <diagonal/>
    </border>
    <border>
      <left/>
      <right style="thin">
        <color indexed="64"/>
      </right>
      <top style="medium">
        <color indexed="64"/>
      </top>
      <bottom/>
      <diagonal/>
    </border>
    <border>
      <left/>
      <right style="thin">
        <color indexed="64"/>
      </right>
      <top style="medium">
        <color rgb="FF000000"/>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right style="thin">
        <color theme="0" tint="-0.24994659260841701"/>
      </right>
      <top/>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top style="thin">
        <color theme="0" tint="-0.24994659260841701"/>
      </top>
      <bottom/>
      <diagonal/>
    </border>
    <border>
      <left style="thin">
        <color theme="0" tint="-0.24994659260841701"/>
      </left>
      <right/>
      <top/>
      <bottom/>
      <diagonal/>
    </border>
    <border>
      <left style="thin">
        <color theme="0" tint="-0.24994659260841701"/>
      </left>
      <right/>
      <top/>
      <bottom style="thin">
        <color theme="0" tint="-0.24994659260841701"/>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theme="0" tint="-0.24994659260841701"/>
      </left>
      <right style="thin">
        <color theme="0" tint="-0.249977111117893"/>
      </right>
      <top style="thin">
        <color theme="0" tint="-0.249977111117893"/>
      </top>
      <bottom style="thin">
        <color theme="0" tint="-0.249977111117893"/>
      </bottom>
      <diagonal/>
    </border>
    <border>
      <left style="thin">
        <color rgb="FF000000"/>
      </left>
      <right/>
      <top/>
      <bottom/>
      <diagonal/>
    </border>
    <border>
      <left style="thin">
        <color indexed="64"/>
      </left>
      <right style="medium">
        <color indexed="64"/>
      </right>
      <top/>
      <bottom style="thin">
        <color indexed="64"/>
      </bottom>
      <diagonal/>
    </border>
    <border>
      <left style="thin">
        <color rgb="FF000000"/>
      </left>
      <right style="medium">
        <color indexed="64"/>
      </right>
      <top/>
      <bottom style="thin">
        <color rgb="FF000000"/>
      </bottom>
      <diagonal/>
    </border>
    <border>
      <left style="medium">
        <color indexed="64"/>
      </left>
      <right style="thin">
        <color indexed="64"/>
      </right>
      <top style="thin">
        <color indexed="64"/>
      </top>
      <bottom/>
      <diagonal/>
    </border>
    <border>
      <left/>
      <right style="medium">
        <color indexed="64"/>
      </right>
      <top style="medium">
        <color indexed="64"/>
      </top>
      <bottom style="medium">
        <color indexed="64"/>
      </bottom>
      <diagonal/>
    </border>
    <border>
      <left style="thin">
        <color rgb="FF000000"/>
      </left>
      <right/>
      <top style="thin">
        <color rgb="FF000000"/>
      </top>
      <bottom/>
      <diagonal/>
    </border>
    <border>
      <left style="thin">
        <color rgb="FF000000"/>
      </left>
      <right/>
      <top style="thin">
        <color indexed="64"/>
      </top>
      <bottom/>
      <diagonal/>
    </border>
    <border>
      <left style="thin">
        <color rgb="FF000000"/>
      </left>
      <right/>
      <top style="thin">
        <color rgb="FF000000"/>
      </top>
      <bottom style="thin">
        <color rgb="FF000000"/>
      </bottom>
      <diagonal/>
    </border>
    <border>
      <left style="thin">
        <color indexed="64"/>
      </left>
      <right style="medium">
        <color indexed="64"/>
      </right>
      <top style="thin">
        <color indexed="64"/>
      </top>
      <bottom/>
      <diagonal/>
    </border>
    <border>
      <left/>
      <right style="thin">
        <color rgb="FF000000"/>
      </right>
      <top/>
      <bottom style="thin">
        <color rgb="FF000000"/>
      </bottom>
      <diagonal/>
    </border>
    <border>
      <left/>
      <right style="thin">
        <color indexed="64"/>
      </right>
      <top style="medium">
        <color indexed="64"/>
      </top>
      <bottom style="thin">
        <color indexed="64"/>
      </bottom>
      <diagonal/>
    </border>
    <border>
      <left style="medium">
        <color theme="3"/>
      </left>
      <right/>
      <top style="medium">
        <color rgb="FF000000"/>
      </top>
      <bottom style="medium">
        <color rgb="FF000000"/>
      </bottom>
      <diagonal/>
    </border>
    <border>
      <left/>
      <right/>
      <top style="medium">
        <color rgb="FF000000"/>
      </top>
      <bottom/>
      <diagonal/>
    </border>
    <border>
      <left/>
      <right style="medium">
        <color theme="3"/>
      </right>
      <top style="medium">
        <color rgb="FF000000"/>
      </top>
      <bottom/>
      <diagonal/>
    </border>
    <border>
      <left style="medium">
        <color theme="3"/>
      </left>
      <right/>
      <top style="medium">
        <color rgb="FF000000"/>
      </top>
      <bottom/>
      <diagonal/>
    </border>
    <border>
      <left style="medium">
        <color rgb="FF000000"/>
      </left>
      <right style="thin">
        <color theme="0" tint="-0.24994659260841701"/>
      </right>
      <top/>
      <bottom style="medium">
        <color rgb="FF000000"/>
      </bottom>
      <diagonal/>
    </border>
    <border>
      <left style="thin">
        <color theme="0" tint="-0.24994659260841701"/>
      </left>
      <right style="thin">
        <color theme="0" tint="-0.24994659260841701"/>
      </right>
      <top/>
      <bottom style="medium">
        <color rgb="FF000000"/>
      </bottom>
      <diagonal/>
    </border>
    <border>
      <left style="thin">
        <color theme="0" tint="-0.24994659260841701"/>
      </left>
      <right style="medium">
        <color rgb="FF000000"/>
      </right>
      <top/>
      <bottom style="medium">
        <color rgb="FF000000"/>
      </bottom>
      <diagonal/>
    </border>
    <border>
      <left/>
      <right style="medium">
        <color theme="3"/>
      </right>
      <top/>
      <bottom style="medium">
        <color rgb="FF000000"/>
      </bottom>
      <diagonal/>
    </border>
    <border>
      <left/>
      <right style="medium">
        <color rgb="FF000000"/>
      </right>
      <top style="medium">
        <color rgb="FF000000"/>
      </top>
      <bottom style="medium">
        <color rgb="FF000000"/>
      </bottom>
      <diagonal/>
    </border>
    <border>
      <left style="medium">
        <color rgb="FF000000"/>
      </left>
      <right style="thin">
        <color theme="0" tint="-0.24994659260841701"/>
      </right>
      <top/>
      <bottom/>
      <diagonal/>
    </border>
    <border>
      <left style="thin">
        <color theme="0" tint="-0.24994659260841701"/>
      </left>
      <right style="thin">
        <color theme="0" tint="-0.24994659260841701"/>
      </right>
      <top/>
      <bottom/>
      <diagonal/>
    </border>
    <border>
      <left style="thin">
        <color theme="0" tint="-0.24994659260841701"/>
      </left>
      <right style="medium">
        <color rgb="FF000000"/>
      </right>
      <top/>
      <bottom/>
      <diagonal/>
    </border>
    <border>
      <left style="medium">
        <color rgb="FF000000"/>
      </left>
      <right style="medium">
        <color theme="3"/>
      </right>
      <top/>
      <bottom style="medium">
        <color rgb="FF000000"/>
      </bottom>
      <diagonal/>
    </border>
    <border>
      <left/>
      <right style="medium">
        <color rgb="FF1F497D"/>
      </right>
      <top/>
      <bottom style="medium">
        <color theme="0" tint="-0.24994659260841701"/>
      </bottom>
      <diagonal/>
    </border>
    <border>
      <left/>
      <right style="medium">
        <color rgb="FF1F497D"/>
      </right>
      <top style="medium">
        <color theme="0" tint="-0.24994659260841701"/>
      </top>
      <bottom/>
      <diagonal/>
    </border>
    <border>
      <left style="medium">
        <color indexed="64"/>
      </left>
      <right/>
      <top style="thin">
        <color indexed="64"/>
      </top>
      <bottom/>
      <diagonal/>
    </border>
    <border>
      <left/>
      <right style="medium">
        <color indexed="64"/>
      </right>
      <top style="thin">
        <color indexed="64"/>
      </top>
      <bottom style="thin">
        <color indexed="64"/>
      </bottom>
      <diagonal/>
    </border>
    <border>
      <left style="medium">
        <color indexed="64"/>
      </left>
      <right style="thin">
        <color rgb="FF000000"/>
      </right>
      <top/>
      <bottom style="thin">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bottom/>
      <diagonal/>
    </border>
    <border>
      <left style="medium">
        <color theme="4" tint="-0.24994659260841701"/>
      </left>
      <right style="medium">
        <color theme="4" tint="-0.24994659260841701"/>
      </right>
      <top style="medium">
        <color theme="4" tint="-0.24994659260841701"/>
      </top>
      <bottom style="thin">
        <color theme="0" tint="-0.499984740745262"/>
      </bottom>
      <diagonal/>
    </border>
    <border>
      <left style="medium">
        <color theme="4" tint="-0.24994659260841701"/>
      </left>
      <right style="medium">
        <color theme="4" tint="-0.24994659260841701"/>
      </right>
      <top/>
      <bottom/>
      <diagonal/>
    </border>
    <border>
      <left style="medium">
        <color theme="4" tint="-0.24994659260841701"/>
      </left>
      <right style="medium">
        <color theme="4" tint="-0.24994659260841701"/>
      </right>
      <top/>
      <bottom style="medium">
        <color theme="4" tint="-0.24994659260841701"/>
      </bottom>
      <diagonal/>
    </border>
    <border>
      <left style="medium">
        <color rgb="FF1F497D"/>
      </left>
      <right style="thin">
        <color rgb="FF1F497D"/>
      </right>
      <top style="medium">
        <color rgb="FF1F497D"/>
      </top>
      <bottom style="thin">
        <color rgb="FF1F497D"/>
      </bottom>
      <diagonal/>
    </border>
    <border>
      <left style="thin">
        <color rgb="FF1F497D"/>
      </left>
      <right style="thin">
        <color rgb="FF1F497D"/>
      </right>
      <top style="medium">
        <color rgb="FF1F497D"/>
      </top>
      <bottom style="thin">
        <color rgb="FF1F497D"/>
      </bottom>
      <diagonal/>
    </border>
    <border>
      <left style="thin">
        <color rgb="FF1F497D"/>
      </left>
      <right style="medium">
        <color rgb="FF1F497D"/>
      </right>
      <top style="medium">
        <color rgb="FF1F497D"/>
      </top>
      <bottom style="thin">
        <color rgb="FF1F497D"/>
      </bottom>
      <diagonal/>
    </border>
    <border>
      <left style="medium">
        <color rgb="FF1F497D"/>
      </left>
      <right style="thin">
        <color rgb="FF1F497D"/>
      </right>
      <top style="thin">
        <color rgb="FF1F497D"/>
      </top>
      <bottom style="thin">
        <color rgb="FF1F497D"/>
      </bottom>
      <diagonal/>
    </border>
    <border>
      <left style="thin">
        <color rgb="FF1F497D"/>
      </left>
      <right style="medium">
        <color rgb="FF1F497D"/>
      </right>
      <top style="thin">
        <color rgb="FF1F497D"/>
      </top>
      <bottom style="thin">
        <color rgb="FF1F497D"/>
      </bottom>
      <diagonal/>
    </border>
    <border>
      <left style="medium">
        <color rgb="FF1F497D"/>
      </left>
      <right style="thin">
        <color rgb="FF1F497D"/>
      </right>
      <top style="thin">
        <color rgb="FF1F497D"/>
      </top>
      <bottom style="medium">
        <color rgb="FF1F497D"/>
      </bottom>
      <diagonal/>
    </border>
    <border>
      <left style="thin">
        <color rgb="FF1F497D"/>
      </left>
      <right style="thin">
        <color rgb="FF1F497D"/>
      </right>
      <top style="thin">
        <color rgb="FF1F497D"/>
      </top>
      <bottom style="medium">
        <color rgb="FF1F497D"/>
      </bottom>
      <diagonal/>
    </border>
    <border>
      <left style="thin">
        <color rgb="FF1F497D"/>
      </left>
      <right style="medium">
        <color rgb="FF1F497D"/>
      </right>
      <top style="thin">
        <color rgb="FF1F497D"/>
      </top>
      <bottom style="medium">
        <color rgb="FF1F497D"/>
      </bottom>
      <diagonal/>
    </border>
    <border>
      <left style="medium">
        <color theme="3"/>
      </left>
      <right style="thin">
        <color theme="0" tint="-0.24994659260841701"/>
      </right>
      <top style="thin">
        <color theme="0" tint="-0.24994659260841701"/>
      </top>
      <bottom style="thin">
        <color theme="0" tint="-0.24994659260841701"/>
      </bottom>
      <diagonal/>
    </border>
    <border>
      <left style="medium">
        <color theme="3"/>
      </left>
      <right/>
      <top style="thin">
        <color theme="0" tint="-0.24994659260841701"/>
      </top>
      <bottom/>
      <diagonal/>
    </border>
    <border>
      <left style="medium">
        <color theme="3"/>
      </left>
      <right/>
      <top/>
      <bottom style="thin">
        <color theme="0" tint="-0.24994659260841701"/>
      </bottom>
      <diagonal/>
    </border>
    <border>
      <left style="medium">
        <color theme="3"/>
      </left>
      <right style="thin">
        <color indexed="64"/>
      </right>
      <top style="thin">
        <color indexed="64"/>
      </top>
      <bottom style="thin">
        <color indexed="64"/>
      </bottom>
      <diagonal/>
    </border>
    <border>
      <left style="medium">
        <color theme="3"/>
      </left>
      <right style="thin">
        <color indexed="64"/>
      </right>
      <top style="thin">
        <color indexed="64"/>
      </top>
      <bottom style="medium">
        <color theme="3"/>
      </bottom>
      <diagonal/>
    </border>
    <border>
      <left style="thin">
        <color indexed="64"/>
      </left>
      <right style="thin">
        <color indexed="64"/>
      </right>
      <top style="thin">
        <color indexed="64"/>
      </top>
      <bottom style="medium">
        <color theme="3"/>
      </bottom>
      <diagonal/>
    </border>
    <border>
      <left style="thin">
        <color indexed="64"/>
      </left>
      <right style="medium">
        <color rgb="FF1F497D"/>
      </right>
      <top style="thin">
        <color indexed="64"/>
      </top>
      <bottom style="medium">
        <color theme="3"/>
      </bottom>
      <diagonal/>
    </border>
    <border>
      <left/>
      <right style="thin">
        <color rgb="FF000000"/>
      </right>
      <top style="thin">
        <color rgb="FF000000"/>
      </top>
      <bottom style="thin">
        <color rgb="FF000000"/>
      </bottom>
      <diagonal/>
    </border>
    <border>
      <left style="medium">
        <color rgb="FF000000"/>
      </left>
      <right style="medium">
        <color rgb="FF000000"/>
      </right>
      <top/>
      <bottom style="thin">
        <color theme="0" tint="-0.249977111117893"/>
      </bottom>
      <diagonal/>
    </border>
    <border>
      <left style="medium">
        <color rgb="FF000000"/>
      </left>
      <right style="medium">
        <color theme="3"/>
      </right>
      <top style="medium">
        <color rgb="FF000000"/>
      </top>
      <bottom/>
      <diagonal/>
    </border>
    <border>
      <left style="medium">
        <color rgb="FF000000"/>
      </left>
      <right style="medium">
        <color rgb="FF000000"/>
      </right>
      <top/>
      <bottom style="thin">
        <color indexed="64"/>
      </bottom>
      <diagonal/>
    </border>
    <border>
      <left style="medium">
        <color indexed="64"/>
      </left>
      <right/>
      <top style="thin">
        <color indexed="64"/>
      </top>
      <bottom style="thin">
        <color indexed="64"/>
      </bottom>
      <diagonal/>
    </border>
    <border>
      <left style="medium">
        <color theme="3"/>
      </left>
      <right/>
      <top style="medium">
        <color theme="3"/>
      </top>
      <bottom style="medium">
        <color theme="3"/>
      </bottom>
      <diagonal/>
    </border>
    <border>
      <left/>
      <right style="medium">
        <color theme="3"/>
      </right>
      <top style="medium">
        <color theme="3"/>
      </top>
      <bottom style="medium">
        <color theme="3"/>
      </bottom>
      <diagonal/>
    </border>
    <border>
      <left style="medium">
        <color rgb="FF1F497D"/>
      </left>
      <right/>
      <top style="thin">
        <color theme="0" tint="-0.24994659260841701"/>
      </top>
      <bottom/>
      <diagonal/>
    </border>
    <border>
      <left/>
      <right style="medium">
        <color rgb="FF1F497D"/>
      </right>
      <top style="thin">
        <color theme="0" tint="-0.24994659260841701"/>
      </top>
      <bottom/>
      <diagonal/>
    </border>
    <border>
      <left/>
      <right style="thin">
        <color rgb="FF000000"/>
      </right>
      <top style="thin">
        <color rgb="FF1F497D"/>
      </top>
      <bottom style="thin">
        <color rgb="FF1F497D"/>
      </bottom>
      <diagonal/>
    </border>
    <border>
      <left/>
      <right style="thin">
        <color rgb="FF000000"/>
      </right>
      <top style="medium">
        <color rgb="FF1F497D"/>
      </top>
      <bottom style="medium">
        <color rgb="FF1F497D"/>
      </bottom>
      <diagonal/>
    </border>
    <border>
      <left/>
      <right style="thin">
        <color rgb="FF000000"/>
      </right>
      <top style="medium">
        <color rgb="FF1F497D"/>
      </top>
      <bottom style="medium">
        <color theme="0" tint="-0.24994659260841701"/>
      </bottom>
      <diagonal/>
    </border>
    <border>
      <left/>
      <right style="thin">
        <color rgb="FF000000"/>
      </right>
      <top style="medium">
        <color theme="0" tint="-0.24994659260841701"/>
      </top>
      <bottom style="medium">
        <color theme="0" tint="-0.24994659260841701"/>
      </bottom>
      <diagonal/>
    </border>
    <border>
      <left/>
      <right style="thin">
        <color rgb="FF000000"/>
      </right>
      <top style="medium">
        <color theme="0" tint="-0.24994659260841701"/>
      </top>
      <bottom style="medium">
        <color rgb="FF1F497D"/>
      </bottom>
      <diagonal/>
    </border>
    <border>
      <left/>
      <right/>
      <top style="thin">
        <color rgb="FF000000"/>
      </top>
      <bottom style="medium">
        <color rgb="FF000000"/>
      </bottom>
      <diagonal/>
    </border>
    <border>
      <left style="thin">
        <color rgb="FF000000"/>
      </left>
      <right/>
      <top style="thin">
        <color rgb="FF000000"/>
      </top>
      <bottom style="medium">
        <color rgb="FF000000"/>
      </bottom>
      <diagonal/>
    </border>
    <border>
      <left/>
      <right style="thin">
        <color rgb="FF000000"/>
      </right>
      <top style="thin">
        <color rgb="FF000000"/>
      </top>
      <bottom/>
      <diagonal/>
    </border>
    <border>
      <left/>
      <right style="thin">
        <color rgb="FF000000"/>
      </right>
      <top style="thin">
        <color rgb="FF000000"/>
      </top>
      <bottom style="medium">
        <color rgb="FF000000"/>
      </bottom>
      <diagonal/>
    </border>
    <border>
      <left/>
      <right/>
      <top style="thin">
        <color rgb="FF000000"/>
      </top>
      <bottom style="thin">
        <color rgb="FF000000"/>
      </bottom>
      <diagonal/>
    </border>
    <border>
      <left/>
      <right style="thin">
        <color rgb="FF000000"/>
      </right>
      <top/>
      <bottom/>
      <diagonal/>
    </border>
    <border>
      <left/>
      <right/>
      <top/>
      <bottom style="thin">
        <color rgb="FF000000"/>
      </bottom>
      <diagonal/>
    </border>
    <border>
      <left style="thin">
        <color rgb="FF000000"/>
      </left>
      <right style="thin">
        <color rgb="FF000000"/>
      </right>
      <top/>
      <bottom/>
      <diagonal/>
    </border>
    <border>
      <left/>
      <right/>
      <top style="medium">
        <color rgb="FF1F497D"/>
      </top>
      <bottom style="thin">
        <color theme="0" tint="-0.24994659260841701"/>
      </bottom>
      <diagonal/>
    </border>
    <border>
      <left/>
      <right/>
      <top style="thin">
        <color theme="0" tint="-0.24994659260841701"/>
      </top>
      <bottom style="medium">
        <color rgb="FF1F497D"/>
      </bottom>
      <diagonal/>
    </border>
    <border>
      <left style="medium">
        <color rgb="FF1F497D"/>
      </left>
      <right/>
      <top style="medium">
        <color rgb="FF1F497D"/>
      </top>
      <bottom style="thin">
        <color theme="0" tint="-0.499984740745262"/>
      </bottom>
      <diagonal/>
    </border>
    <border>
      <left/>
      <right/>
      <top style="medium">
        <color rgb="FF1F497D"/>
      </top>
      <bottom style="thin">
        <color theme="0" tint="-0.499984740745262"/>
      </bottom>
      <diagonal/>
    </border>
    <border>
      <left style="thin">
        <color rgb="FF000000"/>
      </left>
      <right style="thin">
        <color rgb="FF000000"/>
      </right>
      <top style="thin">
        <color rgb="FF000000"/>
      </top>
      <bottom style="medium">
        <color rgb="FF000000"/>
      </bottom>
      <diagonal/>
    </border>
    <border>
      <left style="medium">
        <color rgb="FF404040"/>
      </left>
      <right style="medium">
        <color rgb="FF404040"/>
      </right>
      <top style="medium">
        <color rgb="FF404040"/>
      </top>
      <bottom style="medium">
        <color rgb="FF404040"/>
      </bottom>
      <diagonal/>
    </border>
    <border>
      <left style="medium">
        <color rgb="FF404040"/>
      </left>
      <right style="medium">
        <color rgb="FF404040"/>
      </right>
      <top/>
      <bottom style="medium">
        <color rgb="FF404040"/>
      </bottom>
      <diagonal/>
    </border>
    <border>
      <left/>
      <right style="medium">
        <color rgb="FF404040"/>
      </right>
      <top style="medium">
        <color rgb="FF404040"/>
      </top>
      <bottom style="medium">
        <color rgb="FF404040"/>
      </bottom>
      <diagonal/>
    </border>
    <border>
      <left/>
      <right style="medium">
        <color rgb="FF404040"/>
      </right>
      <top/>
      <bottom style="medium">
        <color rgb="FF404040"/>
      </bottom>
      <diagonal/>
    </border>
    <border>
      <left style="medium">
        <color rgb="FF000000"/>
      </left>
      <right style="medium">
        <color rgb="FF000000"/>
      </right>
      <top/>
      <bottom style="medium">
        <color rgb="FF000000"/>
      </bottom>
      <diagonal/>
    </border>
    <border>
      <left style="medium">
        <color rgb="FF000000"/>
      </left>
      <right style="medium">
        <color rgb="FF000000"/>
      </right>
      <top style="thin">
        <color indexed="64"/>
      </top>
      <bottom/>
      <diagonal/>
    </border>
    <border>
      <left style="medium">
        <color theme="3"/>
      </left>
      <right style="medium">
        <color rgb="FF000000"/>
      </right>
      <top style="medium">
        <color rgb="FF000000"/>
      </top>
      <bottom/>
      <diagonal/>
    </border>
    <border>
      <left style="medium">
        <color theme="3"/>
      </left>
      <right style="medium">
        <color rgb="FF000000"/>
      </right>
      <top/>
      <bottom style="medium">
        <color rgb="FF000000"/>
      </bottom>
      <diagonal/>
    </border>
    <border>
      <left/>
      <right/>
      <top/>
      <bottom style="medium">
        <color theme="3"/>
      </bottom>
      <diagonal/>
    </border>
    <border>
      <left style="thin">
        <color rgb="FF000000"/>
      </left>
      <right style="thin">
        <color rgb="FF000000"/>
      </right>
      <top style="thin">
        <color indexed="64"/>
      </top>
      <bottom style="thin">
        <color indexed="64"/>
      </bottom>
      <diagonal/>
    </border>
  </borders>
  <cellStyleXfs count="35">
    <xf numFmtId="0" fontId="0" fillId="0" borderId="0"/>
    <xf numFmtId="0" fontId="16" fillId="2" borderId="1" applyNumberFormat="0" applyProtection="0">
      <alignment horizontal="left" vertical="center" readingOrder="1"/>
    </xf>
    <xf numFmtId="0" fontId="17" fillId="2" borderId="2">
      <alignment horizontal="left"/>
    </xf>
    <xf numFmtId="0" fontId="17" fillId="2" borderId="3">
      <alignment horizontal="right"/>
    </xf>
    <xf numFmtId="0" fontId="17" fillId="2" borderId="3">
      <alignment horizontal="left"/>
    </xf>
    <xf numFmtId="3" fontId="18" fillId="3" borderId="4">
      <alignment horizontal="right"/>
    </xf>
    <xf numFmtId="169" fontId="11" fillId="3" borderId="4">
      <alignment horizontal="right"/>
    </xf>
    <xf numFmtId="4" fontId="11" fillId="3" borderId="4">
      <alignment horizontal="right"/>
    </xf>
    <xf numFmtId="0" fontId="20" fillId="4" borderId="5" applyNumberFormat="0" applyAlignment="0" applyProtection="0"/>
    <xf numFmtId="0" fontId="18" fillId="3" borderId="6"/>
    <xf numFmtId="0" fontId="19" fillId="3" borderId="6"/>
    <xf numFmtId="0" fontId="10" fillId="0" borderId="0" applyNumberFormat="0" applyFill="0" applyBorder="0" applyAlignment="0" applyProtection="0">
      <alignment vertical="top"/>
      <protection locked="0"/>
    </xf>
    <xf numFmtId="164" fontId="22" fillId="0" borderId="0" applyFont="0" applyFill="0" applyBorder="0" applyAlignment="0" applyProtection="0"/>
    <xf numFmtId="164" fontId="12" fillId="0" borderId="0" applyFont="0" applyFill="0" applyBorder="0" applyAlignment="0" applyProtection="0"/>
    <xf numFmtId="0" fontId="24" fillId="0" borderId="0"/>
    <xf numFmtId="0" fontId="12" fillId="0" borderId="0"/>
    <xf numFmtId="9" fontId="8" fillId="0" borderId="0" applyFont="0" applyFill="0" applyBorder="0" applyAlignment="0" applyProtection="0"/>
    <xf numFmtId="9" fontId="22" fillId="0" borderId="0" applyFont="0" applyFill="0" applyBorder="0" applyAlignment="0" applyProtection="0"/>
    <xf numFmtId="9" fontId="12" fillId="0" borderId="0" applyFont="0" applyFill="0" applyBorder="0" applyAlignment="0" applyProtection="0"/>
    <xf numFmtId="9" fontId="24" fillId="0" borderId="0" applyFont="0" applyFill="0" applyBorder="0" applyAlignment="0" applyProtection="0"/>
    <xf numFmtId="0" fontId="7" fillId="0" borderId="0"/>
    <xf numFmtId="0" fontId="7"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6" fillId="0" borderId="0"/>
    <xf numFmtId="9" fontId="6" fillId="0" borderId="0" applyFont="0" applyFill="0" applyBorder="0" applyAlignment="0" applyProtection="0"/>
    <xf numFmtId="0" fontId="5" fillId="0" borderId="0"/>
    <xf numFmtId="0" fontId="4" fillId="0" borderId="0"/>
    <xf numFmtId="9" fontId="4" fillId="0" borderId="0" applyFont="0" applyFill="0" applyBorder="0" applyAlignment="0" applyProtection="0"/>
    <xf numFmtId="9" fontId="3" fillId="0" borderId="0" applyFont="0" applyFill="0" applyBorder="0" applyAlignment="0" applyProtection="0"/>
    <xf numFmtId="0" fontId="2" fillId="0" borderId="0"/>
    <xf numFmtId="0" fontId="87" fillId="0" borderId="0"/>
  </cellStyleXfs>
  <cellXfs count="1307">
    <xf numFmtId="0" fontId="0" fillId="0" borderId="0" xfId="0"/>
    <xf numFmtId="9" fontId="0" fillId="0" borderId="0" xfId="16" applyFont="1" applyAlignment="1">
      <alignment horizontal="center"/>
    </xf>
    <xf numFmtId="0" fontId="0" fillId="0" borderId="0" xfId="0" applyAlignment="1">
      <alignment horizontal="center"/>
    </xf>
    <xf numFmtId="166" fontId="0" fillId="0" borderId="0" xfId="0" applyNumberFormat="1"/>
    <xf numFmtId="10" fontId="0" fillId="0" borderId="0" xfId="0" applyNumberFormat="1" applyAlignment="1">
      <alignment horizontal="center"/>
    </xf>
    <xf numFmtId="167" fontId="0" fillId="0" borderId="0" xfId="0" applyNumberFormat="1" applyAlignment="1">
      <alignment horizontal="center"/>
    </xf>
    <xf numFmtId="0" fontId="13" fillId="0" borderId="0" xfId="0" applyFont="1" applyAlignment="1">
      <alignment horizontal="center"/>
    </xf>
    <xf numFmtId="0" fontId="26" fillId="0" borderId="0" xfId="0" applyFont="1"/>
    <xf numFmtId="0" fontId="15" fillId="0" borderId="19" xfId="0" applyFont="1" applyBorder="1"/>
    <xf numFmtId="0" fontId="13" fillId="0" borderId="22" xfId="0" applyFont="1" applyBorder="1" applyAlignment="1">
      <alignment horizontal="center"/>
    </xf>
    <xf numFmtId="0" fontId="23" fillId="0" borderId="0" xfId="0" applyFont="1"/>
    <xf numFmtId="0" fontId="8" fillId="0" borderId="0" xfId="0" applyFont="1"/>
    <xf numFmtId="0" fontId="8" fillId="0" borderId="19" xfId="0" applyFont="1" applyBorder="1"/>
    <xf numFmtId="0" fontId="8" fillId="0" borderId="19" xfId="0" applyFont="1" applyBorder="1" applyAlignment="1">
      <alignment horizontal="left"/>
    </xf>
    <xf numFmtId="0" fontId="13" fillId="0" borderId="0" xfId="0" applyFont="1"/>
    <xf numFmtId="166" fontId="13" fillId="0" borderId="0" xfId="0" applyNumberFormat="1" applyFont="1" applyAlignment="1">
      <alignment horizontal="center"/>
    </xf>
    <xf numFmtId="9" fontId="13" fillId="0" borderId="0" xfId="16" applyFont="1"/>
    <xf numFmtId="9" fontId="8" fillId="8" borderId="19" xfId="16" applyFont="1" applyFill="1" applyBorder="1" applyAlignment="1">
      <alignment horizontal="center"/>
    </xf>
    <xf numFmtId="10" fontId="8" fillId="8" borderId="19" xfId="0" applyNumberFormat="1" applyFont="1" applyFill="1" applyBorder="1" applyAlignment="1">
      <alignment horizontal="center"/>
    </xf>
    <xf numFmtId="0" fontId="8" fillId="8" borderId="26" xfId="0" applyFont="1" applyFill="1" applyBorder="1" applyAlignment="1">
      <alignment horizontal="center" vertical="center"/>
    </xf>
    <xf numFmtId="0" fontId="26" fillId="8" borderId="0" xfId="0" applyFont="1" applyFill="1"/>
    <xf numFmtId="0" fontId="33" fillId="0" borderId="0" xfId="0" applyFont="1"/>
    <xf numFmtId="0" fontId="26" fillId="8" borderId="0" xfId="0" applyFont="1" applyFill="1" applyAlignment="1">
      <alignment horizontal="center"/>
    </xf>
    <xf numFmtId="0" fontId="35" fillId="0" borderId="0" xfId="0" applyFont="1"/>
    <xf numFmtId="0" fontId="35" fillId="12" borderId="0" xfId="0" applyFont="1" applyFill="1"/>
    <xf numFmtId="3" fontId="35" fillId="0" borderId="0" xfId="0" applyNumberFormat="1" applyFont="1" applyAlignment="1">
      <alignment horizontal="center"/>
    </xf>
    <xf numFmtId="0" fontId="35" fillId="0" borderId="0" xfId="0" applyFont="1" applyAlignment="1">
      <alignment horizontal="left"/>
    </xf>
    <xf numFmtId="0" fontId="35" fillId="19" borderId="0" xfId="0" applyFont="1" applyFill="1"/>
    <xf numFmtId="3" fontId="35" fillId="19" borderId="0" xfId="0" applyNumberFormat="1" applyFont="1" applyFill="1" applyAlignment="1">
      <alignment horizontal="center"/>
    </xf>
    <xf numFmtId="0" fontId="0" fillId="12" borderId="0" xfId="0" applyFill="1"/>
    <xf numFmtId="3" fontId="35" fillId="0" borderId="0" xfId="0" applyNumberFormat="1" applyFont="1"/>
    <xf numFmtId="3" fontId="36" fillId="19" borderId="0" xfId="0" applyNumberFormat="1" applyFont="1" applyFill="1" applyAlignment="1">
      <alignment horizontal="center"/>
    </xf>
    <xf numFmtId="3" fontId="35" fillId="12" borderId="0" xfId="0" applyNumberFormat="1" applyFont="1" applyFill="1" applyAlignment="1">
      <alignment horizontal="center"/>
    </xf>
    <xf numFmtId="3" fontId="36" fillId="12" borderId="0" xfId="0" applyNumberFormat="1" applyFont="1" applyFill="1" applyAlignment="1">
      <alignment horizontal="center"/>
    </xf>
    <xf numFmtId="0" fontId="19" fillId="3" borderId="6" xfId="10"/>
    <xf numFmtId="0" fontId="0" fillId="20" borderId="0" xfId="0" applyFill="1"/>
    <xf numFmtId="3" fontId="23" fillId="0" borderId="0" xfId="0" applyNumberFormat="1" applyFont="1" applyAlignment="1">
      <alignment horizontal="center"/>
    </xf>
    <xf numFmtId="3" fontId="23" fillId="0" borderId="0" xfId="0" applyNumberFormat="1" applyFont="1"/>
    <xf numFmtId="0" fontId="0" fillId="21" borderId="0" xfId="0" applyFill="1"/>
    <xf numFmtId="3" fontId="23" fillId="19" borderId="0" xfId="0" applyNumberFormat="1" applyFont="1" applyFill="1" applyAlignment="1">
      <alignment horizontal="center"/>
    </xf>
    <xf numFmtId="0" fontId="23" fillId="19" borderId="0" xfId="0" applyFont="1" applyFill="1"/>
    <xf numFmtId="0" fontId="0" fillId="22" borderId="0" xfId="0" applyFill="1"/>
    <xf numFmtId="169" fontId="35" fillId="0" borderId="0" xfId="0" applyNumberFormat="1" applyFont="1" applyAlignment="1">
      <alignment horizontal="center"/>
    </xf>
    <xf numFmtId="9" fontId="0" fillId="8" borderId="19" xfId="16" applyFont="1" applyFill="1" applyBorder="1" applyAlignment="1">
      <alignment horizontal="center"/>
    </xf>
    <xf numFmtId="0" fontId="38" fillId="0" borderId="0" xfId="0" applyFont="1"/>
    <xf numFmtId="0" fontId="39" fillId="0" borderId="0" xfId="0" applyFont="1"/>
    <xf numFmtId="0" fontId="40" fillId="0" borderId="0" xfId="0" applyFont="1" applyAlignment="1">
      <alignment horizontal="center"/>
    </xf>
    <xf numFmtId="168" fontId="39" fillId="0" borderId="0" xfId="0" applyNumberFormat="1" applyFont="1" applyAlignment="1">
      <alignment horizontal="center"/>
    </xf>
    <xf numFmtId="0" fontId="41" fillId="0" borderId="0" xfId="0" applyFont="1"/>
    <xf numFmtId="0" fontId="42" fillId="0" borderId="0" xfId="0" applyFont="1"/>
    <xf numFmtId="0" fontId="0" fillId="0" borderId="12" xfId="0" applyBorder="1"/>
    <xf numFmtId="0" fontId="23" fillId="0" borderId="0" xfId="0" applyFont="1" applyAlignment="1">
      <alignment horizontal="center"/>
    </xf>
    <xf numFmtId="0" fontId="39" fillId="0" borderId="0" xfId="0" applyFont="1" applyAlignment="1">
      <alignment horizontal="center"/>
    </xf>
    <xf numFmtId="166" fontId="8" fillId="24" borderId="19" xfId="0" applyNumberFormat="1" applyFont="1" applyFill="1" applyBorder="1" applyAlignment="1">
      <alignment horizontal="center"/>
    </xf>
    <xf numFmtId="3" fontId="38" fillId="0" borderId="0" xfId="0" applyNumberFormat="1" applyFont="1"/>
    <xf numFmtId="0" fontId="40" fillId="17" borderId="0" xfId="0" applyFont="1" applyFill="1" applyAlignment="1">
      <alignment horizontal="center"/>
    </xf>
    <xf numFmtId="3" fontId="0" fillId="25" borderId="1" xfId="0" applyNumberFormat="1" applyFill="1" applyBorder="1" applyAlignment="1">
      <alignment horizontal="center"/>
    </xf>
    <xf numFmtId="3" fontId="0" fillId="25" borderId="45" xfId="0" applyNumberFormat="1" applyFill="1" applyBorder="1" applyAlignment="1">
      <alignment horizontal="center"/>
    </xf>
    <xf numFmtId="167" fontId="13" fillId="26" borderId="1" xfId="16" applyNumberFormat="1" applyFont="1" applyFill="1" applyBorder="1" applyAlignment="1">
      <alignment horizontal="center"/>
    </xf>
    <xf numFmtId="167" fontId="13" fillId="26" borderId="45" xfId="16" applyNumberFormat="1" applyFont="1" applyFill="1" applyBorder="1" applyAlignment="1">
      <alignment horizontal="center"/>
    </xf>
    <xf numFmtId="3" fontId="0" fillId="25" borderId="1" xfId="16" applyNumberFormat="1" applyFont="1" applyFill="1" applyBorder="1" applyAlignment="1">
      <alignment horizontal="center"/>
    </xf>
    <xf numFmtId="3" fontId="0" fillId="25" borderId="45" xfId="16" applyNumberFormat="1" applyFont="1" applyFill="1" applyBorder="1" applyAlignment="1">
      <alignment horizontal="center"/>
    </xf>
    <xf numFmtId="3" fontId="13" fillId="27" borderId="1" xfId="16" applyNumberFormat="1" applyFont="1" applyFill="1" applyBorder="1" applyAlignment="1">
      <alignment horizontal="center"/>
    </xf>
    <xf numFmtId="3" fontId="0" fillId="0" borderId="0" xfId="0" applyNumberFormat="1" applyAlignment="1">
      <alignment horizontal="center"/>
    </xf>
    <xf numFmtId="168" fontId="0" fillId="0" borderId="0" xfId="0" applyNumberFormat="1" applyAlignment="1">
      <alignment horizontal="center"/>
    </xf>
    <xf numFmtId="0" fontId="35" fillId="19" borderId="0" xfId="0" applyFont="1" applyFill="1" applyAlignment="1">
      <alignment horizontal="center"/>
    </xf>
    <xf numFmtId="167" fontId="35" fillId="19" borderId="0" xfId="0" applyNumberFormat="1" applyFont="1" applyFill="1" applyAlignment="1">
      <alignment horizontal="center"/>
    </xf>
    <xf numFmtId="9" fontId="35" fillId="0" borderId="0" xfId="16" applyFont="1" applyFill="1" applyAlignment="1">
      <alignment horizontal="center"/>
    </xf>
    <xf numFmtId="167" fontId="35" fillId="0" borderId="0" xfId="16" applyNumberFormat="1" applyFont="1" applyFill="1" applyAlignment="1">
      <alignment horizontal="center"/>
    </xf>
    <xf numFmtId="9" fontId="35" fillId="0" borderId="0" xfId="22" applyFont="1" applyFill="1" applyAlignment="1">
      <alignment horizontal="center"/>
    </xf>
    <xf numFmtId="171" fontId="8" fillId="24" borderId="19" xfId="0" applyNumberFormat="1" applyFont="1" applyFill="1" applyBorder="1" applyAlignment="1">
      <alignment horizontal="center"/>
    </xf>
    <xf numFmtId="167" fontId="33" fillId="24" borderId="19" xfId="16" applyNumberFormat="1" applyFont="1" applyFill="1" applyBorder="1" applyAlignment="1">
      <alignment horizontal="center"/>
    </xf>
    <xf numFmtId="0" fontId="13" fillId="0" borderId="37" xfId="0" applyFont="1" applyBorder="1"/>
    <xf numFmtId="0" fontId="17" fillId="5" borderId="8" xfId="4" applyFill="1" applyBorder="1" applyAlignment="1"/>
    <xf numFmtId="0" fontId="8" fillId="0" borderId="0" xfId="26"/>
    <xf numFmtId="0" fontId="27" fillId="5" borderId="7" xfId="26" applyFont="1" applyFill="1" applyBorder="1" applyAlignment="1">
      <alignment horizontal="center"/>
    </xf>
    <xf numFmtId="0" fontId="27" fillId="5" borderId="11" xfId="26" applyFont="1" applyFill="1" applyBorder="1" applyAlignment="1">
      <alignment horizontal="center"/>
    </xf>
    <xf numFmtId="0" fontId="29" fillId="3" borderId="10" xfId="10" applyFont="1" applyBorder="1"/>
    <xf numFmtId="0" fontId="8" fillId="0" borderId="0" xfId="26" applyAlignment="1">
      <alignment vertical="center"/>
    </xf>
    <xf numFmtId="0" fontId="29" fillId="3" borderId="13" xfId="10" applyFont="1" applyBorder="1"/>
    <xf numFmtId="0" fontId="29" fillId="0" borderId="10" xfId="10" applyFont="1" applyFill="1" applyBorder="1"/>
    <xf numFmtId="0" fontId="20" fillId="0" borderId="0" xfId="8" applyFill="1" applyBorder="1"/>
    <xf numFmtId="9" fontId="8" fillId="0" borderId="0" xfId="28" applyFont="1"/>
    <xf numFmtId="0" fontId="30" fillId="0" borderId="0" xfId="11" applyFont="1" applyAlignment="1" applyProtection="1"/>
    <xf numFmtId="0" fontId="27" fillId="29" borderId="0" xfId="26" applyFont="1" applyFill="1" applyAlignment="1">
      <alignment horizontal="center" vertical="center"/>
    </xf>
    <xf numFmtId="0" fontId="28" fillId="0" borderId="9" xfId="9" applyFont="1" applyFill="1" applyBorder="1"/>
    <xf numFmtId="0" fontId="19" fillId="3" borderId="13" xfId="10" applyBorder="1"/>
    <xf numFmtId="0" fontId="19" fillId="3" borderId="10" xfId="10" applyBorder="1"/>
    <xf numFmtId="0" fontId="26" fillId="0" borderId="0" xfId="26" applyFont="1"/>
    <xf numFmtId="0" fontId="13" fillId="0" borderId="32" xfId="0" applyFont="1" applyBorder="1"/>
    <xf numFmtId="0" fontId="13" fillId="0" borderId="38" xfId="0" applyFont="1" applyBorder="1"/>
    <xf numFmtId="0" fontId="0" fillId="0" borderId="4" xfId="0" applyBorder="1"/>
    <xf numFmtId="0" fontId="0" fillId="0" borderId="6" xfId="0" applyBorder="1"/>
    <xf numFmtId="0" fontId="0" fillId="0" borderId="36" xfId="0" applyBorder="1"/>
    <xf numFmtId="0" fontId="0" fillId="0" borderId="2" xfId="0" applyBorder="1"/>
    <xf numFmtId="0" fontId="0" fillId="0" borderId="37" xfId="0" applyBorder="1"/>
    <xf numFmtId="0" fontId="0" fillId="0" borderId="32" xfId="0" applyBorder="1"/>
    <xf numFmtId="0" fontId="0" fillId="0" borderId="38" xfId="0" applyBorder="1"/>
    <xf numFmtId="0" fontId="13" fillId="0" borderId="44" xfId="0" applyFont="1" applyBorder="1"/>
    <xf numFmtId="0" fontId="13" fillId="0" borderId="1" xfId="0" applyFont="1" applyBorder="1"/>
    <xf numFmtId="0" fontId="13" fillId="0" borderId="45" xfId="0" applyFont="1" applyBorder="1"/>
    <xf numFmtId="0" fontId="0" fillId="8" borderId="0" xfId="0" applyFill="1"/>
    <xf numFmtId="0" fontId="35" fillId="19" borderId="0" xfId="0" applyFont="1" applyFill="1" applyAlignment="1">
      <alignment horizontal="left" indent="1"/>
    </xf>
    <xf numFmtId="169" fontId="35" fillId="19" borderId="0" xfId="0" applyNumberFormat="1" applyFont="1" applyFill="1" applyAlignment="1">
      <alignment horizontal="left" indent="1"/>
    </xf>
    <xf numFmtId="0" fontId="35" fillId="30" borderId="0" xfId="0" applyFont="1" applyFill="1" applyAlignment="1">
      <alignment horizontal="left" indent="1"/>
    </xf>
    <xf numFmtId="0" fontId="23" fillId="0" borderId="0" xfId="0" applyFont="1" applyAlignment="1">
      <alignment horizontal="left"/>
    </xf>
    <xf numFmtId="0" fontId="27" fillId="32" borderId="28" xfId="0" applyFont="1" applyFill="1" applyBorder="1" applyAlignment="1">
      <alignment horizontal="center"/>
    </xf>
    <xf numFmtId="0" fontId="27" fillId="32" borderId="25" xfId="0" applyFont="1" applyFill="1" applyBorder="1" applyAlignment="1">
      <alignment horizontal="center"/>
    </xf>
    <xf numFmtId="9" fontId="33" fillId="8" borderId="52" xfId="16" applyFont="1" applyFill="1" applyBorder="1" applyAlignment="1">
      <alignment horizontal="center"/>
    </xf>
    <xf numFmtId="9" fontId="8" fillId="8" borderId="52" xfId="16" applyFont="1" applyFill="1" applyBorder="1" applyAlignment="1">
      <alignment horizontal="center"/>
    </xf>
    <xf numFmtId="0" fontId="13" fillId="0" borderId="52" xfId="0" applyFont="1" applyBorder="1" applyAlignment="1">
      <alignment horizontal="center"/>
    </xf>
    <xf numFmtId="167" fontId="33" fillId="24" borderId="52" xfId="16" applyNumberFormat="1" applyFont="1" applyFill="1" applyBorder="1" applyAlignment="1">
      <alignment horizontal="center"/>
    </xf>
    <xf numFmtId="0" fontId="27" fillId="32" borderId="19" xfId="0" applyFont="1" applyFill="1" applyBorder="1" applyAlignment="1">
      <alignment horizontal="center"/>
    </xf>
    <xf numFmtId="0" fontId="27" fillId="32" borderId="23" xfId="0" applyFont="1" applyFill="1" applyBorder="1" applyAlignment="1">
      <alignment horizontal="center" vertical="center" wrapText="1"/>
    </xf>
    <xf numFmtId="0" fontId="8" fillId="8" borderId="19" xfId="0" applyFont="1" applyFill="1" applyBorder="1" applyAlignment="1">
      <alignment vertical="center" wrapText="1"/>
    </xf>
    <xf numFmtId="0" fontId="27" fillId="32" borderId="52" xfId="0" applyFont="1" applyFill="1" applyBorder="1" applyAlignment="1">
      <alignment horizontal="center"/>
    </xf>
    <xf numFmtId="3" fontId="8" fillId="0" borderId="0" xfId="0" applyNumberFormat="1" applyFont="1"/>
    <xf numFmtId="0" fontId="8" fillId="17" borderId="44" xfId="0" applyFont="1" applyFill="1" applyBorder="1"/>
    <xf numFmtId="0" fontId="8" fillId="0" borderId="44" xfId="0" applyFont="1" applyBorder="1" applyAlignment="1">
      <alignment horizontal="left" indent="1"/>
    </xf>
    <xf numFmtId="0" fontId="8" fillId="0" borderId="44" xfId="0" applyFont="1" applyBorder="1" applyAlignment="1">
      <alignment horizontal="left"/>
    </xf>
    <xf numFmtId="0" fontId="8" fillId="17" borderId="44" xfId="0" applyFont="1" applyFill="1" applyBorder="1" applyAlignment="1">
      <alignment horizontal="left" indent="1"/>
    </xf>
    <xf numFmtId="0" fontId="13" fillId="0" borderId="44" xfId="0" applyFont="1" applyBorder="1" applyAlignment="1">
      <alignment horizontal="left"/>
    </xf>
    <xf numFmtId="0" fontId="13" fillId="17" borderId="44" xfId="0" applyFont="1" applyFill="1" applyBorder="1"/>
    <xf numFmtId="0" fontId="8" fillId="0" borderId="44" xfId="0" applyFont="1" applyBorder="1"/>
    <xf numFmtId="172" fontId="8" fillId="24" borderId="19" xfId="0" applyNumberFormat="1" applyFont="1" applyFill="1" applyBorder="1" applyAlignment="1">
      <alignment horizontal="center"/>
    </xf>
    <xf numFmtId="9" fontId="8" fillId="24" borderId="19" xfId="16" applyFont="1" applyFill="1" applyBorder="1" applyAlignment="1">
      <alignment horizontal="center"/>
    </xf>
    <xf numFmtId="171" fontId="8" fillId="0" borderId="19" xfId="0" applyNumberFormat="1" applyFont="1" applyBorder="1" applyAlignment="1">
      <alignment horizontal="center"/>
    </xf>
    <xf numFmtId="166" fontId="8" fillId="7" borderId="19" xfId="0" applyNumberFormat="1" applyFont="1" applyFill="1" applyBorder="1" applyAlignment="1">
      <alignment horizontal="center"/>
    </xf>
    <xf numFmtId="4" fontId="8" fillId="7" borderId="19" xfId="0" applyNumberFormat="1" applyFont="1" applyFill="1" applyBorder="1" applyAlignment="1">
      <alignment horizontal="center"/>
    </xf>
    <xf numFmtId="9" fontId="33" fillId="7" borderId="52" xfId="16" applyFont="1" applyFill="1" applyBorder="1" applyAlignment="1">
      <alignment horizontal="center"/>
    </xf>
    <xf numFmtId="0" fontId="8" fillId="7" borderId="19" xfId="0" applyFont="1" applyFill="1" applyBorder="1"/>
    <xf numFmtId="9" fontId="8" fillId="7" borderId="19" xfId="16" applyFont="1" applyFill="1" applyBorder="1" applyAlignment="1">
      <alignment horizontal="center"/>
    </xf>
    <xf numFmtId="167" fontId="8" fillId="7" borderId="19" xfId="16" applyNumberFormat="1" applyFont="1" applyFill="1" applyBorder="1" applyAlignment="1">
      <alignment horizontal="center"/>
    </xf>
    <xf numFmtId="9" fontId="8" fillId="7" borderId="19" xfId="16" applyFont="1" applyFill="1" applyBorder="1"/>
    <xf numFmtId="172" fontId="33" fillId="8" borderId="52" xfId="16" applyNumberFormat="1" applyFont="1" applyFill="1" applyBorder="1" applyAlignment="1">
      <alignment horizontal="center"/>
    </xf>
    <xf numFmtId="172" fontId="8" fillId="8" borderId="52" xfId="0" applyNumberFormat="1" applyFont="1" applyFill="1" applyBorder="1" applyAlignment="1">
      <alignment horizontal="center"/>
    </xf>
    <xf numFmtId="0" fontId="48" fillId="32" borderId="52" xfId="0" applyFont="1" applyFill="1" applyBorder="1" applyAlignment="1">
      <alignment horizontal="center"/>
    </xf>
    <xf numFmtId="0" fontId="49" fillId="32" borderId="52" xfId="0" applyFont="1" applyFill="1" applyBorder="1" applyAlignment="1">
      <alignment horizontal="center"/>
    </xf>
    <xf numFmtId="166" fontId="13" fillId="24" borderId="19" xfId="0" applyNumberFormat="1" applyFont="1" applyFill="1" applyBorder="1" applyAlignment="1">
      <alignment horizontal="center"/>
    </xf>
    <xf numFmtId="0" fontId="13" fillId="14" borderId="12" xfId="0" applyFont="1" applyFill="1" applyBorder="1" applyAlignment="1">
      <alignment horizontal="center"/>
    </xf>
    <xf numFmtId="0" fontId="0" fillId="0" borderId="50" xfId="0" applyBorder="1"/>
    <xf numFmtId="0" fontId="0" fillId="0" borderId="71" xfId="0" applyBorder="1"/>
    <xf numFmtId="0" fontId="13" fillId="0" borderId="85" xfId="0" applyFont="1" applyBorder="1" applyAlignment="1">
      <alignment horizontal="left"/>
    </xf>
    <xf numFmtId="0" fontId="13" fillId="0" borderId="86" xfId="0" applyFont="1" applyBorder="1" applyAlignment="1">
      <alignment horizontal="left"/>
    </xf>
    <xf numFmtId="9" fontId="0" fillId="0" borderId="86" xfId="16" applyFont="1" applyBorder="1"/>
    <xf numFmtId="9" fontId="0" fillId="0" borderId="87" xfId="16" applyFont="1" applyBorder="1"/>
    <xf numFmtId="9" fontId="0" fillId="0" borderId="67" xfId="0" applyNumberFormat="1" applyBorder="1"/>
    <xf numFmtId="166" fontId="0" fillId="0" borderId="81" xfId="0" applyNumberFormat="1" applyBorder="1" applyAlignment="1">
      <alignment horizontal="center"/>
    </xf>
    <xf numFmtId="166" fontId="0" fillId="0" borderId="84" xfId="0" applyNumberFormat="1" applyBorder="1" applyAlignment="1">
      <alignment horizontal="center"/>
    </xf>
    <xf numFmtId="0" fontId="0" fillId="33" borderId="88" xfId="0" applyFill="1" applyBorder="1"/>
    <xf numFmtId="10" fontId="0" fillId="33" borderId="88" xfId="0" applyNumberFormat="1" applyFill="1" applyBorder="1"/>
    <xf numFmtId="0" fontId="13" fillId="8" borderId="39" xfId="0" applyFont="1" applyFill="1" applyBorder="1" applyAlignment="1">
      <alignment horizontal="center"/>
    </xf>
    <xf numFmtId="9" fontId="0" fillId="0" borderId="90" xfId="16" applyFont="1" applyBorder="1"/>
    <xf numFmtId="0" fontId="13" fillId="0" borderId="90" xfId="0" applyFont="1" applyBorder="1"/>
    <xf numFmtId="0" fontId="13" fillId="14" borderId="66" xfId="0" applyFont="1" applyFill="1" applyBorder="1" applyAlignment="1">
      <alignment horizontal="center"/>
    </xf>
    <xf numFmtId="9" fontId="13" fillId="14" borderId="66" xfId="16" applyFont="1" applyFill="1" applyBorder="1" applyAlignment="1">
      <alignment horizontal="center"/>
    </xf>
    <xf numFmtId="0" fontId="13" fillId="0" borderId="66" xfId="0" applyFont="1" applyBorder="1" applyAlignment="1">
      <alignment horizontal="center"/>
    </xf>
    <xf numFmtId="166" fontId="0" fillId="0" borderId="91" xfId="0" applyNumberFormat="1" applyBorder="1" applyAlignment="1">
      <alignment horizontal="center"/>
    </xf>
    <xf numFmtId="0" fontId="13" fillId="0" borderId="92" xfId="0" applyFont="1" applyBorder="1"/>
    <xf numFmtId="0" fontId="0" fillId="0" borderId="68" xfId="0" applyBorder="1"/>
    <xf numFmtId="0" fontId="0" fillId="0" borderId="69" xfId="0" applyBorder="1"/>
    <xf numFmtId="0" fontId="0" fillId="0" borderId="70" xfId="0" applyBorder="1"/>
    <xf numFmtId="0" fontId="0" fillId="0" borderId="51" xfId="0" applyBorder="1"/>
    <xf numFmtId="0" fontId="0" fillId="0" borderId="76" xfId="0" applyBorder="1"/>
    <xf numFmtId="0" fontId="0" fillId="0" borderId="77" xfId="0" applyBorder="1"/>
    <xf numFmtId="9" fontId="0" fillId="0" borderId="0" xfId="0" applyNumberFormat="1"/>
    <xf numFmtId="0" fontId="13" fillId="14" borderId="89" xfId="0" applyFont="1" applyFill="1" applyBorder="1" applyAlignment="1">
      <alignment horizontal="center"/>
    </xf>
    <xf numFmtId="0" fontId="0" fillId="33" borderId="73" xfId="0" applyFill="1" applyBorder="1"/>
    <xf numFmtId="0" fontId="0" fillId="33" borderId="75" xfId="0" applyFill="1" applyBorder="1"/>
    <xf numFmtId="172" fontId="0" fillId="0" borderId="95" xfId="0" applyNumberFormat="1" applyBorder="1" applyAlignment="1">
      <alignment horizontal="center"/>
    </xf>
    <xf numFmtId="172" fontId="0" fillId="0" borderId="97" xfId="0" applyNumberFormat="1" applyBorder="1" applyAlignment="1">
      <alignment horizontal="center"/>
    </xf>
    <xf numFmtId="0" fontId="0" fillId="31" borderId="74" xfId="0" applyFill="1" applyBorder="1"/>
    <xf numFmtId="0" fontId="27" fillId="31" borderId="74" xfId="0" applyFont="1" applyFill="1" applyBorder="1" applyAlignment="1">
      <alignment horizontal="left"/>
    </xf>
    <xf numFmtId="170" fontId="27" fillId="31" borderId="75" xfId="0" applyNumberFormat="1" applyFont="1" applyFill="1" applyBorder="1" applyAlignment="1">
      <alignment horizontal="center" vertical="center"/>
    </xf>
    <xf numFmtId="0" fontId="13" fillId="17" borderId="100" xfId="0" applyFont="1" applyFill="1" applyBorder="1"/>
    <xf numFmtId="0" fontId="13" fillId="17" borderId="102" xfId="0" applyFont="1" applyFill="1" applyBorder="1"/>
    <xf numFmtId="172" fontId="0" fillId="0" borderId="103" xfId="0" applyNumberFormat="1" applyBorder="1" applyAlignment="1">
      <alignment horizontal="center"/>
    </xf>
    <xf numFmtId="0" fontId="27" fillId="32" borderId="105" xfId="0" applyFont="1" applyFill="1" applyBorder="1" applyAlignment="1">
      <alignment horizontal="center"/>
    </xf>
    <xf numFmtId="0" fontId="0" fillId="32" borderId="106" xfId="0" applyFill="1" applyBorder="1"/>
    <xf numFmtId="0" fontId="27" fillId="32" borderId="100" xfId="0" applyFont="1" applyFill="1" applyBorder="1" applyAlignment="1">
      <alignment horizontal="center"/>
    </xf>
    <xf numFmtId="0" fontId="0" fillId="32" borderId="97" xfId="0" applyFill="1" applyBorder="1"/>
    <xf numFmtId="0" fontId="13" fillId="0" borderId="98" xfId="0" applyFont="1" applyBorder="1" applyAlignment="1">
      <alignment horizontal="left" vertical="center"/>
    </xf>
    <xf numFmtId="0" fontId="47" fillId="5" borderId="73" xfId="0" applyFont="1" applyFill="1" applyBorder="1" applyAlignment="1">
      <alignment horizontal="left" vertical="center"/>
    </xf>
    <xf numFmtId="0" fontId="47" fillId="31" borderId="73" xfId="0" applyFont="1" applyFill="1" applyBorder="1" applyAlignment="1">
      <alignment horizontal="left" vertical="center"/>
    </xf>
    <xf numFmtId="0" fontId="47" fillId="13" borderId="75" xfId="0" applyFont="1" applyFill="1" applyBorder="1" applyAlignment="1">
      <alignment horizontal="center"/>
    </xf>
    <xf numFmtId="0" fontId="13" fillId="8" borderId="98" xfId="0" applyFont="1" applyFill="1" applyBorder="1" applyAlignment="1">
      <alignment horizontal="left" vertical="center"/>
    </xf>
    <xf numFmtId="0" fontId="13" fillId="8" borderId="100" xfId="0" applyFont="1" applyFill="1" applyBorder="1" applyAlignment="1">
      <alignment horizontal="left" vertical="center"/>
    </xf>
    <xf numFmtId="0" fontId="0" fillId="31" borderId="74" xfId="0" applyFill="1" applyBorder="1" applyAlignment="1">
      <alignment horizontal="center"/>
    </xf>
    <xf numFmtId="0" fontId="8" fillId="0" borderId="68" xfId="0" applyFont="1" applyBorder="1"/>
    <xf numFmtId="0" fontId="50" fillId="5" borderId="65" xfId="0" applyFont="1" applyFill="1" applyBorder="1" applyAlignment="1">
      <alignment horizontal="center"/>
    </xf>
    <xf numFmtId="0" fontId="50" fillId="5" borderId="65" xfId="0" applyFont="1" applyFill="1" applyBorder="1"/>
    <xf numFmtId="0" fontId="0" fillId="0" borderId="65" xfId="0" applyBorder="1"/>
    <xf numFmtId="172" fontId="0" fillId="24" borderId="97" xfId="0" applyNumberFormat="1" applyFill="1" applyBorder="1" applyAlignment="1">
      <alignment horizontal="center"/>
    </xf>
    <xf numFmtId="172" fontId="0" fillId="24" borderId="103" xfId="0" applyNumberFormat="1" applyFill="1" applyBorder="1" applyAlignment="1">
      <alignment horizontal="center"/>
    </xf>
    <xf numFmtId="0" fontId="29" fillId="0" borderId="10" xfId="26" applyFont="1" applyBorder="1" applyAlignment="1">
      <alignment horizontal="center"/>
    </xf>
    <xf numFmtId="0" fontId="29" fillId="0" borderId="16" xfId="26" applyFont="1" applyBorder="1" applyAlignment="1">
      <alignment horizontal="center"/>
    </xf>
    <xf numFmtId="0" fontId="29" fillId="0" borderId="10" xfId="26" applyFont="1" applyBorder="1" applyAlignment="1">
      <alignment horizontal="center" vertical="center"/>
    </xf>
    <xf numFmtId="0" fontId="29" fillId="0" borderId="16" xfId="26" applyFont="1" applyBorder="1" applyAlignment="1">
      <alignment horizontal="center" vertical="center"/>
    </xf>
    <xf numFmtId="0" fontId="29" fillId="0" borderId="14" xfId="26" applyFont="1" applyBorder="1" applyAlignment="1">
      <alignment horizontal="center"/>
    </xf>
    <xf numFmtId="0" fontId="29" fillId="0" borderId="17" xfId="26" applyFont="1" applyBorder="1" applyAlignment="1">
      <alignment horizontal="center"/>
    </xf>
    <xf numFmtId="0" fontId="51" fillId="5" borderId="109" xfId="4" applyFont="1" applyFill="1" applyBorder="1" applyAlignment="1">
      <alignment horizontal="center" vertical="center"/>
    </xf>
    <xf numFmtId="0" fontId="51" fillId="5" borderId="109" xfId="3" applyFont="1" applyFill="1" applyBorder="1" applyAlignment="1">
      <alignment horizontal="center" vertical="center" wrapText="1"/>
    </xf>
    <xf numFmtId="0" fontId="51" fillId="5" borderId="109" xfId="3" applyFont="1" applyFill="1" applyBorder="1" applyAlignment="1">
      <alignment horizontal="center" vertical="center"/>
    </xf>
    <xf numFmtId="0" fontId="8" fillId="3" borderId="109" xfId="10" applyFont="1" applyBorder="1" applyAlignment="1">
      <alignment horizontal="center" vertical="center"/>
    </xf>
    <xf numFmtId="169" fontId="8" fillId="8" borderId="109" xfId="6" applyFont="1" applyFill="1" applyBorder="1" applyAlignment="1">
      <alignment horizontal="right" vertical="center" wrapText="1"/>
    </xf>
    <xf numFmtId="0" fontId="29" fillId="3" borderId="109" xfId="10" applyFont="1" applyBorder="1" applyAlignment="1">
      <alignment vertical="center"/>
    </xf>
    <xf numFmtId="169" fontId="8" fillId="3" borderId="109" xfId="6" applyFont="1" applyBorder="1" applyAlignment="1">
      <alignment horizontal="right" vertical="center" wrapText="1"/>
    </xf>
    <xf numFmtId="0" fontId="29" fillId="3" borderId="109" xfId="10" applyFont="1" applyBorder="1" applyAlignment="1">
      <alignment horizontal="center" vertical="center"/>
    </xf>
    <xf numFmtId="3" fontId="13" fillId="34" borderId="111" xfId="5" applyFont="1" applyFill="1" applyBorder="1" applyAlignment="1">
      <alignment horizontal="center" vertical="center"/>
    </xf>
    <xf numFmtId="0" fontId="13" fillId="0" borderId="0" xfId="26" applyFont="1" applyAlignment="1">
      <alignment vertical="center"/>
    </xf>
    <xf numFmtId="0" fontId="8" fillId="12" borderId="0" xfId="26" applyFill="1" applyAlignment="1">
      <alignment vertical="center"/>
    </xf>
    <xf numFmtId="0" fontId="28" fillId="0" borderId="109" xfId="9" applyFont="1" applyFill="1" applyBorder="1" applyAlignment="1">
      <alignment horizontal="center" vertical="center"/>
    </xf>
    <xf numFmtId="3" fontId="52" fillId="34" borderId="110" xfId="5" applyFont="1" applyFill="1" applyBorder="1" applyAlignment="1">
      <alignment horizontal="right" vertical="center"/>
    </xf>
    <xf numFmtId="3" fontId="52" fillId="34" borderId="111" xfId="5" applyFont="1" applyFill="1" applyBorder="1" applyAlignment="1">
      <alignment horizontal="right" vertical="center"/>
    </xf>
    <xf numFmtId="3" fontId="52" fillId="34" borderId="112" xfId="5" applyFont="1" applyFill="1" applyBorder="1" applyAlignment="1">
      <alignment horizontal="right" vertical="center"/>
    </xf>
    <xf numFmtId="169" fontId="8" fillId="3" borderId="109" xfId="6" applyFont="1" applyBorder="1" applyAlignment="1">
      <alignment horizontal="center" vertical="center"/>
    </xf>
    <xf numFmtId="4" fontId="32" fillId="0" borderId="109" xfId="7" applyFont="1" applyFill="1" applyBorder="1" applyAlignment="1">
      <alignment horizontal="right" vertical="center"/>
    </xf>
    <xf numFmtId="0" fontId="0" fillId="34" borderId="111" xfId="0" applyFill="1" applyBorder="1" applyAlignment="1">
      <alignment horizontal="center" vertical="center"/>
    </xf>
    <xf numFmtId="4" fontId="8" fillId="34" borderId="111" xfId="7" applyFont="1" applyFill="1" applyBorder="1" applyAlignment="1">
      <alignment horizontal="right" vertical="center"/>
    </xf>
    <xf numFmtId="3" fontId="13" fillId="34" borderId="112" xfId="5" applyFont="1" applyFill="1" applyBorder="1" applyAlignment="1">
      <alignment horizontal="right" vertical="center" wrapText="1"/>
    </xf>
    <xf numFmtId="4" fontId="8" fillId="8" borderId="109" xfId="7" applyFont="1" applyFill="1" applyBorder="1" applyAlignment="1">
      <alignment horizontal="right" vertical="center" wrapText="1"/>
    </xf>
    <xf numFmtId="4" fontId="8" fillId="3" borderId="109" xfId="7" applyFont="1" applyBorder="1" applyAlignment="1">
      <alignment horizontal="center" vertical="center"/>
    </xf>
    <xf numFmtId="4" fontId="8" fillId="3" borderId="109" xfId="7" applyFont="1" applyBorder="1" applyAlignment="1">
      <alignment horizontal="right" vertical="center" wrapText="1"/>
    </xf>
    <xf numFmtId="0" fontId="29" fillId="0" borderId="109" xfId="10" applyFont="1" applyFill="1" applyBorder="1" applyAlignment="1">
      <alignment vertical="center"/>
    </xf>
    <xf numFmtId="0" fontId="8" fillId="0" borderId="109" xfId="27" applyFont="1" applyBorder="1" applyAlignment="1">
      <alignment horizontal="right" vertical="center" wrapText="1"/>
    </xf>
    <xf numFmtId="3" fontId="13" fillId="34" borderId="110" xfId="5" applyFont="1" applyFill="1" applyBorder="1" applyAlignment="1">
      <alignment horizontal="right" vertical="center"/>
    </xf>
    <xf numFmtId="4" fontId="8" fillId="6" borderId="109" xfId="7" applyFont="1" applyFill="1" applyBorder="1" applyAlignment="1">
      <alignment horizontal="right" vertical="center"/>
    </xf>
    <xf numFmtId="4" fontId="8" fillId="6" borderId="109" xfId="7" applyFont="1" applyFill="1" applyBorder="1" applyAlignment="1">
      <alignment horizontal="center" vertical="center"/>
    </xf>
    <xf numFmtId="0" fontId="29" fillId="3" borderId="109" xfId="10" applyFont="1" applyBorder="1" applyAlignment="1">
      <alignment vertical="center" wrapText="1"/>
    </xf>
    <xf numFmtId="4" fontId="8" fillId="0" borderId="109" xfId="7" applyFont="1" applyFill="1" applyBorder="1" applyAlignment="1">
      <alignment horizontal="center" vertical="center"/>
    </xf>
    <xf numFmtId="0" fontId="51" fillId="32" borderId="109" xfId="3" applyFont="1" applyFill="1" applyBorder="1" applyAlignment="1">
      <alignment horizontal="center" vertical="center" wrapText="1"/>
    </xf>
    <xf numFmtId="0" fontId="8" fillId="0" borderId="109" xfId="26" applyBorder="1"/>
    <xf numFmtId="0" fontId="8" fillId="0" borderId="109" xfId="26" applyBorder="1" applyAlignment="1">
      <alignment vertical="center"/>
    </xf>
    <xf numFmtId="0" fontId="35" fillId="12" borderId="109" xfId="26" applyFont="1" applyFill="1" applyBorder="1" applyAlignment="1">
      <alignment horizontal="center" vertical="center"/>
    </xf>
    <xf numFmtId="0" fontId="54" fillId="0" borderId="0" xfId="0" applyFont="1"/>
    <xf numFmtId="0" fontId="56" fillId="0" borderId="0" xfId="0" applyFont="1"/>
    <xf numFmtId="0" fontId="13" fillId="0" borderId="38" xfId="0" applyFont="1" applyBorder="1" applyAlignment="1">
      <alignment horizontal="center"/>
    </xf>
    <xf numFmtId="0" fontId="13" fillId="0" borderId="36" xfId="0" applyFont="1" applyBorder="1" applyAlignment="1">
      <alignment horizontal="center"/>
    </xf>
    <xf numFmtId="0" fontId="56" fillId="0" borderId="38" xfId="0" applyFont="1" applyBorder="1" applyAlignment="1">
      <alignment horizontal="center"/>
    </xf>
    <xf numFmtId="0" fontId="56" fillId="0" borderId="36" xfId="0" applyFont="1" applyBorder="1" applyAlignment="1">
      <alignment horizontal="center"/>
    </xf>
    <xf numFmtId="0" fontId="56" fillId="0" borderId="32" xfId="0" applyFont="1" applyBorder="1"/>
    <xf numFmtId="0" fontId="56" fillId="0" borderId="113" xfId="0" applyFont="1" applyBorder="1" applyAlignment="1">
      <alignment horizontal="center" vertical="center"/>
    </xf>
    <xf numFmtId="0" fontId="56" fillId="0" borderId="117" xfId="0" applyFont="1" applyBorder="1" applyAlignment="1">
      <alignment horizontal="center" vertical="center"/>
    </xf>
    <xf numFmtId="0" fontId="8" fillId="0" borderId="32" xfId="0" applyFont="1" applyBorder="1"/>
    <xf numFmtId="0" fontId="13" fillId="12" borderId="119" xfId="0" applyFont="1" applyFill="1" applyBorder="1" applyAlignment="1">
      <alignment horizontal="center"/>
    </xf>
    <xf numFmtId="0" fontId="56" fillId="12" borderId="119" xfId="0" applyFont="1" applyFill="1" applyBorder="1"/>
    <xf numFmtId="0" fontId="56" fillId="12" borderId="125" xfId="0" applyFont="1" applyFill="1" applyBorder="1"/>
    <xf numFmtId="0" fontId="54" fillId="12" borderId="125" xfId="0" applyFont="1" applyFill="1" applyBorder="1"/>
    <xf numFmtId="0" fontId="56" fillId="0" borderId="129" xfId="0" applyFont="1" applyBorder="1" applyAlignment="1">
      <alignment horizontal="center" vertical="center"/>
    </xf>
    <xf numFmtId="0" fontId="56" fillId="0" borderId="130" xfId="0" applyFont="1" applyBorder="1" applyAlignment="1">
      <alignment horizontal="center" vertical="center"/>
    </xf>
    <xf numFmtId="0" fontId="27" fillId="5" borderId="8" xfId="26" applyFont="1" applyFill="1" applyBorder="1" applyAlignment="1">
      <alignment horizontal="center"/>
    </xf>
    <xf numFmtId="0" fontId="54" fillId="8" borderId="0" xfId="0" applyFont="1" applyFill="1"/>
    <xf numFmtId="0" fontId="58" fillId="42" borderId="0" xfId="0" applyFont="1" applyFill="1"/>
    <xf numFmtId="0" fontId="8" fillId="37" borderId="32" xfId="0" applyFont="1" applyFill="1" applyBorder="1"/>
    <xf numFmtId="0" fontId="56" fillId="0" borderId="135" xfId="0" applyFont="1" applyBorder="1" applyAlignment="1">
      <alignment horizontal="center"/>
    </xf>
    <xf numFmtId="0" fontId="54" fillId="12" borderId="136" xfId="0" applyFont="1" applyFill="1" applyBorder="1" applyAlignment="1">
      <alignment horizontal="center"/>
    </xf>
    <xf numFmtId="0" fontId="8" fillId="39" borderId="136" xfId="0" applyFont="1" applyFill="1" applyBorder="1"/>
    <xf numFmtId="0" fontId="56" fillId="0" borderId="137" xfId="0" applyFont="1" applyBorder="1" applyAlignment="1">
      <alignment horizontal="center"/>
    </xf>
    <xf numFmtId="0" fontId="57" fillId="0" borderId="138" xfId="0" applyFont="1" applyBorder="1" applyAlignment="1">
      <alignment horizontal="center"/>
    </xf>
    <xf numFmtId="0" fontId="13" fillId="0" borderId="139" xfId="0" applyFont="1" applyBorder="1" applyAlignment="1">
      <alignment horizontal="center"/>
    </xf>
    <xf numFmtId="0" fontId="13" fillId="0" borderId="142" xfId="0" applyFont="1" applyBorder="1" applyAlignment="1">
      <alignment horizontal="center"/>
    </xf>
    <xf numFmtId="0" fontId="8" fillId="39" borderId="0" xfId="0" applyFont="1" applyFill="1"/>
    <xf numFmtId="0" fontId="13" fillId="41" borderId="32" xfId="0" quotePrefix="1" applyFont="1" applyFill="1" applyBorder="1"/>
    <xf numFmtId="0" fontId="13" fillId="41" borderId="0" xfId="0" quotePrefix="1" applyFont="1" applyFill="1"/>
    <xf numFmtId="0" fontId="54" fillId="39" borderId="0" xfId="0" applyFont="1" applyFill="1"/>
    <xf numFmtId="0" fontId="13" fillId="37" borderId="32" xfId="0" applyFont="1" applyFill="1" applyBorder="1"/>
    <xf numFmtId="0" fontId="8" fillId="0" borderId="152" xfId="0" applyFont="1" applyBorder="1"/>
    <xf numFmtId="0" fontId="13" fillId="0" borderId="153" xfId="0" applyFont="1" applyBorder="1" applyAlignment="1">
      <alignment horizontal="center"/>
    </xf>
    <xf numFmtId="0" fontId="13" fillId="0" borderId="41" xfId="0" applyFont="1" applyBorder="1" applyAlignment="1">
      <alignment horizontal="center"/>
    </xf>
    <xf numFmtId="0" fontId="13" fillId="0" borderId="154" xfId="0" applyFont="1" applyBorder="1" applyAlignment="1">
      <alignment horizontal="center"/>
    </xf>
    <xf numFmtId="0" fontId="13" fillId="0" borderId="145" xfId="0" applyFont="1" applyBorder="1" applyAlignment="1">
      <alignment horizontal="center"/>
    </xf>
    <xf numFmtId="0" fontId="8" fillId="39" borderId="120" xfId="0" applyFont="1" applyFill="1" applyBorder="1"/>
    <xf numFmtId="14" fontId="13" fillId="0" borderId="21" xfId="0" applyNumberFormat="1" applyFont="1" applyBorder="1" applyAlignment="1">
      <alignment horizontal="center" vertical="center"/>
    </xf>
    <xf numFmtId="0" fontId="8" fillId="0" borderId="57" xfId="0" applyFont="1" applyBorder="1" applyAlignment="1">
      <alignment horizontal="center" vertical="center"/>
    </xf>
    <xf numFmtId="0" fontId="39" fillId="8" borderId="23" xfId="0" applyFont="1" applyFill="1" applyBorder="1" applyAlignment="1">
      <alignment horizontal="left" vertical="center" wrapText="1"/>
    </xf>
    <xf numFmtId="10" fontId="0" fillId="0" borderId="0" xfId="16" applyNumberFormat="1" applyFont="1"/>
    <xf numFmtId="9" fontId="33" fillId="38" borderId="147" xfId="16" applyFont="1" applyFill="1" applyBorder="1" applyAlignment="1">
      <alignment horizontal="center" vertical="center"/>
    </xf>
    <xf numFmtId="3" fontId="23" fillId="0" borderId="0" xfId="0" applyNumberFormat="1" applyFont="1" applyAlignment="1">
      <alignment horizontal="center" vertical="center"/>
    </xf>
    <xf numFmtId="3" fontId="35" fillId="19" borderId="0" xfId="0" applyNumberFormat="1" applyFont="1" applyFill="1" applyAlignment="1">
      <alignment horizontal="center" vertical="center"/>
    </xf>
    <xf numFmtId="167" fontId="33" fillId="43" borderId="148" xfId="30" applyNumberFormat="1" applyFont="1" applyFill="1" applyBorder="1" applyAlignment="1">
      <alignment horizontal="center" vertical="center"/>
    </xf>
    <xf numFmtId="0" fontId="59" fillId="0" borderId="150" xfId="0" applyFont="1" applyBorder="1" applyAlignment="1">
      <alignment horizontal="center" vertical="center"/>
    </xf>
    <xf numFmtId="0" fontId="59" fillId="0" borderId="46" xfId="0" applyFont="1" applyBorder="1" applyAlignment="1">
      <alignment horizontal="center" vertical="center"/>
    </xf>
    <xf numFmtId="0" fontId="59" fillId="41" borderId="150" xfId="0" applyFont="1" applyFill="1" applyBorder="1" applyAlignment="1">
      <alignment horizontal="center" vertical="center"/>
    </xf>
    <xf numFmtId="0" fontId="59" fillId="41" borderId="46" xfId="0" applyFont="1" applyFill="1" applyBorder="1" applyAlignment="1">
      <alignment horizontal="center" vertical="center"/>
    </xf>
    <xf numFmtId="3" fontId="59" fillId="40" borderId="46" xfId="0" applyNumberFormat="1" applyFont="1" applyFill="1" applyBorder="1" applyAlignment="1">
      <alignment horizontal="center" vertical="center"/>
    </xf>
    <xf numFmtId="3" fontId="59" fillId="40" borderId="150" xfId="0" applyNumberFormat="1" applyFont="1" applyFill="1" applyBorder="1" applyAlignment="1">
      <alignment horizontal="center" vertical="center"/>
    </xf>
    <xf numFmtId="0" fontId="62" fillId="0" borderId="150" xfId="0" applyFont="1" applyBorder="1" applyAlignment="1">
      <alignment horizontal="center" vertical="center"/>
    </xf>
    <xf numFmtId="0" fontId="62" fillId="0" borderId="46" xfId="0" applyFont="1" applyBorder="1" applyAlignment="1">
      <alignment horizontal="center" vertical="center"/>
    </xf>
    <xf numFmtId="9" fontId="38" fillId="0" borderId="0" xfId="16" applyFont="1"/>
    <xf numFmtId="9" fontId="0" fillId="0" borderId="91" xfId="0" applyNumberFormat="1" applyBorder="1" applyAlignment="1">
      <alignment horizontal="center"/>
    </xf>
    <xf numFmtId="9" fontId="13" fillId="0" borderId="73" xfId="0" applyNumberFormat="1" applyFont="1" applyBorder="1" applyAlignment="1">
      <alignment horizontal="center"/>
    </xf>
    <xf numFmtId="9" fontId="13" fillId="0" borderId="74" xfId="0" applyNumberFormat="1" applyFont="1" applyBorder="1" applyAlignment="1">
      <alignment horizontal="center"/>
    </xf>
    <xf numFmtId="9" fontId="8" fillId="0" borderId="78" xfId="0" applyNumberFormat="1" applyFont="1" applyBorder="1" applyAlignment="1">
      <alignment horizontal="center"/>
    </xf>
    <xf numFmtId="3" fontId="0" fillId="0" borderId="0" xfId="0" applyNumberFormat="1"/>
    <xf numFmtId="10" fontId="0" fillId="0" borderId="0" xfId="0" applyNumberFormat="1"/>
    <xf numFmtId="4" fontId="32" fillId="12" borderId="109" xfId="7" applyFont="1" applyFill="1" applyBorder="1" applyAlignment="1">
      <alignment horizontal="right" vertical="center"/>
    </xf>
    <xf numFmtId="4" fontId="8" fillId="0" borderId="0" xfId="7" applyFont="1" applyFill="1" applyBorder="1">
      <alignment horizontal="right"/>
    </xf>
    <xf numFmtId="4" fontId="32" fillId="0" borderId="0" xfId="7" applyFont="1" applyFill="1" applyBorder="1">
      <alignment horizontal="right"/>
    </xf>
    <xf numFmtId="4" fontId="32" fillId="28" borderId="109" xfId="7" applyFont="1" applyFill="1" applyBorder="1" applyAlignment="1">
      <alignment horizontal="right" vertical="center"/>
    </xf>
    <xf numFmtId="4" fontId="25" fillId="12" borderId="109" xfId="7" applyFont="1" applyFill="1" applyBorder="1" applyAlignment="1">
      <alignment horizontal="right" vertical="center"/>
    </xf>
    <xf numFmtId="1" fontId="59" fillId="41" borderId="141" xfId="0" applyNumberFormat="1" applyFont="1" applyFill="1" applyBorder="1" applyAlignment="1">
      <alignment horizontal="center" vertical="center"/>
    </xf>
    <xf numFmtId="3" fontId="59" fillId="40" borderId="46" xfId="0" quotePrefix="1" applyNumberFormat="1" applyFont="1" applyFill="1" applyBorder="1" applyAlignment="1">
      <alignment horizontal="center" vertical="center"/>
    </xf>
    <xf numFmtId="3" fontId="59" fillId="40" borderId="150" xfId="0" quotePrefix="1" applyNumberFormat="1" applyFont="1" applyFill="1" applyBorder="1" applyAlignment="1">
      <alignment horizontal="center" vertical="center"/>
    </xf>
    <xf numFmtId="1" fontId="54" fillId="40" borderId="38" xfId="0" applyNumberFormat="1" applyFont="1" applyFill="1" applyBorder="1" applyAlignment="1">
      <alignment horizontal="center" vertical="center"/>
    </xf>
    <xf numFmtId="4" fontId="5" fillId="0" borderId="46" xfId="29" applyNumberFormat="1" applyBorder="1" applyAlignment="1">
      <alignment horizontal="center"/>
    </xf>
    <xf numFmtId="0" fontId="26" fillId="0" borderId="0" xfId="0" applyFont="1" applyAlignment="1">
      <alignment horizontal="center"/>
    </xf>
    <xf numFmtId="0" fontId="66" fillId="0" borderId="0" xfId="0" applyFont="1"/>
    <xf numFmtId="0" fontId="0" fillId="0" borderId="46" xfId="0" applyBorder="1"/>
    <xf numFmtId="0" fontId="65" fillId="0" borderId="0" xfId="0" applyFont="1"/>
    <xf numFmtId="3" fontId="54" fillId="0" borderId="38" xfId="0" applyNumberFormat="1" applyFont="1" applyBorder="1" applyAlignment="1">
      <alignment horizontal="center" vertical="center"/>
    </xf>
    <xf numFmtId="0" fontId="54" fillId="0" borderId="38" xfId="0" applyFont="1" applyBorder="1" applyAlignment="1">
      <alignment horizontal="center" vertical="center"/>
    </xf>
    <xf numFmtId="3" fontId="8" fillId="8" borderId="15" xfId="0" applyNumberFormat="1" applyFont="1" applyFill="1" applyBorder="1" applyAlignment="1">
      <alignment horizontal="center"/>
    </xf>
    <xf numFmtId="167" fontId="33" fillId="38" borderId="46" xfId="16" applyNumberFormat="1" applyFont="1" applyFill="1" applyBorder="1" applyAlignment="1">
      <alignment horizontal="center" vertical="center"/>
    </xf>
    <xf numFmtId="3" fontId="62" fillId="0" borderId="46" xfId="0" applyNumberFormat="1" applyFont="1" applyBorder="1" applyAlignment="1">
      <alignment horizontal="center" vertical="center"/>
    </xf>
    <xf numFmtId="3" fontId="62" fillId="38" borderId="46" xfId="0" applyNumberFormat="1" applyFont="1" applyFill="1" applyBorder="1" applyAlignment="1">
      <alignment horizontal="center" vertical="center"/>
    </xf>
    <xf numFmtId="167" fontId="33" fillId="38" borderId="150" xfId="16" applyNumberFormat="1" applyFont="1" applyFill="1" applyBorder="1" applyAlignment="1">
      <alignment horizontal="center" vertical="center"/>
    </xf>
    <xf numFmtId="3" fontId="62" fillId="0" borderId="150" xfId="0" applyNumberFormat="1" applyFont="1" applyBorder="1" applyAlignment="1">
      <alignment horizontal="center" vertical="center"/>
    </xf>
    <xf numFmtId="3" fontId="62" fillId="38" borderId="150" xfId="0" applyNumberFormat="1" applyFont="1" applyFill="1" applyBorder="1" applyAlignment="1">
      <alignment horizontal="center" vertical="center"/>
    </xf>
    <xf numFmtId="0" fontId="62" fillId="38" borderId="151" xfId="0" applyFont="1" applyFill="1" applyBorder="1" applyAlignment="1">
      <alignment horizontal="center" vertical="center"/>
    </xf>
    <xf numFmtId="167" fontId="33" fillId="43" borderId="166" xfId="30" applyNumberFormat="1" applyFont="1" applyFill="1" applyBorder="1" applyAlignment="1">
      <alignment horizontal="center" vertical="center"/>
    </xf>
    <xf numFmtId="3" fontId="4" fillId="43" borderId="44" xfId="30" applyNumberFormat="1" applyFill="1" applyBorder="1" applyAlignment="1">
      <alignment horizontal="center" vertical="center"/>
    </xf>
    <xf numFmtId="167" fontId="33" fillId="38" borderId="44" xfId="16" applyNumberFormat="1" applyFont="1" applyFill="1" applyBorder="1" applyAlignment="1">
      <alignment horizontal="center" vertical="center"/>
    </xf>
    <xf numFmtId="3" fontId="62" fillId="0" borderId="44" xfId="0" applyNumberFormat="1" applyFont="1" applyBorder="1" applyAlignment="1">
      <alignment horizontal="center" vertical="center"/>
    </xf>
    <xf numFmtId="0" fontId="62" fillId="0" borderId="44" xfId="0" applyFont="1" applyBorder="1" applyAlignment="1">
      <alignment horizontal="center" vertical="center"/>
    </xf>
    <xf numFmtId="3" fontId="62" fillId="38" borderId="44" xfId="0" applyNumberFormat="1" applyFont="1" applyFill="1" applyBorder="1" applyAlignment="1">
      <alignment horizontal="center" vertical="center"/>
    </xf>
    <xf numFmtId="0" fontId="62" fillId="38" borderId="167" xfId="0" applyFont="1" applyFill="1" applyBorder="1" applyAlignment="1">
      <alignment horizontal="center" vertical="center"/>
    </xf>
    <xf numFmtId="1" fontId="54" fillId="0" borderId="46" xfId="0" applyNumberFormat="1" applyFont="1" applyBorder="1" applyAlignment="1">
      <alignment horizontal="center" vertical="center"/>
    </xf>
    <xf numFmtId="1" fontId="59" fillId="0" borderId="46" xfId="0" applyNumberFormat="1" applyFont="1" applyBorder="1" applyAlignment="1">
      <alignment horizontal="center" vertical="center"/>
    </xf>
    <xf numFmtId="1" fontId="54" fillId="0" borderId="150" xfId="0" applyNumberFormat="1" applyFont="1" applyBorder="1" applyAlignment="1">
      <alignment horizontal="center" vertical="center"/>
    </xf>
    <xf numFmtId="1" fontId="54" fillId="0" borderId="141" xfId="0" applyNumberFormat="1" applyFont="1" applyBorder="1" applyAlignment="1">
      <alignment horizontal="center" vertical="center"/>
    </xf>
    <xf numFmtId="1" fontId="59" fillId="0" borderId="150" xfId="0" applyNumberFormat="1" applyFont="1" applyBorder="1" applyAlignment="1">
      <alignment horizontal="center" vertical="center"/>
    </xf>
    <xf numFmtId="1" fontId="59" fillId="0" borderId="141" xfId="0" applyNumberFormat="1" applyFont="1" applyBorder="1" applyAlignment="1">
      <alignment horizontal="center" vertical="center"/>
    </xf>
    <xf numFmtId="1" fontId="62" fillId="38" borderId="151" xfId="0" applyNumberFormat="1" applyFont="1" applyFill="1" applyBorder="1" applyAlignment="1">
      <alignment horizontal="center" vertical="center"/>
    </xf>
    <xf numFmtId="1" fontId="62" fillId="38" borderId="164" xfId="0" applyNumberFormat="1" applyFont="1" applyFill="1" applyBorder="1" applyAlignment="1">
      <alignment horizontal="center" vertical="center"/>
    </xf>
    <xf numFmtId="1" fontId="62" fillId="38" borderId="165" xfId="0" applyNumberFormat="1" applyFont="1" applyFill="1" applyBorder="1" applyAlignment="1">
      <alignment horizontal="center" vertical="center"/>
    </xf>
    <xf numFmtId="167" fontId="8" fillId="0" borderId="147" xfId="16" applyNumberFormat="1" applyFont="1" applyFill="1" applyBorder="1" applyAlignment="1">
      <alignment horizontal="center" vertical="center"/>
    </xf>
    <xf numFmtId="167" fontId="8" fillId="0" borderId="148" xfId="16" applyNumberFormat="1" applyFont="1" applyFill="1" applyBorder="1" applyAlignment="1">
      <alignment horizontal="center" vertical="center"/>
    </xf>
    <xf numFmtId="167" fontId="0" fillId="0" borderId="149" xfId="16" applyNumberFormat="1" applyFont="1" applyFill="1" applyBorder="1" applyAlignment="1">
      <alignment horizontal="center" vertical="center"/>
    </xf>
    <xf numFmtId="167" fontId="33" fillId="0" borderId="150" xfId="16" applyNumberFormat="1" applyFont="1" applyFill="1" applyBorder="1" applyAlignment="1">
      <alignment horizontal="center" vertical="center"/>
    </xf>
    <xf numFmtId="167" fontId="33" fillId="0" borderId="46" xfId="16" applyNumberFormat="1" applyFont="1" applyFill="1" applyBorder="1" applyAlignment="1">
      <alignment horizontal="center" vertical="center"/>
    </xf>
    <xf numFmtId="167" fontId="33" fillId="0" borderId="141" xfId="16" applyNumberFormat="1" applyFont="1" applyFill="1" applyBorder="1" applyAlignment="1">
      <alignment horizontal="center" vertical="center"/>
    </xf>
    <xf numFmtId="1" fontId="62" fillId="0" borderId="150" xfId="0" applyNumberFormat="1" applyFont="1" applyBorder="1" applyAlignment="1">
      <alignment horizontal="center" vertical="center"/>
    </xf>
    <xf numFmtId="1" fontId="62" fillId="0" borderId="46" xfId="0" applyNumberFormat="1" applyFont="1" applyBorder="1" applyAlignment="1">
      <alignment horizontal="center" vertical="center"/>
    </xf>
    <xf numFmtId="1" fontId="62" fillId="0" borderId="141" xfId="0" applyNumberFormat="1" applyFont="1" applyBorder="1" applyAlignment="1">
      <alignment horizontal="center" vertical="center"/>
    </xf>
    <xf numFmtId="1" fontId="59" fillId="41" borderId="46" xfId="0" applyNumberFormat="1" applyFont="1" applyFill="1" applyBorder="1" applyAlignment="1">
      <alignment horizontal="center" vertical="center"/>
    </xf>
    <xf numFmtId="1" fontId="59" fillId="41" borderId="150" xfId="0" applyNumberFormat="1" applyFont="1" applyFill="1" applyBorder="1" applyAlignment="1">
      <alignment horizontal="center" vertical="center"/>
    </xf>
    <xf numFmtId="1" fontId="54" fillId="40" borderId="46" xfId="0" applyNumberFormat="1" applyFont="1" applyFill="1" applyBorder="1" applyAlignment="1">
      <alignment horizontal="center" vertical="center"/>
    </xf>
    <xf numFmtId="1" fontId="54" fillId="40" borderId="150" xfId="0" applyNumberFormat="1" applyFont="1" applyFill="1" applyBorder="1" applyAlignment="1">
      <alignment horizontal="center" vertical="center"/>
    </xf>
    <xf numFmtId="1" fontId="54" fillId="40" borderId="44" xfId="0" applyNumberFormat="1" applyFont="1" applyFill="1" applyBorder="1" applyAlignment="1">
      <alignment horizontal="center" vertical="center"/>
    </xf>
    <xf numFmtId="1" fontId="54" fillId="40" borderId="167" xfId="0" applyNumberFormat="1" applyFont="1" applyFill="1" applyBorder="1" applyAlignment="1">
      <alignment horizontal="center" vertical="center"/>
    </xf>
    <xf numFmtId="1" fontId="0" fillId="0" borderId="46" xfId="0" applyNumberFormat="1" applyBorder="1" applyAlignment="1">
      <alignment horizontal="center" vertical="center"/>
    </xf>
    <xf numFmtId="1" fontId="0" fillId="0" borderId="147" xfId="0" applyNumberFormat="1" applyBorder="1" applyAlignment="1">
      <alignment horizontal="center" vertical="center"/>
    </xf>
    <xf numFmtId="1" fontId="0" fillId="0" borderId="148" xfId="0" applyNumberFormat="1" applyBorder="1" applyAlignment="1">
      <alignment horizontal="center" vertical="center"/>
    </xf>
    <xf numFmtId="1" fontId="0" fillId="0" borderId="149" xfId="0" applyNumberFormat="1" applyBorder="1" applyAlignment="1">
      <alignment horizontal="center" vertical="center"/>
    </xf>
    <xf numFmtId="1" fontId="0" fillId="0" borderId="150" xfId="0" applyNumberFormat="1" applyBorder="1" applyAlignment="1">
      <alignment horizontal="center" vertical="center"/>
    </xf>
    <xf numFmtId="1" fontId="0" fillId="0" borderId="141" xfId="0" applyNumberFormat="1" applyBorder="1" applyAlignment="1">
      <alignment horizontal="center" vertical="center"/>
    </xf>
    <xf numFmtId="1" fontId="54" fillId="40" borderId="139" xfId="0" applyNumberFormat="1" applyFont="1" applyFill="1" applyBorder="1" applyAlignment="1">
      <alignment horizontal="center" vertical="center"/>
    </xf>
    <xf numFmtId="1" fontId="54" fillId="40" borderId="140" xfId="0" applyNumberFormat="1" applyFont="1" applyFill="1" applyBorder="1" applyAlignment="1">
      <alignment horizontal="center" vertical="center"/>
    </xf>
    <xf numFmtId="1" fontId="54" fillId="40" borderId="142" xfId="0" applyNumberFormat="1" applyFont="1" applyFill="1" applyBorder="1" applyAlignment="1">
      <alignment horizontal="center" vertical="center"/>
    </xf>
    <xf numFmtId="1" fontId="54" fillId="40" borderId="143" xfId="0" applyNumberFormat="1" applyFont="1" applyFill="1" applyBorder="1" applyAlignment="1">
      <alignment horizontal="center" vertical="center"/>
    </xf>
    <xf numFmtId="1" fontId="54" fillId="40" borderId="144" xfId="0" applyNumberFormat="1" applyFont="1" applyFill="1" applyBorder="1" applyAlignment="1">
      <alignment horizontal="center" vertical="center"/>
    </xf>
    <xf numFmtId="4" fontId="5" fillId="0" borderId="150" xfId="29" applyNumberFormat="1" applyBorder="1" applyAlignment="1">
      <alignment horizontal="center"/>
    </xf>
    <xf numFmtId="4" fontId="5" fillId="0" borderId="141" xfId="29" applyNumberFormat="1" applyBorder="1" applyAlignment="1">
      <alignment horizontal="center"/>
    </xf>
    <xf numFmtId="9" fontId="0" fillId="0" borderId="0" xfId="16" applyFont="1" applyBorder="1" applyAlignment="1">
      <alignment horizontal="left"/>
    </xf>
    <xf numFmtId="3" fontId="8" fillId="0" borderId="150" xfId="0" applyNumberFormat="1" applyFont="1" applyBorder="1" applyAlignment="1">
      <alignment horizontal="center" vertical="center"/>
    </xf>
    <xf numFmtId="3" fontId="59" fillId="0" borderId="46" xfId="0" applyNumberFormat="1" applyFont="1" applyBorder="1" applyAlignment="1">
      <alignment horizontal="center" vertical="center"/>
    </xf>
    <xf numFmtId="3" fontId="59" fillId="0" borderId="150" xfId="0" applyNumberFormat="1" applyFont="1" applyBorder="1" applyAlignment="1">
      <alignment horizontal="center" vertical="center"/>
    </xf>
    <xf numFmtId="2" fontId="8" fillId="24" borderId="19" xfId="0" applyNumberFormat="1" applyFont="1" applyFill="1" applyBorder="1" applyAlignment="1">
      <alignment horizontal="center"/>
    </xf>
    <xf numFmtId="0" fontId="23" fillId="0" borderId="0" xfId="0" applyFont="1" applyAlignment="1">
      <alignment horizontal="center" vertical="center"/>
    </xf>
    <xf numFmtId="3" fontId="35" fillId="19" borderId="0" xfId="21" applyNumberFormat="1" applyFont="1" applyFill="1" applyAlignment="1">
      <alignment horizontal="center" vertical="center"/>
    </xf>
    <xf numFmtId="3" fontId="36" fillId="19" borderId="0" xfId="0" applyNumberFormat="1" applyFont="1" applyFill="1" applyAlignment="1">
      <alignment horizontal="center" vertical="center"/>
    </xf>
    <xf numFmtId="3" fontId="35" fillId="0" borderId="0" xfId="0" applyNumberFormat="1" applyFont="1" applyAlignment="1">
      <alignment horizontal="center" vertical="center"/>
    </xf>
    <xf numFmtId="169" fontId="23" fillId="0" borderId="0" xfId="0" applyNumberFormat="1" applyFont="1" applyAlignment="1">
      <alignment horizontal="center" vertical="center"/>
    </xf>
    <xf numFmtId="4" fontId="35" fillId="19" borderId="0" xfId="0" applyNumberFormat="1" applyFont="1" applyFill="1" applyAlignment="1">
      <alignment horizontal="center" vertical="center"/>
    </xf>
    <xf numFmtId="3" fontId="23" fillId="19" borderId="0" xfId="0" applyNumberFormat="1" applyFont="1" applyFill="1" applyAlignment="1">
      <alignment horizontal="center" vertical="center"/>
    </xf>
    <xf numFmtId="0" fontId="0" fillId="0" borderId="0" xfId="0" applyAlignment="1">
      <alignment horizontal="center" vertical="center"/>
    </xf>
    <xf numFmtId="0" fontId="26" fillId="0" borderId="0" xfId="0" applyFont="1" applyAlignment="1">
      <alignment horizontal="center" vertical="center"/>
    </xf>
    <xf numFmtId="0" fontId="8" fillId="8" borderId="19" xfId="0" applyFont="1" applyFill="1" applyBorder="1" applyAlignment="1">
      <alignment horizontal="center" vertical="center" wrapText="1"/>
    </xf>
    <xf numFmtId="0" fontId="47" fillId="9" borderId="73" xfId="0" applyFont="1" applyFill="1" applyBorder="1" applyAlignment="1">
      <alignment horizontal="center" vertical="center" wrapText="1"/>
    </xf>
    <xf numFmtId="0" fontId="47" fillId="10" borderId="74" xfId="0" applyFont="1" applyFill="1" applyBorder="1" applyAlignment="1">
      <alignment horizontal="center" vertical="center" wrapText="1"/>
    </xf>
    <xf numFmtId="0" fontId="47" fillId="11" borderId="74" xfId="0" applyFont="1" applyFill="1" applyBorder="1" applyAlignment="1">
      <alignment horizontal="center" vertical="center" wrapText="1"/>
    </xf>
    <xf numFmtId="0" fontId="47" fillId="15" borderId="74" xfId="0" applyFont="1" applyFill="1" applyBorder="1" applyAlignment="1">
      <alignment horizontal="center" vertical="center" wrapText="1"/>
    </xf>
    <xf numFmtId="0" fontId="47" fillId="10" borderId="65" xfId="0" applyFont="1" applyFill="1" applyBorder="1" applyAlignment="1">
      <alignment horizontal="center" vertical="center" wrapText="1"/>
    </xf>
    <xf numFmtId="0" fontId="47" fillId="11" borderId="65" xfId="0" applyFont="1" applyFill="1" applyBorder="1" applyAlignment="1">
      <alignment horizontal="center" vertical="center" wrapText="1"/>
    </xf>
    <xf numFmtId="0" fontId="47" fillId="15" borderId="65" xfId="0" applyFont="1" applyFill="1" applyBorder="1" applyAlignment="1">
      <alignment horizontal="center" vertical="center" wrapText="1"/>
    </xf>
    <xf numFmtId="0" fontId="47" fillId="23" borderId="65" xfId="0" applyFont="1" applyFill="1" applyBorder="1" applyAlignment="1">
      <alignment horizontal="center" vertical="center" wrapText="1"/>
    </xf>
    <xf numFmtId="0" fontId="56" fillId="0" borderId="0" xfId="0" applyFont="1" applyAlignment="1">
      <alignment horizontal="center" vertical="center"/>
    </xf>
    <xf numFmtId="14" fontId="13" fillId="0" borderId="20" xfId="0" applyNumberFormat="1" applyFont="1" applyBorder="1" applyAlignment="1">
      <alignment horizontal="center" vertical="center"/>
    </xf>
    <xf numFmtId="14" fontId="13" fillId="0" borderId="54" xfId="0" applyNumberFormat="1" applyFont="1" applyBorder="1" applyAlignment="1">
      <alignment horizontal="center" vertical="center"/>
    </xf>
    <xf numFmtId="0" fontId="0" fillId="0" borderId="0" xfId="0" applyAlignment="1">
      <alignment horizontal="left"/>
    </xf>
    <xf numFmtId="2" fontId="8" fillId="24" borderId="52" xfId="0" applyNumberFormat="1" applyFont="1" applyFill="1" applyBorder="1" applyAlignment="1">
      <alignment horizontal="center"/>
    </xf>
    <xf numFmtId="2" fontId="33" fillId="24" borderId="52" xfId="16" applyNumberFormat="1" applyFont="1" applyFill="1" applyBorder="1" applyAlignment="1">
      <alignment horizontal="center"/>
    </xf>
    <xf numFmtId="0" fontId="8" fillId="7" borderId="168" xfId="0" applyFont="1" applyFill="1" applyBorder="1"/>
    <xf numFmtId="0" fontId="27" fillId="32" borderId="62" xfId="0" applyFont="1" applyFill="1" applyBorder="1" applyAlignment="1">
      <alignment horizontal="center"/>
    </xf>
    <xf numFmtId="0" fontId="13" fillId="0" borderId="62" xfId="0" applyFont="1" applyBorder="1" applyAlignment="1">
      <alignment horizontal="center"/>
    </xf>
    <xf numFmtId="166" fontId="13" fillId="24" borderId="23" xfId="0" applyNumberFormat="1" applyFont="1" applyFill="1" applyBorder="1" applyAlignment="1">
      <alignment horizontal="center"/>
    </xf>
    <xf numFmtId="2" fontId="33" fillId="24" borderId="62" xfId="16" applyNumberFormat="1" applyFont="1" applyFill="1" applyBorder="1" applyAlignment="1">
      <alignment horizontal="center"/>
    </xf>
    <xf numFmtId="10" fontId="64" fillId="8" borderId="62" xfId="0" applyNumberFormat="1" applyFont="1" applyFill="1" applyBorder="1" applyAlignment="1">
      <alignment horizontal="center"/>
    </xf>
    <xf numFmtId="0" fontId="8" fillId="0" borderId="0" xfId="0" applyFont="1" applyAlignment="1">
      <alignment horizontal="center"/>
    </xf>
    <xf numFmtId="10" fontId="8" fillId="0" borderId="118" xfId="0" applyNumberFormat="1" applyFont="1" applyBorder="1" applyAlignment="1">
      <alignment horizontal="center" vertical="center"/>
    </xf>
    <xf numFmtId="10" fontId="8" fillId="0" borderId="5" xfId="0" applyNumberFormat="1" applyFont="1" applyBorder="1" applyAlignment="1">
      <alignment horizontal="center" vertical="center"/>
    </xf>
    <xf numFmtId="1" fontId="59" fillId="40" borderId="151" xfId="0" applyNumberFormat="1" applyFont="1" applyFill="1" applyBorder="1" applyAlignment="1">
      <alignment horizontal="center" vertical="center"/>
    </xf>
    <xf numFmtId="1" fontId="59" fillId="40" borderId="164" xfId="0" applyNumberFormat="1" applyFont="1" applyFill="1" applyBorder="1" applyAlignment="1">
      <alignment horizontal="center" vertical="center"/>
    </xf>
    <xf numFmtId="0" fontId="0" fillId="0" borderId="46" xfId="0" applyBorder="1" applyAlignment="1">
      <alignment horizontal="center"/>
    </xf>
    <xf numFmtId="166" fontId="0" fillId="0" borderId="46" xfId="0" applyNumberFormat="1" applyBorder="1" applyAlignment="1">
      <alignment horizontal="center"/>
    </xf>
    <xf numFmtId="167" fontId="65" fillId="0" borderId="46" xfId="16" applyNumberFormat="1" applyFont="1" applyBorder="1" applyAlignment="1">
      <alignment horizontal="center"/>
    </xf>
    <xf numFmtId="0" fontId="65" fillId="0" borderId="46" xfId="0" applyFont="1" applyBorder="1"/>
    <xf numFmtId="165" fontId="65" fillId="0" borderId="46" xfId="0" applyNumberFormat="1" applyFont="1" applyBorder="1" applyAlignment="1">
      <alignment horizontal="center"/>
    </xf>
    <xf numFmtId="9" fontId="0" fillId="0" borderId="0" xfId="16" applyFont="1" applyAlignment="1">
      <alignment horizontal="left"/>
    </xf>
    <xf numFmtId="0" fontId="54" fillId="0" borderId="169" xfId="0" applyFont="1" applyBorder="1"/>
    <xf numFmtId="0" fontId="54" fillId="0" borderId="35" xfId="0" applyFont="1" applyBorder="1"/>
    <xf numFmtId="3" fontId="69" fillId="0" borderId="150" xfId="0" quotePrefix="1" applyNumberFormat="1" applyFont="1" applyBorder="1" applyAlignment="1">
      <alignment horizontal="center" vertical="center"/>
    </xf>
    <xf numFmtId="3" fontId="69" fillId="0" borderId="46" xfId="0" quotePrefix="1" applyNumberFormat="1" applyFont="1" applyBorder="1" applyAlignment="1">
      <alignment horizontal="center" vertical="center"/>
    </xf>
    <xf numFmtId="3" fontId="69" fillId="0" borderId="141" xfId="0" quotePrefix="1" applyNumberFormat="1" applyFont="1" applyBorder="1" applyAlignment="1">
      <alignment horizontal="center" vertical="center"/>
    </xf>
    <xf numFmtId="0" fontId="54" fillId="40" borderId="139" xfId="0" applyFont="1" applyFill="1" applyBorder="1" applyAlignment="1">
      <alignment horizontal="center" vertical="center"/>
    </xf>
    <xf numFmtId="0" fontId="54" fillId="40" borderId="2" xfId="0" applyFont="1" applyFill="1" applyBorder="1" applyAlignment="1">
      <alignment horizontal="center" vertical="center"/>
    </xf>
    <xf numFmtId="1" fontId="54" fillId="40" borderId="117" xfId="0" applyNumberFormat="1" applyFont="1" applyFill="1" applyBorder="1" applyAlignment="1">
      <alignment horizontal="center" vertical="center"/>
    </xf>
    <xf numFmtId="1" fontId="54" fillId="40" borderId="171" xfId="0" applyNumberFormat="1" applyFont="1" applyFill="1" applyBorder="1" applyAlignment="1">
      <alignment horizontal="center" vertical="center"/>
    </xf>
    <xf numFmtId="3" fontId="59" fillId="41" borderId="172" xfId="0" applyNumberFormat="1" applyFont="1" applyFill="1" applyBorder="1" applyAlignment="1">
      <alignment horizontal="center" vertical="center"/>
    </xf>
    <xf numFmtId="3" fontId="59" fillId="41" borderId="3" xfId="0" applyNumberFormat="1" applyFont="1" applyFill="1" applyBorder="1" applyAlignment="1">
      <alignment horizontal="center" vertical="center"/>
    </xf>
    <xf numFmtId="3" fontId="59" fillId="41" borderId="34" xfId="0" applyNumberFormat="1" applyFont="1" applyFill="1" applyBorder="1" applyAlignment="1">
      <alignment horizontal="center" vertical="center"/>
    </xf>
    <xf numFmtId="3" fontId="60" fillId="12" borderId="0" xfId="0" applyNumberFormat="1" applyFont="1" applyFill="1" applyAlignment="1">
      <alignment horizontal="center" vertical="center"/>
    </xf>
    <xf numFmtId="3" fontId="60" fillId="12" borderId="173" xfId="0" applyNumberFormat="1" applyFont="1" applyFill="1" applyBorder="1" applyAlignment="1">
      <alignment horizontal="center" vertical="center"/>
    </xf>
    <xf numFmtId="1" fontId="59" fillId="41" borderId="44" xfId="0" applyNumberFormat="1" applyFont="1" applyFill="1" applyBorder="1" applyAlignment="1">
      <alignment horizontal="center" vertical="center"/>
    </xf>
    <xf numFmtId="1" fontId="59" fillId="0" borderId="44" xfId="0" applyNumberFormat="1" applyFont="1" applyBorder="1" applyAlignment="1">
      <alignment horizontal="center" vertical="center"/>
    </xf>
    <xf numFmtId="0" fontId="0" fillId="37" borderId="32" xfId="0" applyFill="1" applyBorder="1"/>
    <xf numFmtId="0" fontId="65" fillId="0" borderId="0" xfId="29" applyFont="1" applyAlignment="1">
      <alignment horizontal="center" vertical="center"/>
    </xf>
    <xf numFmtId="0" fontId="5" fillId="0" borderId="0" xfId="29"/>
    <xf numFmtId="0" fontId="5" fillId="0" borderId="36" xfId="29" applyBorder="1"/>
    <xf numFmtId="0" fontId="54" fillId="0" borderId="174" xfId="0" applyFont="1" applyBorder="1"/>
    <xf numFmtId="0" fontId="56" fillId="0" borderId="115" xfId="0" applyFont="1" applyBorder="1" applyAlignment="1">
      <alignment horizontal="center" vertical="center"/>
    </xf>
    <xf numFmtId="0" fontId="56" fillId="0" borderId="116" xfId="0" applyFont="1" applyBorder="1" applyAlignment="1">
      <alignment horizontal="center" vertical="center"/>
    </xf>
    <xf numFmtId="0" fontId="54" fillId="0" borderId="175" xfId="0" applyFont="1" applyBorder="1"/>
    <xf numFmtId="0" fontId="54" fillId="0" borderId="114" xfId="0" applyFont="1" applyBorder="1" applyAlignment="1">
      <alignment horizontal="center" vertical="center"/>
    </xf>
    <xf numFmtId="0" fontId="54" fillId="0" borderId="176" xfId="0" applyFont="1" applyBorder="1"/>
    <xf numFmtId="10" fontId="0" fillId="0" borderId="0" xfId="0" applyNumberFormat="1" applyAlignment="1">
      <alignment horizontal="center" vertical="center"/>
    </xf>
    <xf numFmtId="0" fontId="54" fillId="0" borderId="114" xfId="0" applyFont="1" applyBorder="1"/>
    <xf numFmtId="0" fontId="56" fillId="0" borderId="46" xfId="0" applyFont="1" applyBorder="1"/>
    <xf numFmtId="9" fontId="23" fillId="0" borderId="0" xfId="16" applyFont="1" applyAlignment="1">
      <alignment horizontal="center" vertical="center"/>
    </xf>
    <xf numFmtId="1" fontId="59" fillId="41" borderId="139" xfId="0" applyNumberFormat="1" applyFont="1" applyFill="1" applyBorder="1" applyAlignment="1">
      <alignment horizontal="center" vertical="center"/>
    </xf>
    <xf numFmtId="1" fontId="59" fillId="41" borderId="2" xfId="0" applyNumberFormat="1" applyFont="1" applyFill="1" applyBorder="1" applyAlignment="1">
      <alignment horizontal="center" vertical="center"/>
    </xf>
    <xf numFmtId="1" fontId="59" fillId="41" borderId="37" xfId="0" applyNumberFormat="1" applyFont="1" applyFill="1" applyBorder="1" applyAlignment="1">
      <alignment horizontal="center" vertical="center"/>
    </xf>
    <xf numFmtId="1" fontId="59" fillId="41" borderId="170" xfId="0" applyNumberFormat="1" applyFont="1" applyFill="1" applyBorder="1" applyAlignment="1">
      <alignment horizontal="center" vertical="center"/>
    </xf>
    <xf numFmtId="3" fontId="0" fillId="0" borderId="46" xfId="0" applyNumberFormat="1" applyBorder="1" applyAlignment="1">
      <alignment horizontal="center" vertical="center"/>
    </xf>
    <xf numFmtId="3" fontId="0" fillId="0" borderId="141" xfId="0" applyNumberFormat="1" applyBorder="1" applyAlignment="1">
      <alignment horizontal="center" vertical="center"/>
    </xf>
    <xf numFmtId="167" fontId="38" fillId="0" borderId="0" xfId="0" applyNumberFormat="1" applyFont="1"/>
    <xf numFmtId="1" fontId="54" fillId="40" borderId="178" xfId="0" applyNumberFormat="1" applyFont="1" applyFill="1" applyBorder="1" applyAlignment="1">
      <alignment horizontal="center" vertical="center"/>
    </xf>
    <xf numFmtId="0" fontId="54" fillId="40" borderId="37" xfId="0" applyFont="1" applyFill="1" applyBorder="1" applyAlignment="1">
      <alignment horizontal="center" vertical="center"/>
    </xf>
    <xf numFmtId="1" fontId="0" fillId="0" borderId="179" xfId="0" applyNumberFormat="1" applyBorder="1" applyAlignment="1">
      <alignment horizontal="center" vertical="center"/>
    </xf>
    <xf numFmtId="1" fontId="0" fillId="0" borderId="45" xfId="0" applyNumberFormat="1" applyBorder="1" applyAlignment="1">
      <alignment horizontal="center" vertical="center"/>
    </xf>
    <xf numFmtId="3" fontId="69" fillId="0" borderId="150" xfId="0" applyNumberFormat="1" applyFont="1" applyBorder="1" applyAlignment="1">
      <alignment horizontal="center" vertical="center"/>
    </xf>
    <xf numFmtId="2" fontId="0" fillId="24" borderId="62" xfId="0" applyNumberFormat="1" applyFill="1" applyBorder="1" applyAlignment="1">
      <alignment horizontal="center"/>
    </xf>
    <xf numFmtId="166" fontId="0" fillId="24" borderId="23" xfId="0" applyNumberFormat="1" applyFill="1" applyBorder="1" applyAlignment="1">
      <alignment horizontal="center"/>
    </xf>
    <xf numFmtId="10" fontId="0" fillId="8" borderId="23" xfId="25" applyNumberFormat="1" applyFont="1" applyFill="1" applyBorder="1" applyAlignment="1">
      <alignment horizontal="center"/>
    </xf>
    <xf numFmtId="167" fontId="0" fillId="8" borderId="23" xfId="25" applyNumberFormat="1" applyFont="1" applyFill="1" applyBorder="1" applyAlignment="1">
      <alignment horizontal="center"/>
    </xf>
    <xf numFmtId="168" fontId="0" fillId="24" borderId="23" xfId="0" applyNumberFormat="1" applyFill="1" applyBorder="1" applyAlignment="1">
      <alignment horizontal="center"/>
    </xf>
    <xf numFmtId="168" fontId="0" fillId="24" borderId="23" xfId="16" applyNumberFormat="1" applyFont="1" applyFill="1" applyBorder="1" applyAlignment="1">
      <alignment horizontal="center"/>
    </xf>
    <xf numFmtId="167" fontId="0" fillId="24" borderId="23" xfId="16" applyNumberFormat="1" applyFont="1" applyFill="1" applyBorder="1" applyAlignment="1">
      <alignment horizontal="center"/>
    </xf>
    <xf numFmtId="2" fontId="0" fillId="24" borderId="23" xfId="16" applyNumberFormat="1" applyFont="1" applyFill="1" applyBorder="1" applyAlignment="1">
      <alignment horizontal="center"/>
    </xf>
    <xf numFmtId="167" fontId="0" fillId="8" borderId="23" xfId="16" applyNumberFormat="1" applyFont="1" applyFill="1" applyBorder="1" applyAlignment="1">
      <alignment horizontal="center"/>
    </xf>
    <xf numFmtId="0" fontId="0" fillId="0" borderId="22" xfId="0" quotePrefix="1" applyBorder="1"/>
    <xf numFmtId="10" fontId="0" fillId="8" borderId="23" xfId="16" applyNumberFormat="1" applyFont="1" applyFill="1" applyBorder="1" applyAlignment="1">
      <alignment horizontal="center"/>
    </xf>
    <xf numFmtId="4" fontId="0" fillId="8" borderId="23" xfId="0" applyNumberFormat="1" applyFill="1" applyBorder="1" applyAlignment="1">
      <alignment horizontal="center"/>
    </xf>
    <xf numFmtId="0" fontId="0" fillId="0" borderId="22" xfId="0" applyBorder="1"/>
    <xf numFmtId="0" fontId="0" fillId="8" borderId="23" xfId="0" applyFill="1" applyBorder="1" applyAlignment="1">
      <alignment horizontal="left" vertical="center" wrapText="1"/>
    </xf>
    <xf numFmtId="0" fontId="0" fillId="0" borderId="58" xfId="0" applyBorder="1" applyAlignment="1">
      <alignment horizontal="center" vertical="center"/>
    </xf>
    <xf numFmtId="174" fontId="0" fillId="0" borderId="0" xfId="0" applyNumberFormat="1" applyAlignment="1">
      <alignment horizontal="center"/>
    </xf>
    <xf numFmtId="1" fontId="59" fillId="0" borderId="139" xfId="0" applyNumberFormat="1" applyFont="1" applyBorder="1" applyAlignment="1">
      <alignment horizontal="center" vertical="center"/>
    </xf>
    <xf numFmtId="1" fontId="59" fillId="0" borderId="2" xfId="0" applyNumberFormat="1" applyFont="1" applyBorder="1" applyAlignment="1">
      <alignment horizontal="center" vertical="center"/>
    </xf>
    <xf numFmtId="1" fontId="59" fillId="0" borderId="170" xfId="0" applyNumberFormat="1" applyFont="1" applyBorder="1" applyAlignment="1">
      <alignment horizontal="center" vertical="center"/>
    </xf>
    <xf numFmtId="1" fontId="8" fillId="0" borderId="172" xfId="0" applyNumberFormat="1" applyFont="1" applyBorder="1" applyAlignment="1">
      <alignment horizontal="center" vertical="center"/>
    </xf>
    <xf numFmtId="10" fontId="71" fillId="35" borderId="109" xfId="26" applyNumberFormat="1" applyFont="1" applyFill="1" applyBorder="1"/>
    <xf numFmtId="173" fontId="8" fillId="0" borderId="109" xfId="26" applyNumberFormat="1" applyBorder="1"/>
    <xf numFmtId="167" fontId="54" fillId="0" borderId="0" xfId="16" applyNumberFormat="1" applyFont="1"/>
    <xf numFmtId="3" fontId="69" fillId="38" borderId="150" xfId="0" quotePrefix="1" applyNumberFormat="1" applyFont="1" applyFill="1" applyBorder="1" applyAlignment="1">
      <alignment horizontal="center" vertical="center"/>
    </xf>
    <xf numFmtId="3" fontId="69" fillId="38" borderId="46" xfId="0" quotePrefix="1" applyNumberFormat="1" applyFont="1" applyFill="1" applyBorder="1" applyAlignment="1">
      <alignment horizontal="center" vertical="center"/>
    </xf>
    <xf numFmtId="3" fontId="69" fillId="38" borderId="44" xfId="0" quotePrefix="1" applyNumberFormat="1" applyFont="1" applyFill="1" applyBorder="1" applyAlignment="1">
      <alignment horizontal="center" vertical="center"/>
    </xf>
    <xf numFmtId="3" fontId="25" fillId="38" borderId="150" xfId="0" applyNumberFormat="1" applyFont="1" applyFill="1" applyBorder="1" applyAlignment="1">
      <alignment horizontal="center" vertical="center"/>
    </xf>
    <xf numFmtId="3" fontId="25" fillId="38" borderId="46" xfId="0" applyNumberFormat="1" applyFont="1" applyFill="1" applyBorder="1" applyAlignment="1">
      <alignment horizontal="center" vertical="center"/>
    </xf>
    <xf numFmtId="3" fontId="25" fillId="38" borderId="44" xfId="0" applyNumberFormat="1" applyFont="1" applyFill="1" applyBorder="1" applyAlignment="1">
      <alignment horizontal="center" vertical="center"/>
    </xf>
    <xf numFmtId="0" fontId="69" fillId="38" borderId="150" xfId="0" applyFont="1" applyFill="1" applyBorder="1" applyAlignment="1">
      <alignment horizontal="center" vertical="center"/>
    </xf>
    <xf numFmtId="0" fontId="69" fillId="38" borderId="46" xfId="0" applyFont="1" applyFill="1" applyBorder="1" applyAlignment="1">
      <alignment horizontal="center" vertical="center"/>
    </xf>
    <xf numFmtId="0" fontId="69" fillId="38" borderId="44" xfId="0" applyFont="1" applyFill="1" applyBorder="1" applyAlignment="1">
      <alignment horizontal="center" vertical="center"/>
    </xf>
    <xf numFmtId="1" fontId="69" fillId="0" borderId="150" xfId="0" applyNumberFormat="1" applyFont="1" applyBorder="1" applyAlignment="1">
      <alignment horizontal="center" vertical="center"/>
    </xf>
    <xf numFmtId="1" fontId="25" fillId="0" borderId="150" xfId="0" applyNumberFormat="1" applyFont="1" applyBorder="1" applyAlignment="1">
      <alignment horizontal="center" vertical="center"/>
    </xf>
    <xf numFmtId="1" fontId="25" fillId="0" borderId="46" xfId="0" applyNumberFormat="1" applyFont="1" applyBorder="1" applyAlignment="1">
      <alignment horizontal="center" vertical="center"/>
    </xf>
    <xf numFmtId="1" fontId="25" fillId="0" borderId="141" xfId="0" applyNumberFormat="1" applyFont="1" applyBorder="1" applyAlignment="1">
      <alignment horizontal="center" vertical="center"/>
    </xf>
    <xf numFmtId="1" fontId="69" fillId="0" borderId="46" xfId="0" applyNumberFormat="1" applyFont="1" applyBorder="1" applyAlignment="1">
      <alignment horizontal="center" vertical="center"/>
    </xf>
    <xf numFmtId="1" fontId="69" fillId="0" borderId="141" xfId="0" applyNumberFormat="1" applyFont="1" applyBorder="1" applyAlignment="1">
      <alignment horizontal="center" vertical="center"/>
    </xf>
    <xf numFmtId="1" fontId="8" fillId="0" borderId="3" xfId="0" applyNumberFormat="1" applyFont="1" applyBorder="1" applyAlignment="1">
      <alignment horizontal="center" vertical="center"/>
    </xf>
    <xf numFmtId="1" fontId="8" fillId="0" borderId="34" xfId="0" applyNumberFormat="1" applyFont="1" applyBorder="1" applyAlignment="1">
      <alignment horizontal="center" vertical="center"/>
    </xf>
    <xf numFmtId="1" fontId="8" fillId="0" borderId="177" xfId="0" applyNumberFormat="1" applyFont="1" applyBorder="1" applyAlignment="1">
      <alignment horizontal="center" vertical="center"/>
    </xf>
    <xf numFmtId="0" fontId="66" fillId="0" borderId="0" xfId="0" applyFont="1" applyAlignment="1">
      <alignment horizontal="center"/>
    </xf>
    <xf numFmtId="1" fontId="66" fillId="0" borderId="0" xfId="0" applyNumberFormat="1" applyFont="1" applyAlignment="1">
      <alignment horizontal="center"/>
    </xf>
    <xf numFmtId="1" fontId="72" fillId="0" borderId="0" xfId="0" applyNumberFormat="1" applyFont="1" applyAlignment="1">
      <alignment horizontal="left"/>
    </xf>
    <xf numFmtId="0" fontId="8" fillId="0" borderId="0" xfId="26" applyAlignment="1">
      <alignment vertical="center" wrapText="1"/>
    </xf>
    <xf numFmtId="3" fontId="52" fillId="34" borderId="111" xfId="5" applyFont="1" applyFill="1" applyBorder="1" applyAlignment="1">
      <alignment horizontal="right" vertical="center" wrapText="1"/>
    </xf>
    <xf numFmtId="4" fontId="8" fillId="34" borderId="111" xfId="7" applyFont="1" applyFill="1" applyBorder="1" applyAlignment="1">
      <alignment horizontal="right" vertical="center" wrapText="1"/>
    </xf>
    <xf numFmtId="4" fontId="32" fillId="0" borderId="109" xfId="7" applyFont="1" applyFill="1" applyBorder="1" applyAlignment="1">
      <alignment horizontal="right" vertical="center" wrapText="1"/>
    </xf>
    <xf numFmtId="0" fontId="8" fillId="0" borderId="109" xfId="10" applyFont="1" applyFill="1" applyBorder="1" applyAlignment="1">
      <alignment horizontal="right" vertical="center" wrapText="1"/>
    </xf>
    <xf numFmtId="0" fontId="20" fillId="0" borderId="0" xfId="8" applyFill="1" applyBorder="1" applyAlignment="1">
      <alignment wrapText="1"/>
    </xf>
    <xf numFmtId="0" fontId="8" fillId="0" borderId="0" xfId="26" applyAlignment="1">
      <alignment wrapText="1"/>
    </xf>
    <xf numFmtId="0" fontId="0" fillId="0" borderId="0" xfId="0" applyAlignment="1">
      <alignment wrapText="1"/>
    </xf>
    <xf numFmtId="9" fontId="0" fillId="8" borderId="23" xfId="16" applyFont="1" applyFill="1" applyBorder="1" applyAlignment="1">
      <alignment horizontal="center"/>
    </xf>
    <xf numFmtId="0" fontId="0" fillId="0" borderId="0" xfId="26" applyFont="1"/>
    <xf numFmtId="2" fontId="8" fillId="0" borderId="0" xfId="26" applyNumberFormat="1"/>
    <xf numFmtId="2" fontId="0" fillId="0" borderId="0" xfId="26" applyNumberFormat="1" applyFont="1"/>
    <xf numFmtId="0" fontId="59" fillId="0" borderId="0" xfId="0" applyFont="1"/>
    <xf numFmtId="0" fontId="59" fillId="0" borderId="0" xfId="0" applyFont="1" applyAlignment="1">
      <alignment horizontal="center"/>
    </xf>
    <xf numFmtId="166" fontId="8" fillId="0" borderId="0" xfId="0" applyNumberFormat="1" applyFont="1"/>
    <xf numFmtId="165" fontId="8" fillId="0" borderId="0" xfId="0" applyNumberFormat="1" applyFont="1"/>
    <xf numFmtId="166" fontId="26" fillId="0" borderId="0" xfId="0" applyNumberFormat="1" applyFont="1"/>
    <xf numFmtId="167" fontId="8" fillId="24" borderId="19" xfId="16" applyNumberFormat="1" applyFont="1" applyFill="1" applyBorder="1" applyAlignment="1">
      <alignment horizontal="center"/>
    </xf>
    <xf numFmtId="172" fontId="34" fillId="24" borderId="97" xfId="0" applyNumberFormat="1" applyFont="1" applyFill="1" applyBorder="1" applyAlignment="1">
      <alignment horizontal="center"/>
    </xf>
    <xf numFmtId="0" fontId="47" fillId="9" borderId="73" xfId="0" applyFont="1" applyFill="1" applyBorder="1" applyAlignment="1">
      <alignment horizontal="center" vertical="center"/>
    </xf>
    <xf numFmtId="0" fontId="47" fillId="31" borderId="73" xfId="0" applyFont="1" applyFill="1" applyBorder="1" applyAlignment="1">
      <alignment horizontal="center" vertical="center"/>
    </xf>
    <xf numFmtId="4" fontId="25" fillId="9" borderId="109" xfId="7" applyFont="1" applyFill="1" applyBorder="1" applyAlignment="1">
      <alignment horizontal="right" vertical="center"/>
    </xf>
    <xf numFmtId="0" fontId="8" fillId="12" borderId="109" xfId="10" applyFont="1" applyFill="1" applyBorder="1" applyAlignment="1">
      <alignment horizontal="right" vertical="center"/>
    </xf>
    <xf numFmtId="0" fontId="47" fillId="5" borderId="135" xfId="0" applyFont="1" applyFill="1" applyBorder="1" applyAlignment="1">
      <alignment horizontal="center"/>
    </xf>
    <xf numFmtId="0" fontId="27" fillId="32" borderId="10" xfId="0" applyFont="1" applyFill="1" applyBorder="1" applyAlignment="1">
      <alignment horizontal="center"/>
    </xf>
    <xf numFmtId="0" fontId="0" fillId="8" borderId="183" xfId="0" applyFill="1" applyBorder="1" applyAlignment="1">
      <alignment vertical="center" wrapText="1"/>
    </xf>
    <xf numFmtId="0" fontId="0" fillId="8" borderId="180" xfId="0" applyFill="1" applyBorder="1" applyAlignment="1">
      <alignment vertical="center" wrapText="1"/>
    </xf>
    <xf numFmtId="0" fontId="47" fillId="5" borderId="120" xfId="0" applyFont="1" applyFill="1" applyBorder="1" applyAlignment="1">
      <alignment horizontal="center"/>
    </xf>
    <xf numFmtId="0" fontId="27" fillId="32" borderId="183" xfId="0" applyFont="1" applyFill="1" applyBorder="1" applyAlignment="1">
      <alignment horizontal="center"/>
    </xf>
    <xf numFmtId="0" fontId="13" fillId="17" borderId="99" xfId="0" applyFont="1" applyFill="1" applyBorder="1" applyAlignment="1">
      <alignment horizontal="left" vertical="center"/>
    </xf>
    <xf numFmtId="172" fontId="0" fillId="17" borderId="96" xfId="0" applyNumberFormat="1" applyFill="1" applyBorder="1" applyAlignment="1">
      <alignment horizontal="center"/>
    </xf>
    <xf numFmtId="0" fontId="13" fillId="17" borderId="100" xfId="0" applyFont="1" applyFill="1" applyBorder="1" applyAlignment="1">
      <alignment horizontal="left" vertical="center"/>
    </xf>
    <xf numFmtId="9" fontId="0" fillId="17" borderId="97" xfId="16" applyFont="1" applyFill="1" applyBorder="1" applyAlignment="1">
      <alignment horizontal="center"/>
    </xf>
    <xf numFmtId="9" fontId="8" fillId="17" borderId="96" xfId="16" applyFont="1" applyFill="1" applyBorder="1" applyAlignment="1">
      <alignment horizontal="center"/>
    </xf>
    <xf numFmtId="2" fontId="0" fillId="17" borderId="97" xfId="0" applyNumberFormat="1" applyFill="1" applyBorder="1" applyAlignment="1">
      <alignment horizontal="center"/>
    </xf>
    <xf numFmtId="0" fontId="13" fillId="17" borderId="98" xfId="0" applyFont="1" applyFill="1" applyBorder="1" applyAlignment="1">
      <alignment horizontal="left" vertical="center"/>
    </xf>
    <xf numFmtId="2" fontId="0" fillId="17" borderId="95" xfId="0" applyNumberFormat="1" applyFill="1" applyBorder="1" applyAlignment="1">
      <alignment horizontal="center"/>
    </xf>
    <xf numFmtId="2" fontId="8" fillId="17" borderId="97" xfId="0" applyNumberFormat="1" applyFont="1" applyFill="1" applyBorder="1" applyAlignment="1">
      <alignment horizontal="center"/>
    </xf>
    <xf numFmtId="168" fontId="0" fillId="17" borderId="97" xfId="0" applyNumberFormat="1" applyFill="1" applyBorder="1" applyAlignment="1">
      <alignment horizontal="center"/>
    </xf>
    <xf numFmtId="9" fontId="0" fillId="0" borderId="95" xfId="16" applyFont="1" applyFill="1" applyBorder="1" applyAlignment="1">
      <alignment horizontal="center"/>
    </xf>
    <xf numFmtId="0" fontId="13" fillId="0" borderId="100" xfId="0" applyFont="1" applyBorder="1" applyAlignment="1">
      <alignment horizontal="left" vertical="center"/>
    </xf>
    <xf numFmtId="9" fontId="0" fillId="0" borderId="97" xfId="16" applyFont="1" applyFill="1" applyBorder="1" applyAlignment="1">
      <alignment horizontal="center"/>
    </xf>
    <xf numFmtId="2" fontId="0" fillId="0" borderId="95" xfId="0" applyNumberFormat="1" applyBorder="1" applyAlignment="1">
      <alignment horizontal="center"/>
    </xf>
    <xf numFmtId="0" fontId="13" fillId="0" borderId="99" xfId="0" applyFont="1" applyBorder="1" applyAlignment="1">
      <alignment horizontal="left" vertical="center"/>
    </xf>
    <xf numFmtId="2" fontId="0" fillId="0" borderId="97" xfId="0" applyNumberFormat="1" applyBorder="1" applyAlignment="1">
      <alignment horizontal="center"/>
    </xf>
    <xf numFmtId="2" fontId="0" fillId="17" borderId="96" xfId="0" applyNumberFormat="1" applyFill="1" applyBorder="1" applyAlignment="1">
      <alignment horizontal="center"/>
    </xf>
    <xf numFmtId="0" fontId="14" fillId="17" borderId="100" xfId="0" applyFont="1" applyFill="1" applyBorder="1" applyAlignment="1">
      <alignment horizontal="left" vertical="center"/>
    </xf>
    <xf numFmtId="2" fontId="0" fillId="17" borderId="97" xfId="16" applyNumberFormat="1" applyFont="1" applyFill="1" applyBorder="1" applyAlignment="1">
      <alignment horizontal="center"/>
    </xf>
    <xf numFmtId="175" fontId="0" fillId="17" borderId="97" xfId="0" applyNumberFormat="1" applyFill="1" applyBorder="1" applyAlignment="1">
      <alignment horizontal="center"/>
    </xf>
    <xf numFmtId="0" fontId="13" fillId="0" borderId="102" xfId="0" applyFont="1" applyBorder="1" applyAlignment="1">
      <alignment horizontal="left" vertical="center"/>
    </xf>
    <xf numFmtId="9" fontId="0" fillId="0" borderId="103" xfId="16" applyFont="1" applyFill="1" applyBorder="1" applyAlignment="1">
      <alignment horizontal="center"/>
    </xf>
    <xf numFmtId="10" fontId="0" fillId="0" borderId="96" xfId="16" applyNumberFormat="1" applyFont="1" applyFill="1" applyBorder="1" applyAlignment="1">
      <alignment horizontal="center"/>
    </xf>
    <xf numFmtId="168" fontId="0" fillId="0" borderId="96" xfId="0" applyNumberFormat="1" applyBorder="1" applyAlignment="1">
      <alignment horizontal="center"/>
    </xf>
    <xf numFmtId="168" fontId="0" fillId="0" borderId="95" xfId="0" applyNumberFormat="1" applyBorder="1" applyAlignment="1">
      <alignment horizontal="center"/>
    </xf>
    <xf numFmtId="168" fontId="0" fillId="0" borderId="97" xfId="0" applyNumberFormat="1" applyBorder="1" applyAlignment="1">
      <alignment horizontal="center"/>
    </xf>
    <xf numFmtId="167" fontId="0" fillId="0" borderId="95" xfId="16" applyNumberFormat="1" applyFont="1" applyFill="1" applyBorder="1" applyAlignment="1">
      <alignment horizontal="center"/>
    </xf>
    <xf numFmtId="172" fontId="26" fillId="18" borderId="193" xfId="0" applyNumberFormat="1" applyFont="1" applyFill="1" applyBorder="1" applyAlignment="1">
      <alignment horizontal="center"/>
    </xf>
    <xf numFmtId="9" fontId="26" fillId="18" borderId="193" xfId="16" applyFont="1" applyFill="1" applyBorder="1" applyAlignment="1">
      <alignment horizontal="center"/>
    </xf>
    <xf numFmtId="9" fontId="26" fillId="18" borderId="101" xfId="16" applyFont="1" applyFill="1" applyBorder="1" applyAlignment="1">
      <alignment horizontal="center"/>
    </xf>
    <xf numFmtId="2" fontId="26" fillId="18" borderId="193" xfId="0" applyNumberFormat="1" applyFont="1" applyFill="1" applyBorder="1" applyAlignment="1">
      <alignment horizontal="center"/>
    </xf>
    <xf numFmtId="0" fontId="13" fillId="0" borderId="90" xfId="0" applyFont="1" applyBorder="1" applyAlignment="1">
      <alignment horizontal="left"/>
    </xf>
    <xf numFmtId="3" fontId="54" fillId="0" borderId="139" xfId="0" applyNumberFormat="1" applyFont="1" applyBorder="1" applyAlignment="1">
      <alignment horizontal="center" vertical="center"/>
    </xf>
    <xf numFmtId="3" fontId="54" fillId="8" borderId="140" xfId="0" applyNumberFormat="1" applyFont="1" applyFill="1" applyBorder="1" applyAlignment="1">
      <alignment horizontal="center" vertical="center"/>
    </xf>
    <xf numFmtId="0" fontId="54" fillId="0" borderId="195" xfId="0" applyFont="1" applyBorder="1"/>
    <xf numFmtId="4" fontId="5" fillId="0" borderId="196" xfId="29" applyNumberFormat="1" applyBorder="1" applyAlignment="1">
      <alignment horizontal="center"/>
    </xf>
    <xf numFmtId="0" fontId="54" fillId="0" borderId="43" xfId="0" applyFont="1" applyBorder="1"/>
    <xf numFmtId="10" fontId="5" fillId="0" borderId="0" xfId="29" quotePrefix="1" applyNumberFormat="1" applyAlignment="1">
      <alignment horizontal="right"/>
    </xf>
    <xf numFmtId="0" fontId="59" fillId="0" borderId="141" xfId="0" applyFont="1" applyBorder="1" applyAlignment="1">
      <alignment horizontal="center" vertical="center"/>
    </xf>
    <xf numFmtId="3" fontId="59" fillId="40" borderId="141" xfId="0" applyNumberFormat="1" applyFont="1" applyFill="1" applyBorder="1" applyAlignment="1">
      <alignment horizontal="center" vertical="center"/>
    </xf>
    <xf numFmtId="0" fontId="59" fillId="41" borderId="141" xfId="0" applyFont="1" applyFill="1" applyBorder="1" applyAlignment="1">
      <alignment horizontal="center" vertical="center"/>
    </xf>
    <xf numFmtId="3" fontId="59" fillId="40" borderId="141" xfId="0" quotePrefix="1" applyNumberFormat="1" applyFont="1" applyFill="1" applyBorder="1" applyAlignment="1">
      <alignment horizontal="center" vertical="center"/>
    </xf>
    <xf numFmtId="3" fontId="59" fillId="0" borderId="141" xfId="0" applyNumberFormat="1" applyFont="1" applyBorder="1" applyAlignment="1">
      <alignment horizontal="center" vertical="center"/>
    </xf>
    <xf numFmtId="3" fontId="59" fillId="41" borderId="177" xfId="0" applyNumberFormat="1" applyFont="1" applyFill="1" applyBorder="1" applyAlignment="1">
      <alignment horizontal="center" vertical="center"/>
    </xf>
    <xf numFmtId="1" fontId="54" fillId="40" borderId="197" xfId="0" applyNumberFormat="1" applyFont="1" applyFill="1" applyBorder="1" applyAlignment="1">
      <alignment horizontal="center" vertical="center"/>
    </xf>
    <xf numFmtId="1" fontId="54" fillId="40" borderId="34" xfId="0" applyNumberFormat="1" applyFont="1" applyFill="1" applyBorder="1" applyAlignment="1">
      <alignment horizontal="center" vertical="center"/>
    </xf>
    <xf numFmtId="1" fontId="0" fillId="0" borderId="172" xfId="0" applyNumberFormat="1" applyBorder="1" applyAlignment="1">
      <alignment horizontal="center" vertical="center"/>
    </xf>
    <xf numFmtId="1" fontId="0" fillId="0" borderId="3" xfId="0" applyNumberFormat="1" applyBorder="1" applyAlignment="1">
      <alignment horizontal="center" vertical="center"/>
    </xf>
    <xf numFmtId="1" fontId="0" fillId="0" borderId="177" xfId="0" applyNumberFormat="1" applyBorder="1" applyAlignment="1">
      <alignment horizontal="center" vertical="center"/>
    </xf>
    <xf numFmtId="1" fontId="0" fillId="0" borderId="35" xfId="0" applyNumberFormat="1" applyBorder="1" applyAlignment="1">
      <alignment horizontal="center" vertical="center"/>
    </xf>
    <xf numFmtId="0" fontId="54" fillId="0" borderId="140" xfId="0" applyFont="1" applyBorder="1" applyAlignment="1">
      <alignment horizontal="center" vertical="center"/>
    </xf>
    <xf numFmtId="1" fontId="54" fillId="0" borderId="139" xfId="0" applyNumberFormat="1" applyFont="1" applyBorder="1" applyAlignment="1">
      <alignment horizontal="center" vertical="center"/>
    </xf>
    <xf numFmtId="1" fontId="54" fillId="0" borderId="2" xfId="0" applyNumberFormat="1" applyFont="1" applyBorder="1" applyAlignment="1">
      <alignment horizontal="center" vertical="center"/>
    </xf>
    <xf numFmtId="1" fontId="54" fillId="0" borderId="170" xfId="0" applyNumberFormat="1" applyFont="1" applyBorder="1" applyAlignment="1">
      <alignment horizontal="center" vertical="center"/>
    </xf>
    <xf numFmtId="4" fontId="5" fillId="0" borderId="177" xfId="29" applyNumberFormat="1" applyBorder="1" applyAlignment="1">
      <alignment horizontal="center"/>
    </xf>
    <xf numFmtId="4" fontId="5" fillId="0" borderId="172" xfId="29" applyNumberFormat="1" applyBorder="1" applyAlignment="1">
      <alignment horizontal="center"/>
    </xf>
    <xf numFmtId="4" fontId="5" fillId="0" borderId="3" xfId="29" applyNumberFormat="1" applyBorder="1" applyAlignment="1">
      <alignment horizontal="center"/>
    </xf>
    <xf numFmtId="0" fontId="27" fillId="0" borderId="0" xfId="26" applyFont="1" applyAlignment="1">
      <alignment horizontal="center" vertical="center"/>
    </xf>
    <xf numFmtId="4" fontId="25" fillId="0" borderId="0" xfId="7" applyFont="1" applyFill="1" applyBorder="1">
      <alignment horizontal="right"/>
    </xf>
    <xf numFmtId="0" fontId="47" fillId="31" borderId="66" xfId="0" applyFont="1" applyFill="1" applyBorder="1" applyAlignment="1">
      <alignment horizontal="left" vertical="center"/>
    </xf>
    <xf numFmtId="10" fontId="0" fillId="0" borderId="51" xfId="0" applyNumberFormat="1" applyBorder="1" applyAlignment="1">
      <alignment horizontal="center" vertical="center"/>
    </xf>
    <xf numFmtId="0" fontId="13" fillId="8" borderId="102" xfId="0" applyFont="1" applyFill="1" applyBorder="1" applyAlignment="1">
      <alignment horizontal="left" vertical="center"/>
    </xf>
    <xf numFmtId="10" fontId="0" fillId="8" borderId="103" xfId="16" applyNumberFormat="1" applyFont="1" applyFill="1" applyBorder="1" applyAlignment="1">
      <alignment horizontal="center" vertical="center"/>
    </xf>
    <xf numFmtId="10" fontId="0" fillId="8" borderId="104" xfId="16" applyNumberFormat="1" applyFont="1" applyFill="1" applyBorder="1" applyAlignment="1">
      <alignment horizontal="center" vertical="center"/>
    </xf>
    <xf numFmtId="0" fontId="47" fillId="0" borderId="0" xfId="0" applyFont="1" applyAlignment="1">
      <alignment horizontal="left" vertical="center"/>
    </xf>
    <xf numFmtId="10" fontId="0" fillId="0" borderId="0" xfId="16" applyNumberFormat="1" applyFont="1" applyFill="1" applyBorder="1" applyAlignment="1">
      <alignment horizontal="center" vertical="center"/>
    </xf>
    <xf numFmtId="0" fontId="58" fillId="36" borderId="77" xfId="0" applyFont="1" applyFill="1" applyBorder="1" applyAlignment="1">
      <alignment horizontal="center" vertical="center"/>
    </xf>
    <xf numFmtId="172" fontId="0" fillId="0" borderId="193" xfId="0" applyNumberFormat="1" applyBorder="1" applyAlignment="1">
      <alignment horizontal="center"/>
    </xf>
    <xf numFmtId="172" fontId="0" fillId="17" borderId="194" xfId="0" applyNumberFormat="1" applyFill="1" applyBorder="1" applyAlignment="1">
      <alignment horizontal="center"/>
    </xf>
    <xf numFmtId="0" fontId="0" fillId="31" borderId="75" xfId="0" applyFill="1" applyBorder="1" applyAlignment="1">
      <alignment horizontal="center"/>
    </xf>
    <xf numFmtId="9" fontId="0" fillId="0" borderId="193" xfId="16" applyFont="1" applyFill="1" applyBorder="1" applyAlignment="1">
      <alignment horizontal="center"/>
    </xf>
    <xf numFmtId="9" fontId="0" fillId="17" borderId="101" xfId="16" applyFont="1" applyFill="1" applyBorder="1" applyAlignment="1">
      <alignment horizontal="center"/>
    </xf>
    <xf numFmtId="9" fontId="0" fillId="0" borderId="101" xfId="16" applyFont="1" applyFill="1" applyBorder="1" applyAlignment="1">
      <alignment horizontal="center"/>
    </xf>
    <xf numFmtId="9" fontId="0" fillId="17" borderId="194" xfId="16" applyFont="1" applyFill="1" applyBorder="1" applyAlignment="1">
      <alignment horizontal="center"/>
    </xf>
    <xf numFmtId="2" fontId="0" fillId="0" borderId="193" xfId="0" applyNumberFormat="1" applyBorder="1" applyAlignment="1">
      <alignment horizontal="center"/>
    </xf>
    <xf numFmtId="2" fontId="0" fillId="17" borderId="101" xfId="0" applyNumberFormat="1" applyFill="1" applyBorder="1" applyAlignment="1">
      <alignment horizontal="center"/>
    </xf>
    <xf numFmtId="2" fontId="0" fillId="17" borderId="193" xfId="0" applyNumberFormat="1" applyFill="1" applyBorder="1" applyAlignment="1">
      <alignment horizontal="center"/>
    </xf>
    <xf numFmtId="2" fontId="0" fillId="0" borderId="101" xfId="0" applyNumberFormat="1" applyBorder="1" applyAlignment="1">
      <alignment horizontal="center"/>
    </xf>
    <xf numFmtId="2" fontId="0" fillId="17" borderId="194" xfId="0" applyNumberFormat="1" applyFill="1" applyBorder="1" applyAlignment="1">
      <alignment horizontal="center"/>
    </xf>
    <xf numFmtId="168" fontId="0" fillId="0" borderId="193" xfId="0" applyNumberFormat="1" applyBorder="1" applyAlignment="1">
      <alignment horizontal="center"/>
    </xf>
    <xf numFmtId="168" fontId="0" fillId="17" borderId="101" xfId="0" applyNumberFormat="1" applyFill="1" applyBorder="1" applyAlignment="1">
      <alignment horizontal="center"/>
    </xf>
    <xf numFmtId="168" fontId="0" fillId="0" borderId="101" xfId="0" applyNumberFormat="1" applyBorder="1" applyAlignment="1">
      <alignment horizontal="center"/>
    </xf>
    <xf numFmtId="168" fontId="0" fillId="0" borderId="194" xfId="0" applyNumberFormat="1" applyBorder="1" applyAlignment="1">
      <alignment horizontal="center"/>
    </xf>
    <xf numFmtId="167" fontId="0" fillId="0" borderId="193" xfId="16" applyNumberFormat="1" applyFont="1" applyFill="1" applyBorder="1" applyAlignment="1">
      <alignment horizontal="center"/>
    </xf>
    <xf numFmtId="2" fontId="0" fillId="17" borderId="101" xfId="16" applyNumberFormat="1" applyFont="1" applyFill="1" applyBorder="1" applyAlignment="1">
      <alignment horizontal="center"/>
    </xf>
    <xf numFmtId="10" fontId="0" fillId="0" borderId="194" xfId="16" applyNumberFormat="1" applyFont="1" applyFill="1" applyBorder="1" applyAlignment="1">
      <alignment horizontal="center"/>
    </xf>
    <xf numFmtId="10" fontId="0" fillId="17" borderId="101" xfId="16" applyNumberFormat="1" applyFont="1" applyFill="1" applyBorder="1" applyAlignment="1">
      <alignment horizontal="center" vertical="center"/>
    </xf>
    <xf numFmtId="175" fontId="0" fillId="8" borderId="101" xfId="0" applyNumberFormat="1" applyFill="1" applyBorder="1" applyAlignment="1">
      <alignment horizontal="right" vertical="center"/>
    </xf>
    <xf numFmtId="175" fontId="0" fillId="17" borderId="101" xfId="0" applyNumberFormat="1" applyFill="1" applyBorder="1" applyAlignment="1">
      <alignment horizontal="center"/>
    </xf>
    <xf numFmtId="9" fontId="0" fillId="0" borderId="104" xfId="16" applyFont="1" applyFill="1" applyBorder="1" applyAlignment="1">
      <alignment horizontal="center"/>
    </xf>
    <xf numFmtId="0" fontId="74" fillId="36" borderId="75" xfId="0" applyFont="1" applyFill="1" applyBorder="1" applyAlignment="1">
      <alignment horizontal="center" vertical="center" wrapText="1"/>
    </xf>
    <xf numFmtId="9" fontId="0" fillId="0" borderId="0" xfId="16" applyFont="1" applyBorder="1" applyAlignment="1">
      <alignment horizontal="center" vertical="center"/>
    </xf>
    <xf numFmtId="0" fontId="27" fillId="5" borderId="201" xfId="26" applyFont="1" applyFill="1" applyBorder="1" applyAlignment="1">
      <alignment horizontal="center" vertical="center"/>
    </xf>
    <xf numFmtId="4" fontId="25" fillId="28" borderId="202" xfId="7" applyFont="1" applyFill="1" applyBorder="1">
      <alignment horizontal="right"/>
    </xf>
    <xf numFmtId="4" fontId="8" fillId="12" borderId="202" xfId="7" applyFont="1" applyFill="1" applyBorder="1">
      <alignment horizontal="right"/>
    </xf>
    <xf numFmtId="4" fontId="32" fillId="9" borderId="203" xfId="7" applyFont="1" applyFill="1" applyBorder="1">
      <alignment horizontal="right"/>
    </xf>
    <xf numFmtId="0" fontId="58" fillId="36" borderId="0" xfId="24" applyFont="1" applyFill="1"/>
    <xf numFmtId="0" fontId="75" fillId="36" borderId="0" xfId="24" applyFont="1" applyFill="1" applyAlignment="1">
      <alignment horizontal="left" vertical="center"/>
    </xf>
    <xf numFmtId="0" fontId="75" fillId="36" borderId="0" xfId="24" applyFont="1" applyFill="1" applyAlignment="1">
      <alignment horizontal="center" vertical="center"/>
    </xf>
    <xf numFmtId="0" fontId="8" fillId="31" borderId="0" xfId="24" applyFill="1"/>
    <xf numFmtId="0" fontId="8" fillId="0" borderId="0" xfId="24"/>
    <xf numFmtId="10" fontId="0" fillId="0" borderId="0" xfId="16" applyNumberFormat="1" applyFont="1" applyAlignment="1">
      <alignment horizontal="left"/>
    </xf>
    <xf numFmtId="0" fontId="13" fillId="0" borderId="0" xfId="24" applyFont="1"/>
    <xf numFmtId="0" fontId="8" fillId="8" borderId="0" xfId="24" applyFill="1"/>
    <xf numFmtId="0" fontId="38" fillId="0" borderId="0" xfId="24" applyFont="1"/>
    <xf numFmtId="10" fontId="8" fillId="8" borderId="0" xfId="24" applyNumberFormat="1" applyFill="1"/>
    <xf numFmtId="0" fontId="8" fillId="0" borderId="0" xfId="24" applyAlignment="1">
      <alignment horizontal="left"/>
    </xf>
    <xf numFmtId="0" fontId="13" fillId="0" borderId="0" xfId="24" applyFont="1" applyAlignment="1">
      <alignment horizontal="center"/>
    </xf>
    <xf numFmtId="10" fontId="76" fillId="0" borderId="0" xfId="24" applyNumberFormat="1" applyFont="1" applyAlignment="1">
      <alignment horizontal="center"/>
    </xf>
    <xf numFmtId="10" fontId="8" fillId="0" borderId="0" xfId="24" applyNumberFormat="1"/>
    <xf numFmtId="167" fontId="0" fillId="0" borderId="0" xfId="16" applyNumberFormat="1" applyFont="1"/>
    <xf numFmtId="0" fontId="76" fillId="0" borderId="0" xfId="24" applyFont="1"/>
    <xf numFmtId="0" fontId="50" fillId="31" borderId="0" xfId="24" applyFont="1" applyFill="1"/>
    <xf numFmtId="167" fontId="38" fillId="0" borderId="0" xfId="24" applyNumberFormat="1" applyFont="1"/>
    <xf numFmtId="0" fontId="0" fillId="7" borderId="0" xfId="0" applyFill="1"/>
    <xf numFmtId="0" fontId="27" fillId="32" borderId="212" xfId="0" applyFont="1" applyFill="1" applyBorder="1" applyAlignment="1">
      <alignment horizontal="center"/>
    </xf>
    <xf numFmtId="0" fontId="13" fillId="0" borderId="212" xfId="0" applyFont="1" applyBorder="1" applyAlignment="1">
      <alignment horizontal="center"/>
    </xf>
    <xf numFmtId="0" fontId="0" fillId="0" borderId="212" xfId="0" applyBorder="1" applyAlignment="1">
      <alignment horizontal="center"/>
    </xf>
    <xf numFmtId="0" fontId="27" fillId="10" borderId="66" xfId="0" applyFont="1" applyFill="1" applyBorder="1" applyAlignment="1">
      <alignment horizontal="center" vertical="center" wrapText="1"/>
    </xf>
    <xf numFmtId="0" fontId="27" fillId="11" borderId="66" xfId="0" applyFont="1" applyFill="1" applyBorder="1" applyAlignment="1">
      <alignment horizontal="center" vertical="center" wrapText="1"/>
    </xf>
    <xf numFmtId="0" fontId="48" fillId="15" borderId="66" xfId="0" applyFont="1" applyFill="1" applyBorder="1" applyAlignment="1">
      <alignment horizontal="center" vertical="center" wrapText="1"/>
    </xf>
    <xf numFmtId="0" fontId="27" fillId="23" borderId="66" xfId="0" applyFont="1" applyFill="1" applyBorder="1" applyAlignment="1">
      <alignment horizontal="center" vertical="center" wrapText="1"/>
    </xf>
    <xf numFmtId="0" fontId="27" fillId="16" borderId="66" xfId="0" applyFont="1" applyFill="1" applyBorder="1" applyAlignment="1">
      <alignment horizontal="center" vertical="center" wrapText="1"/>
    </xf>
    <xf numFmtId="0" fontId="57" fillId="0" borderId="0" xfId="24" applyFont="1" applyAlignment="1">
      <alignment horizontal="center"/>
    </xf>
    <xf numFmtId="0" fontId="8" fillId="24" borderId="0" xfId="0" applyFont="1" applyFill="1" applyAlignment="1">
      <alignment horizontal="center" vertical="center"/>
    </xf>
    <xf numFmtId="176" fontId="77" fillId="46" borderId="0" xfId="16" applyNumberFormat="1" applyFont="1" applyFill="1" applyBorder="1" applyAlignment="1">
      <alignment horizontal="center"/>
    </xf>
    <xf numFmtId="0" fontId="58" fillId="0" borderId="0" xfId="24" applyFont="1"/>
    <xf numFmtId="0" fontId="75" fillId="0" borderId="0" xfId="24" applyFont="1" applyAlignment="1">
      <alignment horizontal="center" vertical="center"/>
    </xf>
    <xf numFmtId="0" fontId="76" fillId="0" borderId="0" xfId="0" applyFont="1" applyAlignment="1">
      <alignment horizontal="center"/>
    </xf>
    <xf numFmtId="0" fontId="8" fillId="8" borderId="0" xfId="24" applyFill="1" applyAlignment="1">
      <alignment horizontal="center" vertical="center"/>
    </xf>
    <xf numFmtId="0" fontId="13" fillId="8" borderId="0" xfId="24" applyFont="1" applyFill="1" applyAlignment="1">
      <alignment horizontal="center" vertical="center"/>
    </xf>
    <xf numFmtId="0" fontId="8" fillId="0" borderId="0" xfId="24" applyAlignment="1">
      <alignment horizontal="center" vertical="center"/>
    </xf>
    <xf numFmtId="0" fontId="79" fillId="5" borderId="109" xfId="4" applyFont="1" applyFill="1" applyBorder="1" applyAlignment="1">
      <alignment horizontal="center" vertical="center"/>
    </xf>
    <xf numFmtId="0" fontId="47" fillId="23" borderId="74" xfId="0" applyFont="1" applyFill="1" applyBorder="1" applyAlignment="1">
      <alignment horizontal="center" vertical="center" wrapText="1"/>
    </xf>
    <xf numFmtId="3" fontId="62" fillId="38" borderId="167" xfId="0" applyNumberFormat="1" applyFont="1" applyFill="1" applyBorder="1" applyAlignment="1">
      <alignment horizontal="center" vertical="center"/>
    </xf>
    <xf numFmtId="176" fontId="77" fillId="46" borderId="0" xfId="16" applyNumberFormat="1" applyFont="1" applyFill="1" applyAlignment="1">
      <alignment horizontal="center"/>
    </xf>
    <xf numFmtId="3" fontId="1" fillId="43" borderId="44" xfId="30" applyNumberFormat="1" applyFont="1" applyFill="1" applyBorder="1" applyAlignment="1">
      <alignment horizontal="center" vertical="center"/>
    </xf>
    <xf numFmtId="177" fontId="8" fillId="0" borderId="97" xfId="0" applyNumberFormat="1" applyFont="1" applyBorder="1" applyAlignment="1">
      <alignment horizontal="center"/>
    </xf>
    <xf numFmtId="9" fontId="8" fillId="0" borderId="106" xfId="16" applyFont="1" applyBorder="1" applyAlignment="1">
      <alignment horizontal="center" vertical="center"/>
    </xf>
    <xf numFmtId="9" fontId="8" fillId="17" borderId="97" xfId="16" applyFont="1" applyFill="1" applyBorder="1" applyAlignment="1">
      <alignment horizontal="center" vertical="center"/>
    </xf>
    <xf numFmtId="10" fontId="35" fillId="19" borderId="0" xfId="16" applyNumberFormat="1" applyFont="1" applyFill="1" applyAlignment="1">
      <alignment horizontal="center"/>
    </xf>
    <xf numFmtId="167" fontId="35" fillId="19" borderId="0" xfId="16" applyNumberFormat="1" applyFont="1" applyFill="1" applyAlignment="1">
      <alignment horizontal="center"/>
    </xf>
    <xf numFmtId="10" fontId="35" fillId="19" borderId="0" xfId="0" applyNumberFormat="1" applyFont="1" applyFill="1" applyAlignment="1">
      <alignment horizontal="center"/>
    </xf>
    <xf numFmtId="0" fontId="1" fillId="0" borderId="46" xfId="0" applyFont="1" applyBorder="1"/>
    <xf numFmtId="165" fontId="1" fillId="0" borderId="46" xfId="0" applyNumberFormat="1" applyFont="1" applyBorder="1" applyAlignment="1">
      <alignment horizontal="center"/>
    </xf>
    <xf numFmtId="165" fontId="1" fillId="0" borderId="0" xfId="0" applyNumberFormat="1" applyFont="1" applyAlignment="1">
      <alignment horizontal="center"/>
    </xf>
    <xf numFmtId="4" fontId="5" fillId="0" borderId="170" xfId="29" applyNumberFormat="1" applyBorder="1" applyAlignment="1">
      <alignment horizontal="center"/>
    </xf>
    <xf numFmtId="172" fontId="8" fillId="24" borderId="19" xfId="0" applyNumberFormat="1" applyFont="1" applyFill="1" applyBorder="1" applyAlignment="1">
      <alignment horizontal="center" vertical="center"/>
    </xf>
    <xf numFmtId="1" fontId="54" fillId="0" borderId="147" xfId="0" applyNumberFormat="1" applyFont="1" applyBorder="1" applyAlignment="1">
      <alignment horizontal="center" vertical="center"/>
    </xf>
    <xf numFmtId="1" fontId="54" fillId="0" borderId="148" xfId="0" applyNumberFormat="1" applyFont="1" applyBorder="1" applyAlignment="1">
      <alignment horizontal="center" vertical="center"/>
    </xf>
    <xf numFmtId="1" fontId="54" fillId="0" borderId="149" xfId="0" applyNumberFormat="1" applyFont="1" applyBorder="1" applyAlignment="1">
      <alignment horizontal="center" vertical="center"/>
    </xf>
    <xf numFmtId="4" fontId="5" fillId="0" borderId="151" xfId="29" applyNumberFormat="1" applyBorder="1" applyAlignment="1">
      <alignment horizontal="center"/>
    </xf>
    <xf numFmtId="4" fontId="5" fillId="0" borderId="164" xfId="29" applyNumberFormat="1" applyBorder="1" applyAlignment="1">
      <alignment horizontal="center"/>
    </xf>
    <xf numFmtId="4" fontId="5" fillId="0" borderId="165" xfId="29" applyNumberFormat="1" applyBorder="1" applyAlignment="1">
      <alignment horizontal="center"/>
    </xf>
    <xf numFmtId="0" fontId="54" fillId="0" borderId="0" xfId="0" applyFont="1" applyAlignment="1">
      <alignment horizontal="center" vertical="center"/>
    </xf>
    <xf numFmtId="0" fontId="8" fillId="0" borderId="0" xfId="24" applyAlignment="1">
      <alignment horizontal="center"/>
    </xf>
    <xf numFmtId="0" fontId="54" fillId="0" borderId="219" xfId="0" applyFont="1" applyBorder="1" applyAlignment="1">
      <alignment horizontal="center" vertical="center"/>
    </xf>
    <xf numFmtId="0" fontId="8" fillId="0" borderId="0" xfId="24" quotePrefix="1" applyAlignment="1">
      <alignment horizontal="center"/>
    </xf>
    <xf numFmtId="0" fontId="54" fillId="0" borderId="0" xfId="0" quotePrefix="1" applyFont="1" applyAlignment="1">
      <alignment horizontal="center" vertical="center"/>
    </xf>
    <xf numFmtId="2" fontId="8" fillId="0" borderId="0" xfId="24" applyNumberFormat="1" applyAlignment="1">
      <alignment horizontal="center" vertical="center"/>
    </xf>
    <xf numFmtId="2" fontId="8" fillId="0" borderId="0" xfId="24" applyNumberFormat="1" applyAlignment="1">
      <alignment horizontal="center"/>
    </xf>
    <xf numFmtId="0" fontId="65" fillId="0" borderId="46" xfId="29" applyFont="1" applyBorder="1"/>
    <xf numFmtId="166" fontId="13" fillId="0" borderId="224" xfId="0" applyNumberFormat="1" applyFont="1" applyBorder="1" applyAlignment="1">
      <alignment horizontal="center"/>
    </xf>
    <xf numFmtId="166" fontId="13" fillId="0" borderId="40" xfId="0" applyNumberFormat="1" applyFont="1" applyBorder="1" applyAlignment="1">
      <alignment horizontal="center"/>
    </xf>
    <xf numFmtId="166" fontId="13" fillId="0" borderId="225" xfId="0" applyNumberFormat="1" applyFont="1" applyBorder="1" applyAlignment="1">
      <alignment horizontal="center"/>
    </xf>
    <xf numFmtId="0" fontId="13" fillId="0" borderId="224" xfId="0" applyFont="1" applyBorder="1" applyAlignment="1">
      <alignment horizontal="center"/>
    </xf>
    <xf numFmtId="10" fontId="0" fillId="33" borderId="77" xfId="0" applyNumberFormat="1" applyFill="1" applyBorder="1"/>
    <xf numFmtId="166" fontId="0" fillId="0" borderId="227" xfId="0" applyNumberFormat="1" applyBorder="1" applyAlignment="1">
      <alignment horizontal="center"/>
    </xf>
    <xf numFmtId="10" fontId="8" fillId="0" borderId="106" xfId="16" applyNumberFormat="1" applyFont="1" applyBorder="1" applyAlignment="1">
      <alignment horizontal="center" vertical="center"/>
    </xf>
    <xf numFmtId="10" fontId="8" fillId="17" borderId="97" xfId="16" applyNumberFormat="1" applyFont="1" applyFill="1" applyBorder="1" applyAlignment="1">
      <alignment horizontal="center" vertical="center"/>
    </xf>
    <xf numFmtId="0" fontId="47" fillId="23" borderId="229" xfId="0" applyFont="1" applyFill="1" applyBorder="1" applyAlignment="1">
      <alignment horizontal="center" vertical="center" wrapText="1"/>
    </xf>
    <xf numFmtId="0" fontId="0" fillId="32" borderId="230" xfId="0" applyFill="1" applyBorder="1"/>
    <xf numFmtId="172" fontId="0" fillId="0" borderId="231" xfId="0" applyNumberFormat="1" applyBorder="1" applyAlignment="1">
      <alignment horizontal="center"/>
    </xf>
    <xf numFmtId="0" fontId="0" fillId="32" borderId="231" xfId="0" applyFill="1" applyBorder="1"/>
    <xf numFmtId="172" fontId="0" fillId="0" borderId="232" xfId="0" applyNumberFormat="1" applyBorder="1" applyAlignment="1">
      <alignment horizontal="center"/>
    </xf>
    <xf numFmtId="10" fontId="35" fillId="0" borderId="0" xfId="0" applyNumberFormat="1" applyFont="1"/>
    <xf numFmtId="10" fontId="76" fillId="0" borderId="0" xfId="16" applyNumberFormat="1" applyFont="1"/>
    <xf numFmtId="9" fontId="0" fillId="23" borderId="95" xfId="16" applyFont="1" applyFill="1" applyBorder="1" applyAlignment="1">
      <alignment horizontal="center"/>
    </xf>
    <xf numFmtId="9" fontId="0" fillId="23" borderId="97" xfId="16" applyFont="1" applyFill="1" applyBorder="1" applyAlignment="1">
      <alignment horizontal="center"/>
    </xf>
    <xf numFmtId="9" fontId="0" fillId="12" borderId="97" xfId="16" applyFont="1" applyFill="1" applyBorder="1" applyAlignment="1">
      <alignment horizontal="center"/>
    </xf>
    <xf numFmtId="9" fontId="0" fillId="23" borderId="103" xfId="16" applyFont="1" applyFill="1" applyBorder="1" applyAlignment="1">
      <alignment horizontal="center"/>
    </xf>
    <xf numFmtId="172" fontId="0" fillId="23" borderId="95" xfId="0" applyNumberFormat="1" applyFill="1" applyBorder="1" applyAlignment="1">
      <alignment horizontal="center"/>
    </xf>
    <xf numFmtId="172" fontId="0" fillId="23" borderId="96" xfId="0" applyNumberFormat="1" applyFill="1" applyBorder="1" applyAlignment="1">
      <alignment horizontal="center"/>
    </xf>
    <xf numFmtId="2" fontId="0" fillId="23" borderId="95" xfId="0" applyNumberFormat="1" applyFill="1" applyBorder="1" applyAlignment="1">
      <alignment horizontal="center"/>
    </xf>
    <xf numFmtId="2" fontId="0" fillId="12" borderId="95" xfId="0" applyNumberFormat="1" applyFill="1" applyBorder="1" applyAlignment="1">
      <alignment horizontal="center"/>
    </xf>
    <xf numFmtId="9" fontId="13" fillId="8" borderId="26" xfId="16" applyFont="1" applyFill="1" applyBorder="1" applyAlignment="1">
      <alignment horizontal="left"/>
    </xf>
    <xf numFmtId="9" fontId="13" fillId="8" borderId="25" xfId="16" applyFont="1" applyFill="1" applyBorder="1" applyAlignment="1">
      <alignment horizontal="left"/>
    </xf>
    <xf numFmtId="0" fontId="8" fillId="0" borderId="116" xfId="24" applyBorder="1"/>
    <xf numFmtId="167" fontId="8" fillId="0" borderId="233" xfId="24" applyNumberFormat="1" applyBorder="1"/>
    <xf numFmtId="10" fontId="8" fillId="0" borderId="233" xfId="24" applyNumberFormat="1" applyBorder="1"/>
    <xf numFmtId="10" fontId="8" fillId="28" borderId="233" xfId="24" applyNumberFormat="1" applyFill="1" applyBorder="1"/>
    <xf numFmtId="0" fontId="8" fillId="0" borderId="174" xfId="24" applyBorder="1"/>
    <xf numFmtId="10" fontId="34" fillId="28" borderId="234" xfId="24" applyNumberFormat="1" applyFont="1" applyFill="1" applyBorder="1"/>
    <xf numFmtId="0" fontId="8" fillId="0" borderId="235" xfId="24" applyBorder="1"/>
    <xf numFmtId="10" fontId="8" fillId="0" borderId="236" xfId="24" applyNumberFormat="1" applyBorder="1"/>
    <xf numFmtId="0" fontId="8" fillId="0" borderId="169" xfId="24" applyBorder="1"/>
    <xf numFmtId="0" fontId="8" fillId="0" borderId="238" xfId="24" applyBorder="1"/>
    <xf numFmtId="0" fontId="64" fillId="35" borderId="174" xfId="24" applyFont="1" applyFill="1" applyBorder="1"/>
    <xf numFmtId="0" fontId="64" fillId="35" borderId="116" xfId="24" applyFont="1" applyFill="1" applyBorder="1"/>
    <xf numFmtId="167" fontId="64" fillId="35" borderId="116" xfId="24" applyNumberFormat="1" applyFont="1" applyFill="1" applyBorder="1"/>
    <xf numFmtId="1" fontId="8" fillId="0" borderId="116" xfId="24" applyNumberFormat="1" applyBorder="1"/>
    <xf numFmtId="1" fontId="8" fillId="0" borderId="235" xfId="24" applyNumberFormat="1" applyBorder="1"/>
    <xf numFmtId="0" fontId="8" fillId="0" borderId="234" xfId="24" applyBorder="1"/>
    <xf numFmtId="167" fontId="8" fillId="0" borderId="236" xfId="24" applyNumberFormat="1" applyBorder="1"/>
    <xf numFmtId="178" fontId="8" fillId="0" borderId="97" xfId="0" applyNumberFormat="1" applyFont="1" applyBorder="1" applyAlignment="1">
      <alignment horizontal="center"/>
    </xf>
    <xf numFmtId="177" fontId="8" fillId="12" borderId="97" xfId="0" applyNumberFormat="1" applyFont="1" applyFill="1" applyBorder="1" applyAlignment="1">
      <alignment horizontal="center"/>
    </xf>
    <xf numFmtId="2" fontId="26" fillId="18" borderId="193" xfId="16" applyNumberFormat="1" applyFont="1" applyFill="1" applyBorder="1" applyAlignment="1">
      <alignment horizontal="center"/>
    </xf>
    <xf numFmtId="175" fontId="0" fillId="12" borderId="97" xfId="0" applyNumberFormat="1" applyFill="1" applyBorder="1" applyAlignment="1">
      <alignment horizontal="center"/>
    </xf>
    <xf numFmtId="175" fontId="0" fillId="23" borderId="97" xfId="0" applyNumberFormat="1" applyFill="1" applyBorder="1" applyAlignment="1">
      <alignment horizontal="center"/>
    </xf>
    <xf numFmtId="9" fontId="0" fillId="9" borderId="103" xfId="16" applyFont="1" applyFill="1" applyBorder="1" applyAlignment="1">
      <alignment horizontal="center"/>
    </xf>
    <xf numFmtId="172" fontId="0" fillId="12" borderId="95" xfId="0" applyNumberFormat="1" applyFill="1" applyBorder="1" applyAlignment="1">
      <alignment horizontal="center"/>
    </xf>
    <xf numFmtId="172" fontId="0" fillId="12" borderId="96" xfId="0" applyNumberFormat="1" applyFill="1" applyBorder="1" applyAlignment="1">
      <alignment horizontal="center"/>
    </xf>
    <xf numFmtId="2" fontId="0" fillId="12" borderId="97" xfId="0" applyNumberFormat="1" applyFill="1" applyBorder="1" applyAlignment="1">
      <alignment horizontal="center"/>
    </xf>
    <xf numFmtId="2" fontId="0" fillId="23" borderId="97" xfId="0" applyNumberFormat="1" applyFill="1" applyBorder="1" applyAlignment="1">
      <alignment horizontal="center"/>
    </xf>
    <xf numFmtId="0" fontId="56" fillId="0" borderId="114" xfId="0" applyFont="1" applyBorder="1" applyAlignment="1">
      <alignment horizontal="center" vertical="center"/>
    </xf>
    <xf numFmtId="9" fontId="54" fillId="0" borderId="0" xfId="0" applyNumberFormat="1" applyFont="1"/>
    <xf numFmtId="0" fontId="82" fillId="0" borderId="0" xfId="0" applyFont="1"/>
    <xf numFmtId="3" fontId="54" fillId="0" borderId="0" xfId="0" applyNumberFormat="1" applyFont="1"/>
    <xf numFmtId="9" fontId="54" fillId="47" borderId="0" xfId="0" applyNumberFormat="1" applyFont="1" applyFill="1"/>
    <xf numFmtId="9" fontId="54" fillId="0" borderId="113" xfId="0" applyNumberFormat="1" applyFont="1" applyBorder="1"/>
    <xf numFmtId="9" fontId="54" fillId="0" borderId="239" xfId="0" applyNumberFormat="1" applyFont="1" applyBorder="1"/>
    <xf numFmtId="0" fontId="54" fillId="0" borderId="178" xfId="0" applyFont="1" applyBorder="1"/>
    <xf numFmtId="0" fontId="23" fillId="0" borderId="115" xfId="0" applyFont="1" applyBorder="1" applyAlignment="1">
      <alignment horizontal="center" vertical="center"/>
    </xf>
    <xf numFmtId="9" fontId="54" fillId="0" borderId="237" xfId="0" applyNumberFormat="1" applyFont="1" applyBorder="1"/>
    <xf numFmtId="9" fontId="54" fillId="0" borderId="219" xfId="0" applyNumberFormat="1" applyFont="1" applyBorder="1"/>
    <xf numFmtId="9" fontId="54" fillId="0" borderId="116" xfId="0" applyNumberFormat="1" applyFont="1" applyBorder="1"/>
    <xf numFmtId="0" fontId="83" fillId="23" borderId="176" xfId="0" applyFont="1" applyFill="1" applyBorder="1"/>
    <xf numFmtId="9" fontId="83" fillId="23" borderId="219" xfId="0" applyNumberFormat="1" applyFont="1" applyFill="1" applyBorder="1"/>
    <xf numFmtId="0" fontId="13" fillId="0" borderId="176" xfId="0" applyFont="1" applyBorder="1"/>
    <xf numFmtId="0" fontId="54" fillId="47" borderId="176" xfId="0" applyFont="1" applyFill="1" applyBorder="1" applyAlignment="1">
      <alignment horizontal="right"/>
    </xf>
    <xf numFmtId="9" fontId="54" fillId="47" borderId="176" xfId="0" applyNumberFormat="1" applyFont="1" applyFill="1" applyBorder="1" applyAlignment="1">
      <alignment horizontal="right"/>
    </xf>
    <xf numFmtId="9" fontId="54" fillId="0" borderId="169" xfId="0" applyNumberFormat="1" applyFont="1" applyBorder="1"/>
    <xf numFmtId="0" fontId="54" fillId="47" borderId="113" xfId="0" applyFont="1" applyFill="1" applyBorder="1" applyAlignment="1">
      <alignment horizontal="right"/>
    </xf>
    <xf numFmtId="0" fontId="56" fillId="0" borderId="115" xfId="0" applyFont="1" applyBorder="1"/>
    <xf numFmtId="9" fontId="0" fillId="48" borderId="169" xfId="0" applyNumberFormat="1" applyFill="1" applyBorder="1"/>
    <xf numFmtId="9" fontId="0" fillId="48" borderId="239" xfId="0" applyNumberFormat="1" applyFill="1" applyBorder="1"/>
    <xf numFmtId="0" fontId="10" fillId="0" borderId="0" xfId="11" applyAlignment="1" applyProtection="1"/>
    <xf numFmtId="9" fontId="0" fillId="17" borderId="238" xfId="0" applyNumberFormat="1" applyFill="1" applyBorder="1"/>
    <xf numFmtId="9" fontId="0" fillId="17" borderId="178" xfId="0" applyNumberFormat="1" applyFill="1" applyBorder="1"/>
    <xf numFmtId="0" fontId="54" fillId="0" borderId="0" xfId="0" applyFont="1" applyAlignment="1">
      <alignment horizontal="right" vertical="center"/>
    </xf>
    <xf numFmtId="0" fontId="56" fillId="0" borderId="115" xfId="0" applyFont="1" applyBorder="1" applyAlignment="1">
      <alignment horizontal="right" vertical="center"/>
    </xf>
    <xf numFmtId="0" fontId="56" fillId="39" borderId="115" xfId="0" applyFont="1" applyFill="1" applyBorder="1" applyAlignment="1">
      <alignment horizontal="right" vertical="center"/>
    </xf>
    <xf numFmtId="0" fontId="0" fillId="0" borderId="238" xfId="0" applyBorder="1"/>
    <xf numFmtId="0" fontId="0" fillId="0" borderId="169" xfId="0" applyBorder="1"/>
    <xf numFmtId="9" fontId="0" fillId="48" borderId="0" xfId="0" applyNumberFormat="1" applyFill="1"/>
    <xf numFmtId="0" fontId="0" fillId="0" borderId="235" xfId="0" applyBorder="1"/>
    <xf numFmtId="0" fontId="0" fillId="0" borderId="116" xfId="0" applyBorder="1"/>
    <xf numFmtId="0" fontId="0" fillId="0" borderId="174" xfId="0" applyBorder="1"/>
    <xf numFmtId="0" fontId="0" fillId="0" borderId="0" xfId="24" applyFont="1"/>
    <xf numFmtId="0" fontId="24" fillId="0" borderId="0" xfId="14"/>
    <xf numFmtId="9" fontId="54" fillId="48" borderId="233" xfId="0" applyNumberFormat="1" applyFont="1" applyFill="1" applyBorder="1"/>
    <xf numFmtId="9" fontId="54" fillId="48" borderId="236" xfId="0" applyNumberFormat="1" applyFont="1" applyFill="1" applyBorder="1"/>
    <xf numFmtId="0" fontId="83" fillId="49" borderId="115" xfId="0" applyFont="1" applyFill="1" applyBorder="1"/>
    <xf numFmtId="0" fontId="83" fillId="49" borderId="117" xfId="0" applyFont="1" applyFill="1" applyBorder="1"/>
    <xf numFmtId="10" fontId="54" fillId="0" borderId="0" xfId="0" applyNumberFormat="1" applyFont="1"/>
    <xf numFmtId="0" fontId="54" fillId="0" borderId="116" xfId="0" applyFont="1" applyBorder="1"/>
    <xf numFmtId="0" fontId="54" fillId="0" borderId="113" xfId="0" applyFont="1" applyBorder="1"/>
    <xf numFmtId="0" fontId="54" fillId="0" borderId="239" xfId="0" applyFont="1" applyBorder="1"/>
    <xf numFmtId="9" fontId="54" fillId="46" borderId="176" xfId="0" applyNumberFormat="1" applyFont="1" applyFill="1" applyBorder="1" applyAlignment="1">
      <alignment horizontal="right"/>
    </xf>
    <xf numFmtId="9" fontId="54" fillId="46" borderId="237" xfId="0" applyNumberFormat="1" applyFont="1" applyFill="1" applyBorder="1" applyAlignment="1">
      <alignment horizontal="right"/>
    </xf>
    <xf numFmtId="9" fontId="54" fillId="46" borderId="219" xfId="0" applyNumberFormat="1" applyFont="1" applyFill="1" applyBorder="1" applyAlignment="1">
      <alignment horizontal="right"/>
    </xf>
    <xf numFmtId="9" fontId="54" fillId="0" borderId="238" xfId="0" applyNumberFormat="1" applyFont="1" applyBorder="1"/>
    <xf numFmtId="9" fontId="54" fillId="0" borderId="178" xfId="0" applyNumberFormat="1" applyFont="1" applyBorder="1"/>
    <xf numFmtId="0" fontId="54" fillId="0" borderId="176" xfId="0" applyFont="1" applyBorder="1" applyAlignment="1">
      <alignment horizontal="right"/>
    </xf>
    <xf numFmtId="0" fontId="54" fillId="0" borderId="237" xfId="0" applyFont="1" applyBorder="1" applyAlignment="1">
      <alignment horizontal="right"/>
    </xf>
    <xf numFmtId="0" fontId="54" fillId="0" borderId="219" xfId="0" applyFont="1" applyBorder="1" applyAlignment="1">
      <alignment horizontal="right"/>
    </xf>
    <xf numFmtId="3" fontId="54" fillId="0" borderId="150" xfId="0" applyNumberFormat="1" applyFont="1" applyBorder="1" applyAlignment="1">
      <alignment horizontal="center" vertical="center"/>
    </xf>
    <xf numFmtId="3" fontId="8" fillId="0" borderId="0" xfId="24" applyNumberFormat="1"/>
    <xf numFmtId="10" fontId="8" fillId="0" borderId="239" xfId="24" applyNumberFormat="1" applyBorder="1"/>
    <xf numFmtId="10" fontId="8" fillId="12" borderId="239" xfId="24" applyNumberFormat="1" applyFill="1" applyBorder="1"/>
    <xf numFmtId="10" fontId="8" fillId="12" borderId="178" xfId="24" applyNumberFormat="1" applyFill="1" applyBorder="1"/>
    <xf numFmtId="10" fontId="8" fillId="0" borderId="219" xfId="24" applyNumberFormat="1" applyBorder="1"/>
    <xf numFmtId="0" fontId="8" fillId="50" borderId="115" xfId="24" applyFill="1" applyBorder="1"/>
    <xf numFmtId="0" fontId="8" fillId="50" borderId="240" xfId="24" applyFill="1" applyBorder="1"/>
    <xf numFmtId="0" fontId="8" fillId="50" borderId="117" xfId="24" applyFill="1" applyBorder="1"/>
    <xf numFmtId="0" fontId="8" fillId="50" borderId="113" xfId="24" applyFill="1" applyBorder="1"/>
    <xf numFmtId="0" fontId="23" fillId="0" borderId="235" xfId="0" applyFont="1" applyBorder="1" applyAlignment="1">
      <alignment horizontal="center" vertical="center"/>
    </xf>
    <xf numFmtId="0" fontId="56" fillId="0" borderId="235" xfId="0" applyFont="1" applyBorder="1"/>
    <xf numFmtId="0" fontId="13" fillId="0" borderId="113" xfId="0" applyFont="1" applyBorder="1"/>
    <xf numFmtId="0" fontId="83" fillId="49" borderId="114" xfId="0" applyFont="1" applyFill="1" applyBorder="1" applyAlignment="1">
      <alignment horizontal="center"/>
    </xf>
    <xf numFmtId="0" fontId="8" fillId="49" borderId="0" xfId="24" applyFill="1"/>
    <xf numFmtId="0" fontId="27" fillId="49" borderId="0" xfId="24" applyFont="1" applyFill="1"/>
    <xf numFmtId="0" fontId="83" fillId="49" borderId="0" xfId="0" applyFont="1" applyFill="1"/>
    <xf numFmtId="0" fontId="0" fillId="0" borderId="34" xfId="0" applyBorder="1"/>
    <xf numFmtId="9" fontId="0" fillId="0" borderId="36" xfId="0" applyNumberFormat="1" applyBorder="1"/>
    <xf numFmtId="2" fontId="0" fillId="0" borderId="0" xfId="0" applyNumberFormat="1"/>
    <xf numFmtId="2" fontId="0" fillId="0" borderId="36" xfId="0" applyNumberFormat="1" applyBorder="1"/>
    <xf numFmtId="10" fontId="0" fillId="0" borderId="0" xfId="16" applyNumberFormat="1" applyFont="1" applyBorder="1"/>
    <xf numFmtId="10" fontId="0" fillId="0" borderId="36" xfId="16" applyNumberFormat="1" applyFont="1" applyBorder="1"/>
    <xf numFmtId="0" fontId="0" fillId="51" borderId="6" xfId="0" applyFill="1" applyBorder="1"/>
    <xf numFmtId="9" fontId="0" fillId="51" borderId="0" xfId="16" applyFont="1" applyFill="1" applyBorder="1"/>
    <xf numFmtId="9" fontId="0" fillId="51" borderId="36" xfId="16" applyFont="1" applyFill="1" applyBorder="1"/>
    <xf numFmtId="9" fontId="0" fillId="0" borderId="32" xfId="0" applyNumberFormat="1" applyBorder="1"/>
    <xf numFmtId="9" fontId="0" fillId="0" borderId="38" xfId="0" applyNumberFormat="1" applyBorder="1"/>
    <xf numFmtId="9" fontId="0" fillId="0" borderId="5" xfId="0" applyNumberFormat="1" applyBorder="1"/>
    <xf numFmtId="9" fontId="0" fillId="0" borderId="35" xfId="0" applyNumberFormat="1" applyBorder="1"/>
    <xf numFmtId="172" fontId="0" fillId="0" borderId="0" xfId="0" applyNumberFormat="1"/>
    <xf numFmtId="172" fontId="0" fillId="0" borderId="36" xfId="0" applyNumberFormat="1" applyBorder="1"/>
    <xf numFmtId="0" fontId="0" fillId="51" borderId="37" xfId="0" applyFill="1" applyBorder="1"/>
    <xf numFmtId="9" fontId="0" fillId="51" borderId="32" xfId="16" applyFont="1" applyFill="1" applyBorder="1"/>
    <xf numFmtId="9" fontId="0" fillId="51" borderId="38" xfId="16" applyFont="1" applyFill="1" applyBorder="1"/>
    <xf numFmtId="0" fontId="13" fillId="0" borderId="6" xfId="0" applyFont="1" applyBorder="1"/>
    <xf numFmtId="9" fontId="13" fillId="12" borderId="0" xfId="16" applyFont="1" applyFill="1" applyBorder="1"/>
    <xf numFmtId="9" fontId="13" fillId="12" borderId="36" xfId="16" applyFont="1" applyFill="1" applyBorder="1"/>
    <xf numFmtId="2" fontId="13" fillId="0" borderId="0" xfId="0" applyNumberFormat="1" applyFont="1"/>
    <xf numFmtId="2" fontId="13" fillId="0" borderId="36" xfId="0" applyNumberFormat="1" applyFont="1" applyBorder="1"/>
    <xf numFmtId="172" fontId="0" fillId="52" borderId="97" xfId="0" applyNumberFormat="1" applyFill="1" applyBorder="1" applyAlignment="1">
      <alignment horizontal="center"/>
    </xf>
    <xf numFmtId="172" fontId="0" fillId="52" borderId="231" xfId="0" applyNumberFormat="1" applyFill="1" applyBorder="1" applyAlignment="1">
      <alignment horizontal="center"/>
    </xf>
    <xf numFmtId="10" fontId="0" fillId="12" borderId="38" xfId="16" applyNumberFormat="1" applyFont="1" applyFill="1" applyBorder="1"/>
    <xf numFmtId="2" fontId="8" fillId="12" borderId="97" xfId="0" applyNumberFormat="1" applyFont="1" applyFill="1" applyBorder="1" applyAlignment="1">
      <alignment horizontal="center" vertical="center"/>
    </xf>
    <xf numFmtId="172" fontId="0" fillId="52" borderId="97" xfId="0" applyNumberFormat="1" applyFill="1" applyBorder="1" applyAlignment="1">
      <alignment horizontal="center" wrapText="1"/>
    </xf>
    <xf numFmtId="2" fontId="8" fillId="23" borderId="95" xfId="0" applyNumberFormat="1" applyFont="1" applyFill="1" applyBorder="1" applyAlignment="1">
      <alignment horizontal="center"/>
    </xf>
    <xf numFmtId="9" fontId="54" fillId="52" borderId="0" xfId="0" applyNumberFormat="1" applyFont="1" applyFill="1"/>
    <xf numFmtId="0" fontId="84" fillId="0" borderId="0" xfId="0" applyFont="1" applyAlignment="1">
      <alignment vertical="top"/>
    </xf>
    <xf numFmtId="9" fontId="64" fillId="48" borderId="174" xfId="0" applyNumberFormat="1" applyFont="1" applyFill="1" applyBorder="1"/>
    <xf numFmtId="0" fontId="13" fillId="0" borderId="116" xfId="0" applyFont="1" applyBorder="1" applyAlignment="1">
      <alignment horizontal="left"/>
    </xf>
    <xf numFmtId="0" fontId="13" fillId="0" borderId="116" xfId="0" applyFont="1" applyBorder="1"/>
    <xf numFmtId="9" fontId="64" fillId="48" borderId="169" xfId="0" applyNumberFormat="1" applyFont="1" applyFill="1" applyBorder="1"/>
    <xf numFmtId="0" fontId="13" fillId="0" borderId="0" xfId="0" applyFont="1" applyAlignment="1">
      <alignment horizontal="left"/>
    </xf>
    <xf numFmtId="0" fontId="54" fillId="0" borderId="238" xfId="0" applyFont="1" applyBorder="1"/>
    <xf numFmtId="0" fontId="13" fillId="0" borderId="239" xfId="0" applyFont="1" applyBorder="1" applyAlignment="1">
      <alignment horizontal="left"/>
    </xf>
    <xf numFmtId="0" fontId="8" fillId="0" borderId="239" xfId="24" applyBorder="1"/>
    <xf numFmtId="10" fontId="27" fillId="10" borderId="245" xfId="24" applyNumberFormat="1" applyFont="1" applyFill="1" applyBorder="1"/>
    <xf numFmtId="168" fontId="13" fillId="0" borderId="245" xfId="24" applyNumberFormat="1" applyFont="1" applyBorder="1"/>
    <xf numFmtId="0" fontId="24" fillId="17" borderId="176" xfId="14" applyFill="1" applyBorder="1" applyAlignment="1">
      <alignment horizontal="right"/>
    </xf>
    <xf numFmtId="0" fontId="24" fillId="17" borderId="237" xfId="14" applyFill="1" applyBorder="1" applyAlignment="1">
      <alignment horizontal="right"/>
    </xf>
    <xf numFmtId="0" fontId="24" fillId="17" borderId="219" xfId="14" applyFill="1" applyBorder="1" applyAlignment="1">
      <alignment horizontal="right"/>
    </xf>
    <xf numFmtId="9" fontId="54" fillId="17" borderId="169" xfId="0" applyNumberFormat="1" applyFont="1" applyFill="1" applyBorder="1" applyAlignment="1">
      <alignment horizontal="right"/>
    </xf>
    <xf numFmtId="9" fontId="54" fillId="17" borderId="0" xfId="0" applyNumberFormat="1" applyFont="1" applyFill="1" applyAlignment="1">
      <alignment horizontal="right"/>
    </xf>
    <xf numFmtId="9" fontId="54" fillId="17" borderId="238" xfId="0" applyNumberFormat="1" applyFont="1" applyFill="1" applyBorder="1" applyAlignment="1">
      <alignment horizontal="right"/>
    </xf>
    <xf numFmtId="1" fontId="54" fillId="0" borderId="0" xfId="0" applyNumberFormat="1" applyFont="1" applyAlignment="1">
      <alignment horizontal="right"/>
    </xf>
    <xf numFmtId="1" fontId="54" fillId="0" borderId="169" xfId="0" applyNumberFormat="1" applyFont="1" applyBorder="1" applyAlignment="1">
      <alignment horizontal="right"/>
    </xf>
    <xf numFmtId="1" fontId="54" fillId="0" borderId="238" xfId="0" applyNumberFormat="1" applyFont="1" applyBorder="1" applyAlignment="1">
      <alignment horizontal="right"/>
    </xf>
    <xf numFmtId="1" fontId="56" fillId="0" borderId="116" xfId="0" applyNumberFormat="1" applyFont="1" applyBorder="1" applyAlignment="1">
      <alignment horizontal="right"/>
    </xf>
    <xf numFmtId="1" fontId="54" fillId="0" borderId="174" xfId="0" applyNumberFormat="1" applyFont="1" applyBorder="1" applyAlignment="1">
      <alignment horizontal="right"/>
    </xf>
    <xf numFmtId="1" fontId="54" fillId="0" borderId="116" xfId="0" applyNumberFormat="1" applyFont="1" applyBorder="1" applyAlignment="1">
      <alignment horizontal="right"/>
    </xf>
    <xf numFmtId="1" fontId="54" fillId="0" borderId="235" xfId="0" applyNumberFormat="1" applyFont="1" applyBorder="1" applyAlignment="1">
      <alignment horizontal="right"/>
    </xf>
    <xf numFmtId="1" fontId="56" fillId="0" borderId="235" xfId="0" applyNumberFormat="1" applyFont="1" applyBorder="1" applyAlignment="1">
      <alignment horizontal="right"/>
    </xf>
    <xf numFmtId="0" fontId="83" fillId="49" borderId="0" xfId="0" applyFont="1" applyFill="1" applyAlignment="1">
      <alignment horizontal="center"/>
    </xf>
    <xf numFmtId="0" fontId="54" fillId="48" borderId="0" xfId="0" applyFont="1" applyFill="1"/>
    <xf numFmtId="0" fontId="54" fillId="0" borderId="117" xfId="0" applyFont="1" applyBorder="1"/>
    <xf numFmtId="9" fontId="54" fillId="0" borderId="0" xfId="0" applyNumberFormat="1" applyFont="1" applyAlignment="1">
      <alignment horizontal="right"/>
    </xf>
    <xf numFmtId="9" fontId="54" fillId="9" borderId="169" xfId="0" applyNumberFormat="1" applyFont="1" applyFill="1" applyBorder="1" applyAlignment="1">
      <alignment horizontal="right"/>
    </xf>
    <xf numFmtId="0" fontId="0" fillId="3" borderId="109" xfId="10" applyFont="1" applyBorder="1" applyAlignment="1">
      <alignment horizontal="center" vertical="center"/>
    </xf>
    <xf numFmtId="0" fontId="0" fillId="53" borderId="246" xfId="0" applyFill="1" applyBorder="1" applyAlignment="1">
      <alignment wrapText="1"/>
    </xf>
    <xf numFmtId="0" fontId="0" fillId="0" borderId="246" xfId="0" applyBorder="1" applyAlignment="1">
      <alignment wrapText="1"/>
    </xf>
    <xf numFmtId="0" fontId="0" fillId="53" borderId="247" xfId="0" applyFill="1" applyBorder="1" applyAlignment="1">
      <alignment wrapText="1"/>
    </xf>
    <xf numFmtId="0" fontId="0" fillId="0" borderId="247" xfId="0" applyBorder="1" applyAlignment="1">
      <alignment wrapText="1"/>
    </xf>
    <xf numFmtId="0" fontId="85" fillId="0" borderId="0" xfId="0" applyFont="1"/>
    <xf numFmtId="0" fontId="0" fillId="0" borderId="246" xfId="0" applyBorder="1"/>
    <xf numFmtId="0" fontId="0" fillId="0" borderId="248" xfId="0" applyBorder="1"/>
    <xf numFmtId="0" fontId="0" fillId="0" borderId="247" xfId="0" applyBorder="1"/>
    <xf numFmtId="0" fontId="0" fillId="0" borderId="249" xfId="0" applyBorder="1"/>
    <xf numFmtId="0" fontId="54" fillId="12" borderId="239" xfId="0" applyFont="1" applyFill="1" applyBorder="1"/>
    <xf numFmtId="9" fontId="54" fillId="48" borderId="178" xfId="0" applyNumberFormat="1" applyFont="1" applyFill="1" applyBorder="1"/>
    <xf numFmtId="9" fontId="56" fillId="17" borderId="240" xfId="0" applyNumberFormat="1" applyFont="1" applyFill="1" applyBorder="1"/>
    <xf numFmtId="9" fontId="13" fillId="17" borderId="240" xfId="24" applyNumberFormat="1" applyFont="1" applyFill="1" applyBorder="1"/>
    <xf numFmtId="0" fontId="86" fillId="0" borderId="0" xfId="0" applyFont="1"/>
    <xf numFmtId="0" fontId="84" fillId="0" borderId="0" xfId="0" applyFont="1"/>
    <xf numFmtId="0" fontId="56" fillId="17" borderId="174" xfId="0" applyFont="1" applyFill="1" applyBorder="1" applyAlignment="1">
      <alignment horizontal="center"/>
    </xf>
    <xf numFmtId="0" fontId="56" fillId="17" borderId="235" xfId="0" applyFont="1" applyFill="1" applyBorder="1" applyAlignment="1">
      <alignment horizontal="center"/>
    </xf>
    <xf numFmtId="9" fontId="54" fillId="48" borderId="176" xfId="0" applyNumberFormat="1" applyFont="1" applyFill="1" applyBorder="1"/>
    <xf numFmtId="9" fontId="54" fillId="48" borderId="219" xfId="0" applyNumberFormat="1" applyFont="1" applyFill="1" applyBorder="1"/>
    <xf numFmtId="10" fontId="27" fillId="0" borderId="0" xfId="24" applyNumberFormat="1" applyFont="1"/>
    <xf numFmtId="168" fontId="13" fillId="0" borderId="0" xfId="24" applyNumberFormat="1" applyFont="1"/>
    <xf numFmtId="0" fontId="8" fillId="0" borderId="246" xfId="0" applyFont="1" applyBorder="1"/>
    <xf numFmtId="0" fontId="8" fillId="0" borderId="248" xfId="0" applyFont="1" applyBorder="1"/>
    <xf numFmtId="4" fontId="8" fillId="0" borderId="247" xfId="0" applyNumberFormat="1" applyFont="1" applyBorder="1"/>
    <xf numFmtId="4" fontId="0" fillId="0" borderId="0" xfId="0" applyNumberFormat="1"/>
    <xf numFmtId="4" fontId="8" fillId="0" borderId="249" xfId="0" applyNumberFormat="1" applyFont="1" applyBorder="1"/>
    <xf numFmtId="4" fontId="8" fillId="0" borderId="246" xfId="0" applyNumberFormat="1" applyFont="1" applyBorder="1"/>
    <xf numFmtId="0" fontId="25" fillId="12" borderId="247" xfId="0" applyFont="1" applyFill="1" applyBorder="1"/>
    <xf numFmtId="0" fontId="25" fillId="12" borderId="249" xfId="0" applyFont="1" applyFill="1" applyBorder="1"/>
    <xf numFmtId="0" fontId="8" fillId="12" borderId="19" xfId="0" applyFont="1" applyFill="1" applyBorder="1" applyAlignment="1">
      <alignment horizontal="center"/>
    </xf>
    <xf numFmtId="16" fontId="0" fillId="0" borderId="0" xfId="0" applyNumberFormat="1"/>
    <xf numFmtId="2" fontId="0" fillId="52" borderId="96" xfId="0" applyNumberFormat="1" applyFill="1" applyBorder="1" applyAlignment="1">
      <alignment horizontal="center"/>
    </xf>
    <xf numFmtId="2" fontId="0" fillId="52" borderId="194" xfId="0" applyNumberFormat="1" applyFill="1" applyBorder="1" applyAlignment="1">
      <alignment horizontal="center"/>
    </xf>
    <xf numFmtId="168" fontId="0" fillId="12" borderId="96" xfId="0" applyNumberFormat="1" applyFill="1" applyBorder="1" applyAlignment="1">
      <alignment horizontal="center"/>
    </xf>
    <xf numFmtId="167" fontId="0" fillId="12" borderId="95" xfId="16" applyNumberFormat="1" applyFont="1" applyFill="1" applyBorder="1" applyAlignment="1">
      <alignment horizontal="center"/>
    </xf>
    <xf numFmtId="167" fontId="8" fillId="0" borderId="0" xfId="0" applyNumberFormat="1" applyFont="1"/>
    <xf numFmtId="167" fontId="8" fillId="28" borderId="0" xfId="0" applyNumberFormat="1" applyFont="1" applyFill="1"/>
    <xf numFmtId="10" fontId="8" fillId="28" borderId="0" xfId="0" applyNumberFormat="1" applyFont="1" applyFill="1"/>
    <xf numFmtId="16" fontId="0" fillId="8" borderId="19" xfId="0" applyNumberFormat="1" applyFill="1" applyBorder="1" applyAlignment="1">
      <alignment vertical="center" wrapText="1"/>
    </xf>
    <xf numFmtId="0" fontId="0" fillId="8" borderId="19" xfId="0" applyFill="1" applyBorder="1" applyAlignment="1">
      <alignment horizontal="center" vertical="center" wrapText="1"/>
    </xf>
    <xf numFmtId="10" fontId="23" fillId="0" borderId="0" xfId="16" applyNumberFormat="1" applyFont="1" applyAlignment="1">
      <alignment horizontal="center"/>
    </xf>
    <xf numFmtId="10" fontId="23" fillId="12" borderId="0" xfId="16" applyNumberFormat="1" applyFont="1" applyFill="1" applyAlignment="1">
      <alignment horizontal="center"/>
    </xf>
    <xf numFmtId="179" fontId="11" fillId="0" borderId="0" xfId="34" applyNumberFormat="1" applyFont="1" applyAlignment="1">
      <alignment horizontal="right"/>
    </xf>
    <xf numFmtId="167" fontId="13" fillId="12" borderId="0" xfId="0" applyNumberFormat="1" applyFont="1" applyFill="1"/>
    <xf numFmtId="167" fontId="13" fillId="0" borderId="0" xfId="0" applyNumberFormat="1" applyFont="1"/>
    <xf numFmtId="0" fontId="0" fillId="0" borderId="5" xfId="0" applyBorder="1" applyAlignment="1">
      <alignment horizontal="center" vertical="center"/>
    </xf>
    <xf numFmtId="0" fontId="8" fillId="0" borderId="35" xfId="0" applyFont="1" applyBorder="1" applyAlignment="1">
      <alignment horizontal="center" vertical="center"/>
    </xf>
    <xf numFmtId="0" fontId="8" fillId="0" borderId="0" xfId="0" applyFont="1" applyAlignment="1">
      <alignment horizontal="center" vertical="center"/>
    </xf>
    <xf numFmtId="167" fontId="0" fillId="0" borderId="0" xfId="0" applyNumberFormat="1"/>
    <xf numFmtId="167" fontId="8" fillId="0" borderId="0" xfId="24" applyNumberFormat="1"/>
    <xf numFmtId="167" fontId="0" fillId="0" borderId="0" xfId="24" applyNumberFormat="1" applyFont="1"/>
    <xf numFmtId="167" fontId="77" fillId="46" borderId="0" xfId="16" applyNumberFormat="1" applyFont="1" applyFill="1" applyBorder="1" applyAlignment="1">
      <alignment horizontal="center"/>
    </xf>
    <xf numFmtId="0" fontId="88" fillId="0" borderId="0" xfId="11" applyFont="1" applyAlignment="1" applyProtection="1"/>
    <xf numFmtId="9" fontId="8" fillId="0" borderId="0" xfId="16"/>
    <xf numFmtId="9" fontId="8" fillId="0" borderId="0" xfId="24" applyNumberFormat="1"/>
    <xf numFmtId="10" fontId="8" fillId="12" borderId="0" xfId="24" applyNumberFormat="1" applyFill="1"/>
    <xf numFmtId="10" fontId="13" fillId="12" borderId="0" xfId="24" applyNumberFormat="1" applyFont="1" applyFill="1"/>
    <xf numFmtId="167" fontId="8" fillId="0" borderId="0" xfId="16" applyNumberFormat="1"/>
    <xf numFmtId="10" fontId="8" fillId="0" borderId="0" xfId="16" applyNumberFormat="1"/>
    <xf numFmtId="0" fontId="23" fillId="0" borderId="34" xfId="0" applyFont="1" applyBorder="1" applyAlignment="1">
      <alignment horizontal="center"/>
    </xf>
    <xf numFmtId="0" fontId="23" fillId="0" borderId="5" xfId="0" applyFont="1" applyBorder="1" applyAlignment="1">
      <alignment horizontal="center"/>
    </xf>
    <xf numFmtId="0" fontId="23" fillId="0" borderId="35" xfId="0" applyFont="1" applyBorder="1" applyAlignment="1">
      <alignment horizontal="center"/>
    </xf>
    <xf numFmtId="0" fontId="13" fillId="0" borderId="6" xfId="0" applyFont="1" applyBorder="1" applyAlignment="1">
      <alignment horizontal="center"/>
    </xf>
    <xf numFmtId="9" fontId="54" fillId="0" borderId="0" xfId="16" applyFont="1" applyBorder="1"/>
    <xf numFmtId="10" fontId="54" fillId="0" borderId="36" xfId="0" applyNumberFormat="1" applyFont="1" applyBorder="1"/>
    <xf numFmtId="0" fontId="56" fillId="0" borderId="37" xfId="0" applyFont="1" applyBorder="1"/>
    <xf numFmtId="0" fontId="13" fillId="0" borderId="32" xfId="0" applyFont="1" applyBorder="1" applyAlignment="1">
      <alignment horizontal="center"/>
    </xf>
    <xf numFmtId="9" fontId="54" fillId="8" borderId="32" xfId="0" applyNumberFormat="1" applyFont="1" applyFill="1" applyBorder="1"/>
    <xf numFmtId="10" fontId="54" fillId="8" borderId="32" xfId="0" applyNumberFormat="1" applyFont="1" applyFill="1" applyBorder="1"/>
    <xf numFmtId="9" fontId="54" fillId="8" borderId="38" xfId="0" applyNumberFormat="1" applyFont="1" applyFill="1" applyBorder="1"/>
    <xf numFmtId="10" fontId="13" fillId="39" borderId="1" xfId="16" applyNumberFormat="1" applyFont="1" applyFill="1" applyBorder="1"/>
    <xf numFmtId="10" fontId="13" fillId="39" borderId="45" xfId="16" applyNumberFormat="1" applyFont="1" applyFill="1" applyBorder="1"/>
    <xf numFmtId="0" fontId="23" fillId="0" borderId="44" xfId="0" applyFont="1" applyBorder="1" applyAlignment="1">
      <alignment horizontal="center"/>
    </xf>
    <xf numFmtId="165" fontId="65" fillId="28" borderId="46" xfId="0" applyNumberFormat="1" applyFont="1" applyFill="1" applyBorder="1" applyAlignment="1">
      <alignment horizontal="center"/>
    </xf>
    <xf numFmtId="0" fontId="56" fillId="54" borderId="0" xfId="0" applyFont="1" applyFill="1" applyAlignment="1">
      <alignment horizontal="left"/>
    </xf>
    <xf numFmtId="15" fontId="54" fillId="0" borderId="0" xfId="0" applyNumberFormat="1" applyFont="1" applyAlignment="1">
      <alignment horizontal="left"/>
    </xf>
    <xf numFmtId="2" fontId="8" fillId="0" borderId="0" xfId="16" applyNumberFormat="1"/>
    <xf numFmtId="10" fontId="8" fillId="12" borderId="0" xfId="16" applyNumberFormat="1" applyFill="1"/>
    <xf numFmtId="0" fontId="8" fillId="12" borderId="0" xfId="24" applyFill="1"/>
    <xf numFmtId="0" fontId="13" fillId="12" borderId="0" xfId="24" applyFont="1" applyFill="1"/>
    <xf numFmtId="167" fontId="8" fillId="12" borderId="0" xfId="16" applyNumberFormat="1" applyFill="1"/>
    <xf numFmtId="1" fontId="8" fillId="0" borderId="223" xfId="0" quotePrefix="1" applyNumberFormat="1" applyFont="1" applyBorder="1" applyAlignment="1">
      <alignment horizontal="center" vertical="center"/>
    </xf>
    <xf numFmtId="1" fontId="8" fillId="0" borderId="46" xfId="0" quotePrefix="1" applyNumberFormat="1" applyFont="1" applyBorder="1" applyAlignment="1">
      <alignment horizontal="center" vertical="center"/>
    </xf>
    <xf numFmtId="1" fontId="8" fillId="0" borderId="141" xfId="0" quotePrefix="1" applyNumberFormat="1" applyFont="1" applyBorder="1" applyAlignment="1">
      <alignment horizontal="center" vertical="center"/>
    </xf>
    <xf numFmtId="9" fontId="54" fillId="12" borderId="0" xfId="0" applyNumberFormat="1" applyFont="1" applyFill="1"/>
    <xf numFmtId="9" fontId="54" fillId="28" borderId="0" xfId="0" applyNumberFormat="1" applyFont="1" applyFill="1"/>
    <xf numFmtId="0" fontId="90" fillId="0" borderId="0" xfId="0" applyFont="1"/>
    <xf numFmtId="9" fontId="90" fillId="0" borderId="0" xfId="0" applyNumberFormat="1" applyFont="1"/>
    <xf numFmtId="0" fontId="54" fillId="0" borderId="0" xfId="0" applyFont="1" applyAlignment="1">
      <alignment horizontal="right"/>
    </xf>
    <xf numFmtId="10" fontId="8" fillId="12" borderId="96" xfId="16" applyNumberFormat="1" applyFont="1" applyFill="1" applyBorder="1" applyAlignment="1">
      <alignment horizontal="center"/>
    </xf>
    <xf numFmtId="168" fontId="8" fillId="12" borderId="95" xfId="0" applyNumberFormat="1" applyFont="1" applyFill="1" applyBorder="1" applyAlignment="1">
      <alignment horizontal="center"/>
    </xf>
    <xf numFmtId="168" fontId="0" fillId="8" borderId="96" xfId="0" applyNumberFormat="1" applyFill="1" applyBorder="1" applyAlignment="1">
      <alignment horizontal="center"/>
    </xf>
    <xf numFmtId="0" fontId="13" fillId="17" borderId="115" xfId="0" applyFont="1" applyFill="1" applyBorder="1" applyAlignment="1">
      <alignment horizontal="right"/>
    </xf>
    <xf numFmtId="9" fontId="13" fillId="17" borderId="240" xfId="0" applyNumberFormat="1" applyFont="1" applyFill="1" applyBorder="1"/>
    <xf numFmtId="10" fontId="8" fillId="8" borderId="118" xfId="0" applyNumberFormat="1" applyFont="1" applyFill="1" applyBorder="1" applyAlignment="1">
      <alignment horizontal="center" vertical="center"/>
    </xf>
    <xf numFmtId="0" fontId="91" fillId="0" borderId="0" xfId="0" applyFont="1"/>
    <xf numFmtId="167" fontId="38" fillId="52" borderId="0" xfId="0" applyNumberFormat="1" applyFont="1" applyFill="1"/>
    <xf numFmtId="10" fontId="0" fillId="0" borderId="122" xfId="0" applyNumberFormat="1" applyBorder="1" applyAlignment="1">
      <alignment horizontal="center" vertical="center"/>
    </xf>
    <xf numFmtId="10" fontId="0" fillId="0" borderId="126" xfId="0" applyNumberFormat="1" applyBorder="1" applyAlignment="1">
      <alignment horizontal="center" vertical="center"/>
    </xf>
    <xf numFmtId="10" fontId="0" fillId="0" borderId="127" xfId="0" applyNumberFormat="1" applyBorder="1" applyAlignment="1">
      <alignment horizontal="center" vertical="center"/>
    </xf>
    <xf numFmtId="10" fontId="0" fillId="0" borderId="128" xfId="0" applyNumberFormat="1" applyBorder="1" applyAlignment="1">
      <alignment horizontal="center" vertical="center"/>
    </xf>
    <xf numFmtId="10" fontId="8" fillId="0" borderId="255" xfId="0" applyNumberFormat="1" applyFont="1" applyBorder="1" applyAlignment="1">
      <alignment horizontal="center" vertical="center"/>
    </xf>
    <xf numFmtId="10" fontId="8" fillId="0" borderId="255" xfId="0" quotePrefix="1" applyNumberFormat="1" applyFont="1" applyBorder="1" applyAlignment="1">
      <alignment horizontal="center" vertical="center"/>
    </xf>
    <xf numFmtId="1" fontId="54" fillId="0" borderId="0" xfId="0" applyNumberFormat="1" applyFont="1"/>
    <xf numFmtId="1" fontId="69" fillId="8" borderId="150" xfId="0" applyNumberFormat="1" applyFont="1" applyFill="1" applyBorder="1" applyAlignment="1">
      <alignment horizontal="center" vertical="center"/>
    </xf>
    <xf numFmtId="1" fontId="69" fillId="8" borderId="46" xfId="0" quotePrefix="1" applyNumberFormat="1" applyFont="1" applyFill="1" applyBorder="1" applyAlignment="1">
      <alignment horizontal="center" vertical="center"/>
    </xf>
    <xf numFmtId="1" fontId="69" fillId="8" borderId="141" xfId="0" quotePrefix="1" applyNumberFormat="1" applyFont="1" applyFill="1" applyBorder="1" applyAlignment="1">
      <alignment horizontal="center" vertical="center"/>
    </xf>
    <xf numFmtId="10" fontId="8" fillId="8" borderId="5" xfId="0" applyNumberFormat="1" applyFont="1" applyFill="1" applyBorder="1" applyAlignment="1">
      <alignment horizontal="center" vertical="center"/>
    </xf>
    <xf numFmtId="2" fontId="26" fillId="52" borderId="193" xfId="16" applyNumberFormat="1" applyFont="1" applyFill="1" applyBorder="1" applyAlignment="1">
      <alignment horizontal="center"/>
    </xf>
    <xf numFmtId="1" fontId="8" fillId="0" borderId="0" xfId="24" applyNumberFormat="1"/>
    <xf numFmtId="1" fontId="13" fillId="0" borderId="0" xfId="24" applyNumberFormat="1" applyFont="1"/>
    <xf numFmtId="0" fontId="8" fillId="0" borderId="0" xfId="24" quotePrefix="1"/>
    <xf numFmtId="0" fontId="54" fillId="8" borderId="174" xfId="0" applyFont="1" applyFill="1" applyBorder="1"/>
    <xf numFmtId="0" fontId="13" fillId="0" borderId="34" xfId="0" applyFont="1" applyBorder="1"/>
    <xf numFmtId="2" fontId="23" fillId="0" borderId="5" xfId="16" applyNumberFormat="1" applyFont="1" applyBorder="1"/>
    <xf numFmtId="2" fontId="35" fillId="0" borderId="5" xfId="0" applyNumberFormat="1" applyFont="1" applyBorder="1"/>
    <xf numFmtId="0" fontId="0" fillId="0" borderId="5" xfId="0" applyBorder="1"/>
    <xf numFmtId="0" fontId="0" fillId="0" borderId="35" xfId="0" applyBorder="1"/>
    <xf numFmtId="2" fontId="23" fillId="0" borderId="0" xfId="16" applyNumberFormat="1" applyFont="1" applyBorder="1"/>
    <xf numFmtId="2" fontId="35" fillId="0" borderId="0" xfId="0" applyNumberFormat="1" applyFont="1"/>
    <xf numFmtId="2" fontId="23" fillId="0" borderId="32" xfId="16" applyNumberFormat="1" applyFont="1" applyBorder="1"/>
    <xf numFmtId="0" fontId="38" fillId="0" borderId="32" xfId="0" applyFont="1" applyBorder="1"/>
    <xf numFmtId="0" fontId="38" fillId="0" borderId="38" xfId="0" applyFont="1" applyBorder="1"/>
    <xf numFmtId="167" fontId="0" fillId="28" borderId="0" xfId="0" applyNumberFormat="1" applyFill="1"/>
    <xf numFmtId="167" fontId="0" fillId="52" borderId="23" xfId="16" quotePrefix="1" applyNumberFormat="1" applyFont="1" applyFill="1" applyBorder="1" applyAlignment="1">
      <alignment horizontal="center"/>
    </xf>
    <xf numFmtId="0" fontId="8" fillId="8" borderId="26" xfId="0" applyFont="1" applyFill="1" applyBorder="1" applyAlignment="1">
      <alignment horizontal="center" vertical="center" wrapText="1"/>
    </xf>
    <xf numFmtId="0" fontId="8" fillId="8" borderId="24" xfId="0" applyFont="1" applyFill="1" applyBorder="1" applyAlignment="1">
      <alignment horizontal="center" vertical="center" wrapText="1"/>
    </xf>
    <xf numFmtId="0" fontId="8" fillId="8" borderId="25" xfId="0" applyFont="1" applyFill="1" applyBorder="1" applyAlignment="1">
      <alignment horizontal="center" vertical="center" wrapText="1"/>
    </xf>
    <xf numFmtId="0" fontId="0" fillId="8" borderId="125" xfId="0" applyFill="1" applyBorder="1" applyAlignment="1">
      <alignment horizontal="center"/>
    </xf>
    <xf numFmtId="0" fontId="0" fillId="8" borderId="181" xfId="0" applyFill="1" applyBorder="1" applyAlignment="1">
      <alignment horizontal="center"/>
    </xf>
    <xf numFmtId="0" fontId="0" fillId="8" borderId="145" xfId="0" applyFill="1" applyBorder="1" applyAlignment="1">
      <alignment horizontal="center"/>
    </xf>
    <xf numFmtId="0" fontId="0" fillId="8" borderId="122" xfId="0" applyFill="1" applyBorder="1" applyAlignment="1">
      <alignment horizontal="center"/>
    </xf>
    <xf numFmtId="0" fontId="0" fillId="8" borderId="136" xfId="0" applyFill="1" applyBorder="1" applyAlignment="1">
      <alignment horizontal="center"/>
    </xf>
    <xf numFmtId="0" fontId="0" fillId="8" borderId="146" xfId="0" applyFill="1" applyBorder="1" applyAlignment="1">
      <alignment horizontal="center"/>
    </xf>
    <xf numFmtId="0" fontId="0" fillId="8" borderId="252" xfId="0" applyFill="1" applyBorder="1" applyAlignment="1">
      <alignment horizontal="center"/>
    </xf>
    <xf numFmtId="0" fontId="0" fillId="8" borderId="253" xfId="0" applyFill="1" applyBorder="1" applyAlignment="1">
      <alignment horizontal="center"/>
    </xf>
    <xf numFmtId="0" fontId="47" fillId="31" borderId="212" xfId="0" applyFont="1" applyFill="1" applyBorder="1" applyAlignment="1">
      <alignment horizontal="center"/>
    </xf>
    <xf numFmtId="0" fontId="47" fillId="31" borderId="52" xfId="0" applyFont="1" applyFill="1" applyBorder="1" applyAlignment="1">
      <alignment horizontal="center"/>
    </xf>
    <xf numFmtId="0" fontId="13" fillId="0" borderId="125" xfId="0" applyFont="1" applyBorder="1" applyAlignment="1">
      <alignment horizontal="center" vertical="center" wrapText="1"/>
    </xf>
    <xf numFmtId="0" fontId="13" fillId="0" borderId="181" xfId="0" applyFont="1" applyBorder="1" applyAlignment="1">
      <alignment horizontal="center" vertical="center" wrapText="1"/>
    </xf>
    <xf numFmtId="0" fontId="13" fillId="0" borderId="182" xfId="0" applyFont="1" applyBorder="1" applyAlignment="1">
      <alignment horizontal="center" vertical="center" wrapText="1"/>
    </xf>
    <xf numFmtId="0" fontId="13" fillId="0" borderId="123" xfId="0" applyFont="1" applyBorder="1" applyAlignment="1">
      <alignment horizontal="center" vertical="center" wrapText="1"/>
    </xf>
    <xf numFmtId="0" fontId="13" fillId="0" borderId="0" xfId="0" applyFont="1" applyAlignment="1">
      <alignment horizontal="center" vertical="center" wrapText="1"/>
    </xf>
    <xf numFmtId="0" fontId="13" fillId="0" borderId="12" xfId="0" applyFont="1" applyBorder="1" applyAlignment="1">
      <alignment horizontal="center" vertical="center" wrapText="1"/>
    </xf>
    <xf numFmtId="0" fontId="13" fillId="0" borderId="122" xfId="0" applyFont="1" applyBorder="1" applyAlignment="1">
      <alignment horizontal="center" vertical="center" wrapText="1"/>
    </xf>
    <xf numFmtId="0" fontId="13" fillId="0" borderId="136" xfId="0" applyFont="1" applyBorder="1" applyAlignment="1">
      <alignment horizontal="center" vertical="center" wrapText="1"/>
    </xf>
    <xf numFmtId="0" fontId="13" fillId="0" borderId="187" xfId="0" applyFont="1" applyBorder="1" applyAlignment="1">
      <alignment horizontal="center" vertical="center" wrapText="1"/>
    </xf>
    <xf numFmtId="0" fontId="47" fillId="5" borderId="136" xfId="0" applyFont="1" applyFill="1" applyBorder="1" applyAlignment="1">
      <alignment horizontal="center"/>
    </xf>
    <xf numFmtId="0" fontId="47" fillId="5" borderId="187" xfId="0" applyFont="1" applyFill="1" applyBorder="1" applyAlignment="1">
      <alignment horizontal="center"/>
    </xf>
    <xf numFmtId="0" fontId="8" fillId="0" borderId="63" xfId="0" applyFont="1" applyBorder="1" applyAlignment="1">
      <alignment horizontal="left"/>
    </xf>
    <xf numFmtId="0" fontId="8" fillId="0" borderId="64" xfId="0" applyFont="1" applyBorder="1" applyAlignment="1">
      <alignment horizontal="left"/>
    </xf>
    <xf numFmtId="0" fontId="8" fillId="0" borderId="63" xfId="0" applyFont="1" applyBorder="1" applyAlignment="1">
      <alignment horizontal="left" indent="1"/>
    </xf>
    <xf numFmtId="0" fontId="8" fillId="0" borderId="64" xfId="0" applyFont="1" applyBorder="1" applyAlignment="1">
      <alignment horizontal="left" indent="1"/>
    </xf>
    <xf numFmtId="0" fontId="13" fillId="0" borderId="63" xfId="0" applyFont="1" applyBorder="1" applyAlignment="1">
      <alignment horizontal="left"/>
    </xf>
    <xf numFmtId="0" fontId="13" fillId="0" borderId="64" xfId="0" applyFont="1" applyBorder="1" applyAlignment="1">
      <alignment horizontal="left"/>
    </xf>
    <xf numFmtId="0" fontId="0" fillId="0" borderId="63" xfId="0" applyBorder="1" applyAlignment="1">
      <alignment horizontal="left"/>
    </xf>
    <xf numFmtId="0" fontId="0" fillId="0" borderId="64" xfId="0" applyBorder="1" applyAlignment="1">
      <alignment horizontal="left"/>
    </xf>
    <xf numFmtId="0" fontId="8" fillId="16" borderId="63" xfId="0" applyFont="1" applyFill="1" applyBorder="1" applyAlignment="1">
      <alignment horizontal="left"/>
    </xf>
    <xf numFmtId="0" fontId="8" fillId="16" borderId="64" xfId="0" applyFont="1" applyFill="1" applyBorder="1" applyAlignment="1">
      <alignment horizontal="left"/>
    </xf>
    <xf numFmtId="0" fontId="63" fillId="8" borderId="63" xfId="0" applyFont="1" applyFill="1" applyBorder="1" applyAlignment="1">
      <alignment horizontal="center"/>
    </xf>
    <xf numFmtId="0" fontId="63" fillId="8" borderId="82" xfId="0" applyFont="1" applyFill="1" applyBorder="1" applyAlignment="1">
      <alignment horizontal="center"/>
    </xf>
    <xf numFmtId="0" fontId="63" fillId="8" borderId="64" xfId="0" applyFont="1" applyFill="1" applyBorder="1" applyAlignment="1">
      <alignment horizontal="center"/>
    </xf>
    <xf numFmtId="0" fontId="27" fillId="32" borderId="212" xfId="0" applyFont="1" applyFill="1" applyBorder="1" applyAlignment="1">
      <alignment horizontal="center"/>
    </xf>
    <xf numFmtId="0" fontId="27" fillId="32" borderId="52" xfId="0" applyFont="1" applyFill="1" applyBorder="1" applyAlignment="1">
      <alignment horizontal="center"/>
    </xf>
    <xf numFmtId="0" fontId="0" fillId="0" borderId="213" xfId="0" applyBorder="1" applyAlignment="1">
      <alignment horizontal="left" vertical="center" wrapText="1"/>
    </xf>
    <xf numFmtId="0" fontId="8" fillId="0" borderId="155" xfId="0" applyFont="1" applyBorder="1" applyAlignment="1">
      <alignment horizontal="left" vertical="center"/>
    </xf>
    <xf numFmtId="0" fontId="8" fillId="0" borderId="156" xfId="0" applyFont="1" applyBorder="1" applyAlignment="1">
      <alignment horizontal="left" vertical="center"/>
    </xf>
    <xf numFmtId="0" fontId="0" fillId="0" borderId="10" xfId="0" applyBorder="1" applyAlignment="1">
      <alignment horizontal="left" vertical="center"/>
    </xf>
    <xf numFmtId="0" fontId="0" fillId="0" borderId="0" xfId="0" applyAlignment="1">
      <alignment horizontal="left" vertical="center"/>
    </xf>
    <xf numFmtId="0" fontId="8" fillId="0" borderId="157" xfId="0" applyFont="1" applyBorder="1" applyAlignment="1">
      <alignment horizontal="left" vertical="center"/>
    </xf>
    <xf numFmtId="0" fontId="0" fillId="0" borderId="214" xfId="0" applyBorder="1" applyAlignment="1">
      <alignment horizontal="left" vertical="center"/>
    </xf>
    <xf numFmtId="0" fontId="8" fillId="0" borderId="158" xfId="0" applyFont="1" applyBorder="1" applyAlignment="1">
      <alignment horizontal="left" vertical="center"/>
    </xf>
    <xf numFmtId="0" fontId="8" fillId="0" borderId="159" xfId="0" applyFont="1" applyBorder="1" applyAlignment="1">
      <alignment horizontal="left" vertical="center"/>
    </xf>
    <xf numFmtId="0" fontId="47" fillId="5" borderId="52" xfId="0" applyFont="1" applyFill="1" applyBorder="1" applyAlignment="1">
      <alignment horizontal="center"/>
    </xf>
    <xf numFmtId="0" fontId="47" fillId="5" borderId="62" xfId="0" applyFont="1" applyFill="1" applyBorder="1" applyAlignment="1">
      <alignment horizontal="center"/>
    </xf>
    <xf numFmtId="9" fontId="13" fillId="8" borderId="26" xfId="16" applyFont="1" applyFill="1" applyBorder="1" applyAlignment="1">
      <alignment horizontal="left"/>
    </xf>
    <xf numFmtId="9" fontId="13" fillId="8" borderId="25" xfId="16" applyFont="1" applyFill="1" applyBorder="1" applyAlignment="1">
      <alignment horizontal="left"/>
    </xf>
    <xf numFmtId="0" fontId="9" fillId="0" borderId="55" xfId="0" applyFont="1" applyBorder="1" applyAlignment="1">
      <alignment horizontal="center" vertical="center"/>
    </xf>
    <xf numFmtId="0" fontId="9" fillId="0" borderId="18" xfId="0" applyFont="1" applyBorder="1" applyAlignment="1">
      <alignment horizontal="center" vertical="center"/>
    </xf>
    <xf numFmtId="0" fontId="9" fillId="0" borderId="56" xfId="0" applyFont="1" applyBorder="1" applyAlignment="1">
      <alignment horizontal="center" vertical="center"/>
    </xf>
    <xf numFmtId="0" fontId="27" fillId="32" borderId="33" xfId="0" applyFont="1" applyFill="1" applyBorder="1" applyAlignment="1">
      <alignment horizontal="center"/>
    </xf>
    <xf numFmtId="0" fontId="27" fillId="32" borderId="27" xfId="0" applyFont="1" applyFill="1" applyBorder="1" applyAlignment="1">
      <alignment horizontal="center"/>
    </xf>
    <xf numFmtId="0" fontId="27" fillId="32" borderId="26" xfId="0" applyFont="1" applyFill="1" applyBorder="1" applyAlignment="1">
      <alignment horizontal="center"/>
    </xf>
    <xf numFmtId="0" fontId="27" fillId="32" borderId="24" xfId="0" applyFont="1" applyFill="1" applyBorder="1" applyAlignment="1">
      <alignment horizontal="center"/>
    </xf>
    <xf numFmtId="14" fontId="13" fillId="0" borderId="26" xfId="0" applyNumberFormat="1" applyFont="1" applyBorder="1" applyAlignment="1">
      <alignment horizontal="center"/>
    </xf>
    <xf numFmtId="14" fontId="13" fillId="0" borderId="25" xfId="0" applyNumberFormat="1" applyFont="1" applyBorder="1" applyAlignment="1">
      <alignment horizontal="center"/>
    </xf>
    <xf numFmtId="0" fontId="8" fillId="0" borderId="19" xfId="0" applyFont="1" applyBorder="1" applyAlignment="1">
      <alignment horizontal="left"/>
    </xf>
    <xf numFmtId="0" fontId="8" fillId="0" borderId="19" xfId="0" quotePrefix="1" applyFont="1" applyBorder="1" applyAlignment="1">
      <alignment horizontal="left"/>
    </xf>
    <xf numFmtId="0" fontId="21" fillId="0" borderId="22" xfId="0" applyFont="1" applyBorder="1" applyAlignment="1">
      <alignment horizontal="center" wrapText="1"/>
    </xf>
    <xf numFmtId="0" fontId="21" fillId="0" borderId="26" xfId="0" applyFont="1" applyBorder="1" applyAlignment="1">
      <alignment horizontal="center" wrapText="1"/>
    </xf>
    <xf numFmtId="0" fontId="21" fillId="0" borderId="22" xfId="0" applyFont="1" applyBorder="1" applyAlignment="1">
      <alignment horizontal="center" vertical="center" wrapText="1"/>
    </xf>
    <xf numFmtId="0" fontId="21" fillId="0" borderId="26" xfId="0" applyFont="1" applyBorder="1" applyAlignment="1">
      <alignment horizontal="center" vertical="center" wrapText="1"/>
    </xf>
    <xf numFmtId="0" fontId="47" fillId="5" borderId="33" xfId="0" applyFont="1" applyFill="1" applyBorder="1" applyAlignment="1">
      <alignment horizontal="center"/>
    </xf>
    <xf numFmtId="0" fontId="47" fillId="5" borderId="42" xfId="0" applyFont="1" applyFill="1" applyBorder="1" applyAlignment="1">
      <alignment horizontal="center"/>
    </xf>
    <xf numFmtId="0" fontId="47" fillId="5" borderId="22" xfId="0" applyFont="1" applyFill="1" applyBorder="1" applyAlignment="1">
      <alignment horizontal="center"/>
    </xf>
    <xf numFmtId="0" fontId="47" fillId="5" borderId="19" xfId="0" applyFont="1" applyFill="1" applyBorder="1" applyAlignment="1">
      <alignment horizontal="center"/>
    </xf>
    <xf numFmtId="0" fontId="47" fillId="5" borderId="28" xfId="0" applyFont="1" applyFill="1" applyBorder="1" applyAlignment="1">
      <alignment horizontal="center"/>
    </xf>
    <xf numFmtId="0" fontId="46" fillId="18" borderId="10" xfId="0" applyFont="1" applyFill="1" applyBorder="1" applyAlignment="1">
      <alignment horizontal="center"/>
    </xf>
    <xf numFmtId="0" fontId="46" fillId="18" borderId="0" xfId="0" applyFont="1" applyFill="1" applyAlignment="1">
      <alignment horizontal="center"/>
    </xf>
    <xf numFmtId="0" fontId="46" fillId="18" borderId="12" xfId="0" applyFont="1" applyFill="1" applyBorder="1" applyAlignment="1">
      <alignment horizontal="center"/>
    </xf>
    <xf numFmtId="166" fontId="9" fillId="12" borderId="145" xfId="0" applyNumberFormat="1" applyFont="1" applyFill="1" applyBorder="1" applyAlignment="1">
      <alignment horizontal="center" vertical="center"/>
    </xf>
    <xf numFmtId="166" fontId="9" fillId="12" borderId="120" xfId="0" applyNumberFormat="1" applyFont="1" applyFill="1" applyBorder="1" applyAlignment="1">
      <alignment horizontal="center" vertical="center"/>
    </xf>
    <xf numFmtId="166" fontId="9" fillId="12" borderId="146" xfId="0" applyNumberFormat="1" applyFont="1" applyFill="1" applyBorder="1" applyAlignment="1">
      <alignment horizontal="center" vertical="center"/>
    </xf>
    <xf numFmtId="0" fontId="13" fillId="0" borderId="24" xfId="0" applyFont="1" applyBorder="1" applyAlignment="1">
      <alignment horizontal="center"/>
    </xf>
    <xf numFmtId="0" fontId="13" fillId="0" borderId="25" xfId="0" applyFont="1" applyBorder="1" applyAlignment="1">
      <alignment horizontal="center"/>
    </xf>
    <xf numFmtId="0" fontId="8" fillId="8" borderId="26" xfId="0" applyFont="1" applyFill="1" applyBorder="1" applyAlignment="1">
      <alignment horizontal="left" vertical="center"/>
    </xf>
    <xf numFmtId="0" fontId="8" fillId="8" borderId="25" xfId="0" applyFont="1" applyFill="1" applyBorder="1" applyAlignment="1">
      <alignment horizontal="left" vertical="center"/>
    </xf>
    <xf numFmtId="0" fontId="34" fillId="8" borderId="122" xfId="0" applyFont="1" applyFill="1" applyBorder="1" applyAlignment="1">
      <alignment horizontal="center" vertical="center" wrapText="1"/>
    </xf>
    <xf numFmtId="0" fontId="34" fillId="8" borderId="136" xfId="0" applyFont="1" applyFill="1" applyBorder="1" applyAlignment="1">
      <alignment horizontal="center" vertical="center" wrapText="1"/>
    </xf>
    <xf numFmtId="0" fontId="34" fillId="8" borderId="146" xfId="0" applyFont="1" applyFill="1" applyBorder="1" applyAlignment="1">
      <alignment horizontal="center" vertical="center" wrapText="1"/>
    </xf>
    <xf numFmtId="0" fontId="0" fillId="8" borderId="189" xfId="0" applyFill="1" applyBorder="1" applyAlignment="1">
      <alignment horizontal="center" vertical="center" wrapText="1"/>
    </xf>
    <xf numFmtId="0" fontId="0" fillId="8" borderId="190" xfId="0" applyFill="1" applyBorder="1" applyAlignment="1">
      <alignment horizontal="center" vertical="center" wrapText="1"/>
    </xf>
    <xf numFmtId="0" fontId="0" fillId="8" borderId="191" xfId="0" applyFill="1" applyBorder="1" applyAlignment="1">
      <alignment horizontal="center" vertical="center" wrapText="1"/>
    </xf>
    <xf numFmtId="0" fontId="67" fillId="8" borderId="19" xfId="0" applyFont="1" applyFill="1" applyBorder="1" applyAlignment="1">
      <alignment horizontal="center" vertical="center" wrapText="1"/>
    </xf>
    <xf numFmtId="0" fontId="47" fillId="31" borderId="29" xfId="0" applyFont="1" applyFill="1" applyBorder="1" applyAlignment="1">
      <alignment horizontal="center" vertical="center" wrapText="1"/>
    </xf>
    <xf numFmtId="0" fontId="47" fillId="31" borderId="53" xfId="0" applyFont="1" applyFill="1" applyBorder="1" applyAlignment="1">
      <alignment horizontal="center" vertical="center" wrapText="1"/>
    </xf>
    <xf numFmtId="0" fontId="47" fillId="5" borderId="47" xfId="0" applyFont="1" applyFill="1" applyBorder="1" applyAlignment="1">
      <alignment horizontal="center"/>
    </xf>
    <xf numFmtId="0" fontId="47" fillId="5" borderId="48" xfId="0" applyFont="1" applyFill="1" applyBorder="1" applyAlignment="1">
      <alignment horizontal="center"/>
    </xf>
    <xf numFmtId="0" fontId="47" fillId="5" borderId="49" xfId="0" applyFont="1" applyFill="1" applyBorder="1" applyAlignment="1">
      <alignment horizontal="center"/>
    </xf>
    <xf numFmtId="0" fontId="27" fillId="32" borderId="26" xfId="0" applyFont="1" applyFill="1" applyBorder="1" applyAlignment="1">
      <alignment horizontal="center" vertical="center" wrapText="1"/>
    </xf>
    <xf numFmtId="0" fontId="27" fillId="32" borderId="24" xfId="0" applyFont="1" applyFill="1" applyBorder="1" applyAlignment="1">
      <alignment horizontal="center" vertical="center" wrapText="1"/>
    </xf>
    <xf numFmtId="0" fontId="27" fillId="32" borderId="25" xfId="0" applyFont="1" applyFill="1" applyBorder="1" applyAlignment="1">
      <alignment horizontal="center" vertical="center" wrapText="1"/>
    </xf>
    <xf numFmtId="0" fontId="8" fillId="28" borderId="26" xfId="0" applyFont="1" applyFill="1" applyBorder="1" applyAlignment="1">
      <alignment horizontal="center" vertical="center" wrapText="1"/>
    </xf>
    <xf numFmtId="0" fontId="8" fillId="28" borderId="24" xfId="0" applyFont="1" applyFill="1" applyBorder="1" applyAlignment="1">
      <alignment horizontal="center" vertical="center" wrapText="1"/>
    </xf>
    <xf numFmtId="0" fontId="8" fillId="28" borderId="25" xfId="0" applyFont="1" applyFill="1" applyBorder="1" applyAlignment="1">
      <alignment horizontal="center" vertical="center" wrapText="1"/>
    </xf>
    <xf numFmtId="0" fontId="47" fillId="5" borderId="212" xfId="0" applyFont="1" applyFill="1" applyBorder="1" applyAlignment="1">
      <alignment horizontal="center"/>
    </xf>
    <xf numFmtId="0" fontId="47" fillId="5" borderId="180" xfId="0" applyFont="1" applyFill="1" applyBorder="1" applyAlignment="1">
      <alignment horizontal="center"/>
    </xf>
    <xf numFmtId="0" fontId="47" fillId="5" borderId="119" xfId="0" applyFont="1" applyFill="1" applyBorder="1" applyAlignment="1">
      <alignment horizontal="center"/>
    </xf>
    <xf numFmtId="0" fontId="47" fillId="5" borderId="27" xfId="0" applyFont="1" applyFill="1" applyBorder="1" applyAlignment="1">
      <alignment horizontal="center"/>
    </xf>
    <xf numFmtId="0" fontId="8" fillId="0" borderId="19" xfId="0" applyFont="1" applyBorder="1" applyAlignment="1">
      <alignment horizontal="left" vertical="center"/>
    </xf>
    <xf numFmtId="0" fontId="47" fillId="5" borderId="125" xfId="0" applyFont="1" applyFill="1" applyBorder="1" applyAlignment="1">
      <alignment horizontal="center"/>
    </xf>
    <xf numFmtId="0" fontId="47" fillId="5" borderId="181" xfId="0" applyFont="1" applyFill="1" applyBorder="1" applyAlignment="1">
      <alignment horizontal="center"/>
    </xf>
    <xf numFmtId="0" fontId="47" fillId="5" borderId="182" xfId="0" applyFont="1" applyFill="1" applyBorder="1" applyAlignment="1">
      <alignment horizontal="center"/>
    </xf>
    <xf numFmtId="0" fontId="47" fillId="5" borderId="10" xfId="0" applyFont="1" applyFill="1" applyBorder="1" applyAlignment="1">
      <alignment horizontal="center"/>
    </xf>
    <xf numFmtId="0" fontId="47" fillId="5" borderId="0" xfId="0" applyFont="1" applyFill="1" applyAlignment="1">
      <alignment horizontal="center"/>
    </xf>
    <xf numFmtId="0" fontId="47" fillId="5" borderId="120" xfId="0" applyFont="1" applyFill="1" applyBorder="1" applyAlignment="1">
      <alignment horizontal="center"/>
    </xf>
    <xf numFmtId="0" fontId="27" fillId="32" borderId="135" xfId="0" applyFont="1" applyFill="1" applyBorder="1" applyAlignment="1">
      <alignment horizontal="center"/>
    </xf>
    <xf numFmtId="0" fontId="27" fillId="32" borderId="119" xfId="0" applyFont="1" applyFill="1" applyBorder="1" applyAlignment="1">
      <alignment horizontal="center"/>
    </xf>
    <xf numFmtId="0" fontId="27" fillId="32" borderId="188" xfId="0" applyFont="1" applyFill="1" applyBorder="1" applyAlignment="1">
      <alignment horizontal="center"/>
    </xf>
    <xf numFmtId="0" fontId="27" fillId="32" borderId="122" xfId="0" applyFont="1" applyFill="1" applyBorder="1" applyAlignment="1">
      <alignment horizontal="center"/>
    </xf>
    <xf numFmtId="0" fontId="27" fillId="32" borderId="136" xfId="0" applyFont="1" applyFill="1" applyBorder="1" applyAlignment="1">
      <alignment horizontal="center"/>
    </xf>
    <xf numFmtId="0" fontId="27" fillId="32" borderId="146" xfId="0" applyFont="1" applyFill="1" applyBorder="1" applyAlignment="1">
      <alignment horizontal="center"/>
    </xf>
    <xf numFmtId="0" fontId="34" fillId="8" borderId="184" xfId="0" applyFont="1" applyFill="1" applyBorder="1" applyAlignment="1">
      <alignment horizontal="center" vertical="center" wrapText="1"/>
    </xf>
    <xf numFmtId="0" fontId="0" fillId="8" borderId="185" xfId="0" applyFill="1" applyBorder="1" applyAlignment="1">
      <alignment horizontal="center" vertical="center" wrapText="1"/>
    </xf>
    <xf numFmtId="0" fontId="0" fillId="8" borderId="186" xfId="0" applyFill="1" applyBorder="1" applyAlignment="1">
      <alignment horizontal="center" vertical="center" wrapText="1"/>
    </xf>
    <xf numFmtId="0" fontId="27" fillId="32" borderId="62" xfId="0" applyFont="1" applyFill="1" applyBorder="1" applyAlignment="1">
      <alignment horizontal="center"/>
    </xf>
    <xf numFmtId="0" fontId="9" fillId="8" borderId="124" xfId="0" applyFont="1" applyFill="1" applyBorder="1" applyAlignment="1">
      <alignment horizontal="center" vertical="center" wrapText="1"/>
    </xf>
    <xf numFmtId="0" fontId="9" fillId="8" borderId="121" xfId="0" applyFont="1" applyFill="1" applyBorder="1" applyAlignment="1">
      <alignment horizontal="center" vertical="center" wrapText="1"/>
    </xf>
    <xf numFmtId="167" fontId="45" fillId="12" borderId="125" xfId="16" applyNumberFormat="1" applyFont="1" applyFill="1" applyBorder="1" applyAlignment="1">
      <alignment horizontal="center" vertical="center"/>
    </xf>
    <xf numFmtId="167" fontId="45" fillId="12" borderId="145" xfId="16" applyNumberFormat="1" applyFont="1" applyFill="1" applyBorder="1" applyAlignment="1">
      <alignment horizontal="center" vertical="center"/>
    </xf>
    <xf numFmtId="167" fontId="45" fillId="12" borderId="122" xfId="16" applyNumberFormat="1" applyFont="1" applyFill="1" applyBorder="1" applyAlignment="1">
      <alignment horizontal="center" vertical="center"/>
    </xf>
    <xf numFmtId="167" fontId="45" fillId="12" borderId="146" xfId="16" applyNumberFormat="1" applyFont="1" applyFill="1" applyBorder="1" applyAlignment="1">
      <alignment horizontal="center" vertical="center"/>
    </xf>
    <xf numFmtId="167" fontId="45" fillId="12" borderId="123" xfId="16" applyNumberFormat="1" applyFont="1" applyFill="1" applyBorder="1" applyAlignment="1">
      <alignment horizontal="center" vertical="center"/>
    </xf>
    <xf numFmtId="167" fontId="45" fillId="12" borderId="120" xfId="16" applyNumberFormat="1" applyFont="1" applyFill="1" applyBorder="1" applyAlignment="1">
      <alignment horizontal="center" vertical="center"/>
    </xf>
    <xf numFmtId="167" fontId="9" fillId="0" borderId="124" xfId="16" applyNumberFormat="1" applyFont="1" applyBorder="1" applyAlignment="1">
      <alignment horizontal="center" vertical="center" wrapText="1"/>
    </xf>
    <xf numFmtId="167" fontId="9" fillId="0" borderId="222" xfId="16" applyNumberFormat="1" applyFont="1" applyBorder="1" applyAlignment="1">
      <alignment horizontal="center" vertical="center" wrapText="1"/>
    </xf>
    <xf numFmtId="167" fontId="9" fillId="0" borderId="251" xfId="16" applyNumberFormat="1" applyFont="1" applyBorder="1" applyAlignment="1">
      <alignment horizontal="center" vertical="center" wrapText="1"/>
    </xf>
    <xf numFmtId="167" fontId="9" fillId="0" borderId="220" xfId="16" applyNumberFormat="1" applyFont="1" applyBorder="1" applyAlignment="1">
      <alignment horizontal="center" vertical="center" wrapText="1"/>
    </xf>
    <xf numFmtId="9" fontId="45" fillId="12" borderId="221" xfId="16" applyFont="1" applyFill="1" applyBorder="1" applyAlignment="1">
      <alignment horizontal="center" vertical="center"/>
    </xf>
    <xf numFmtId="9" fontId="45" fillId="12" borderId="192" xfId="16" applyFont="1" applyFill="1" applyBorder="1" applyAlignment="1">
      <alignment horizontal="center" vertical="center"/>
    </xf>
    <xf numFmtId="0" fontId="9" fillId="23" borderId="124" xfId="0" applyFont="1" applyFill="1" applyBorder="1" applyAlignment="1">
      <alignment horizontal="center" vertical="center" wrapText="1"/>
    </xf>
    <xf numFmtId="0" fontId="9" fillId="23" borderId="121" xfId="0" applyFont="1" applyFill="1" applyBorder="1" applyAlignment="1">
      <alignment horizontal="center" vertical="center" wrapText="1"/>
    </xf>
    <xf numFmtId="0" fontId="9" fillId="23" borderId="250" xfId="0" applyFont="1" applyFill="1" applyBorder="1" applyAlignment="1">
      <alignment horizontal="center" vertical="center" wrapText="1"/>
    </xf>
    <xf numFmtId="0" fontId="27" fillId="9" borderId="66" xfId="0" applyFont="1" applyFill="1" applyBorder="1" applyAlignment="1">
      <alignment horizontal="center" vertical="center"/>
    </xf>
    <xf numFmtId="0" fontId="8" fillId="0" borderId="160" xfId="0" applyFont="1" applyBorder="1" applyAlignment="1">
      <alignment horizontal="left" vertical="center" wrapText="1"/>
    </xf>
    <xf numFmtId="0" fontId="70" fillId="0" borderId="155" xfId="0" applyFont="1" applyBorder="1" applyAlignment="1">
      <alignment horizontal="left" vertical="center"/>
    </xf>
    <xf numFmtId="0" fontId="70" fillId="0" borderId="156" xfId="0" applyFont="1" applyBorder="1" applyAlignment="1">
      <alignment horizontal="left" vertical="center"/>
    </xf>
    <xf numFmtId="0" fontId="70" fillId="0" borderId="161" xfId="0" applyFont="1" applyBorder="1" applyAlignment="1">
      <alignment horizontal="left" vertical="center"/>
    </xf>
    <xf numFmtId="0" fontId="70" fillId="0" borderId="0" xfId="0" applyFont="1" applyAlignment="1">
      <alignment horizontal="left" vertical="center"/>
    </xf>
    <xf numFmtId="0" fontId="70" fillId="0" borderId="157" xfId="0" applyFont="1" applyBorder="1" applyAlignment="1">
      <alignment horizontal="left" vertical="center"/>
    </xf>
    <xf numFmtId="0" fontId="70" fillId="0" borderId="162" xfId="0" applyFont="1" applyBorder="1" applyAlignment="1">
      <alignment horizontal="left" vertical="center"/>
    </xf>
    <xf numFmtId="0" fontId="70" fillId="0" borderId="158" xfId="0" applyFont="1" applyBorder="1" applyAlignment="1">
      <alignment horizontal="left" vertical="center"/>
    </xf>
    <xf numFmtId="0" fontId="70" fillId="0" borderId="159" xfId="0" applyFont="1" applyBorder="1" applyAlignment="1">
      <alignment horizontal="left" vertical="center"/>
    </xf>
    <xf numFmtId="0" fontId="8" fillId="0" borderId="161" xfId="0" applyFont="1" applyBorder="1" applyAlignment="1">
      <alignment horizontal="left" vertical="center"/>
    </xf>
    <xf numFmtId="0" fontId="8" fillId="0" borderId="162" xfId="0" applyFont="1" applyBorder="1" applyAlignment="1">
      <alignment horizontal="left" vertical="center"/>
    </xf>
    <xf numFmtId="0" fontId="70" fillId="0" borderId="10" xfId="0" applyFont="1" applyBorder="1" applyAlignment="1">
      <alignment horizontal="left" vertical="center"/>
    </xf>
    <xf numFmtId="0" fontId="70" fillId="0" borderId="214" xfId="0" applyFont="1" applyBorder="1" applyAlignment="1">
      <alignment horizontal="left" vertical="center"/>
    </xf>
    <xf numFmtId="0" fontId="63" fillId="8" borderId="60" xfId="0" applyFont="1" applyFill="1" applyBorder="1" applyAlignment="1">
      <alignment horizontal="center"/>
    </xf>
    <xf numFmtId="0" fontId="27" fillId="8" borderId="60" xfId="0" applyFont="1" applyFill="1" applyBorder="1" applyAlignment="1">
      <alignment horizontal="center"/>
    </xf>
    <xf numFmtId="0" fontId="8" fillId="0" borderId="2" xfId="0" applyFont="1" applyBorder="1" applyAlignment="1">
      <alignment horizontal="left" vertical="top" wrapText="1"/>
    </xf>
    <xf numFmtId="0" fontId="8" fillId="0" borderId="61" xfId="0" applyFont="1" applyBorder="1" applyAlignment="1">
      <alignment horizontal="left" vertical="top" wrapText="1"/>
    </xf>
    <xf numFmtId="0" fontId="0" fillId="0" borderId="215" xfId="0" applyBorder="1" applyAlignment="1">
      <alignment horizontal="left" vertical="top" wrapText="1"/>
    </xf>
    <xf numFmtId="0" fontId="8" fillId="0" borderId="46" xfId="0" applyFont="1" applyBorder="1" applyAlignment="1">
      <alignment horizontal="left" vertical="top" wrapText="1"/>
    </xf>
    <xf numFmtId="0" fontId="8" fillId="0" borderId="59" xfId="0" applyFont="1" applyBorder="1" applyAlignment="1">
      <alignment horizontal="left" vertical="top" wrapText="1"/>
    </xf>
    <xf numFmtId="0" fontId="0" fillId="0" borderId="216" xfId="0" applyBorder="1" applyAlignment="1">
      <alignment horizontal="left" vertical="top" wrapText="1"/>
    </xf>
    <xf numFmtId="0" fontId="0" fillId="0" borderId="217" xfId="0" applyBorder="1" applyAlignment="1">
      <alignment horizontal="left" vertical="top" wrapText="1"/>
    </xf>
    <xf numFmtId="0" fontId="0" fillId="0" borderId="218" xfId="0" applyBorder="1" applyAlignment="1">
      <alignment horizontal="left" vertical="top" wrapText="1"/>
    </xf>
    <xf numFmtId="0" fontId="92" fillId="0" borderId="50" xfId="0" applyFont="1" applyBorder="1" applyAlignment="1">
      <alignment horizontal="left" vertical="top" wrapText="1"/>
    </xf>
    <xf numFmtId="0" fontId="92" fillId="0" borderId="0" xfId="0" applyFont="1" applyAlignment="1">
      <alignment horizontal="left" vertical="top" wrapText="1"/>
    </xf>
    <xf numFmtId="0" fontId="92" fillId="0" borderId="51" xfId="0" applyFont="1" applyBorder="1" applyAlignment="1">
      <alignment horizontal="left" vertical="top" wrapText="1"/>
    </xf>
    <xf numFmtId="0" fontId="92" fillId="0" borderId="68" xfId="0" applyFont="1" applyBorder="1" applyAlignment="1">
      <alignment horizontal="left" vertical="top" wrapText="1"/>
    </xf>
    <xf numFmtId="0" fontId="92" fillId="0" borderId="69" xfId="0" applyFont="1" applyBorder="1" applyAlignment="1">
      <alignment horizontal="left" vertical="top" wrapText="1"/>
    </xf>
    <xf numFmtId="0" fontId="92" fillId="0" borderId="70" xfId="0" applyFont="1" applyBorder="1" applyAlignment="1">
      <alignment horizontal="left" vertical="top" wrapText="1"/>
    </xf>
    <xf numFmtId="0" fontId="0" fillId="0" borderId="50" xfId="0" applyBorder="1" applyAlignment="1">
      <alignment horizontal="left" vertical="top" wrapText="1"/>
    </xf>
    <xf numFmtId="0" fontId="0" fillId="0" borderId="0" xfId="0" applyAlignment="1">
      <alignment horizontal="left" vertical="top" wrapText="1"/>
    </xf>
    <xf numFmtId="0" fontId="0" fillId="0" borderId="51" xfId="0" applyBorder="1" applyAlignment="1">
      <alignment horizontal="left" vertical="top" wrapText="1"/>
    </xf>
    <xf numFmtId="0" fontId="31" fillId="18" borderId="50" xfId="0" applyFont="1" applyFill="1" applyBorder="1" applyAlignment="1">
      <alignment horizontal="center"/>
    </xf>
    <xf numFmtId="0" fontId="31" fillId="18" borderId="0" xfId="0" applyFont="1" applyFill="1" applyAlignment="1">
      <alignment horizontal="center"/>
    </xf>
    <xf numFmtId="0" fontId="9" fillId="0" borderId="73" xfId="0" applyFont="1" applyBorder="1" applyAlignment="1">
      <alignment horizontal="center" vertical="center"/>
    </xf>
    <xf numFmtId="0" fontId="9" fillId="0" borderId="75" xfId="0" applyFont="1" applyBorder="1" applyAlignment="1">
      <alignment horizontal="center" vertical="center"/>
    </xf>
    <xf numFmtId="0" fontId="31" fillId="5" borderId="73" xfId="0" applyFont="1" applyFill="1" applyBorder="1" applyAlignment="1">
      <alignment horizontal="center"/>
    </xf>
    <xf numFmtId="0" fontId="31" fillId="5" borderId="74" xfId="0" applyFont="1" applyFill="1" applyBorder="1" applyAlignment="1">
      <alignment horizontal="center"/>
    </xf>
    <xf numFmtId="0" fontId="31" fillId="5" borderId="75" xfId="0" applyFont="1" applyFill="1" applyBorder="1" applyAlignment="1">
      <alignment horizontal="center"/>
    </xf>
    <xf numFmtId="0" fontId="0" fillId="0" borderId="73" xfId="0" applyBorder="1" applyAlignment="1">
      <alignment horizontal="center"/>
    </xf>
    <xf numFmtId="0" fontId="0" fillId="0" borderId="74" xfId="0" applyBorder="1" applyAlignment="1">
      <alignment horizontal="center" vertical="center" wrapText="1"/>
    </xf>
    <xf numFmtId="0" fontId="0" fillId="0" borderId="75" xfId="0" applyBorder="1" applyAlignment="1">
      <alignment horizontal="center" vertical="center" wrapText="1"/>
    </xf>
    <xf numFmtId="0" fontId="0" fillId="0" borderId="0" xfId="0" applyAlignment="1">
      <alignment horizontal="center"/>
    </xf>
    <xf numFmtId="0" fontId="0" fillId="0" borderId="254" xfId="0" applyBorder="1" applyAlignment="1">
      <alignment horizontal="center" vertical="center" wrapText="1"/>
    </xf>
    <xf numFmtId="0" fontId="34" fillId="0" borderId="93" xfId="0" applyFont="1" applyBorder="1" applyAlignment="1">
      <alignment horizontal="center" vertical="center" wrapText="1"/>
    </xf>
    <xf numFmtId="0" fontId="0" fillId="0" borderId="40" xfId="0" applyBorder="1" applyAlignment="1">
      <alignment horizontal="center" vertical="center" wrapText="1"/>
    </xf>
    <xf numFmtId="0" fontId="0" fillId="0" borderId="94" xfId="0" applyBorder="1" applyAlignment="1">
      <alignment horizontal="center" vertical="center" wrapText="1"/>
    </xf>
    <xf numFmtId="0" fontId="0" fillId="0" borderId="72" xfId="0" applyBorder="1" applyAlignment="1">
      <alignment horizontal="center" vertical="center" wrapText="1"/>
    </xf>
    <xf numFmtId="0" fontId="31" fillId="5" borderId="68" xfId="0" applyFont="1" applyFill="1" applyBorder="1" applyAlignment="1">
      <alignment horizontal="center"/>
    </xf>
    <xf numFmtId="0" fontId="31" fillId="5" borderId="69" xfId="0" applyFont="1" applyFill="1" applyBorder="1" applyAlignment="1">
      <alignment horizontal="center"/>
    </xf>
    <xf numFmtId="0" fontId="46" fillId="5" borderId="74" xfId="0" applyFont="1" applyFill="1" applyBorder="1" applyAlignment="1">
      <alignment horizontal="center"/>
    </xf>
    <xf numFmtId="0" fontId="46" fillId="5" borderId="75" xfId="0" applyFont="1" applyFill="1" applyBorder="1" applyAlignment="1">
      <alignment horizontal="center"/>
    </xf>
    <xf numFmtId="0" fontId="89" fillId="0" borderId="73" xfId="0" applyFont="1" applyBorder="1" applyAlignment="1">
      <alignment horizontal="center" vertical="center"/>
    </xf>
    <xf numFmtId="0" fontId="0" fillId="0" borderId="80" xfId="0" applyBorder="1" applyAlignment="1">
      <alignment horizontal="center" vertical="center"/>
    </xf>
    <xf numFmtId="0" fontId="0" fillId="0" borderId="81" xfId="0" applyBorder="1" applyAlignment="1">
      <alignment horizontal="center" vertical="center"/>
    </xf>
    <xf numFmtId="0" fontId="13" fillId="14" borderId="73" xfId="0" applyFont="1" applyFill="1" applyBorder="1" applyAlignment="1">
      <alignment horizontal="center"/>
    </xf>
    <xf numFmtId="0" fontId="13" fillId="14" borderId="75" xfId="0" applyFont="1" applyFill="1" applyBorder="1" applyAlignment="1">
      <alignment horizontal="center"/>
    </xf>
    <xf numFmtId="10" fontId="13" fillId="0" borderId="40" xfId="16" applyNumberFormat="1" applyFont="1" applyBorder="1" applyAlignment="1">
      <alignment horizontal="center"/>
    </xf>
    <xf numFmtId="10" fontId="13" fillId="0" borderId="225" xfId="16" applyNumberFormat="1" applyFont="1" applyBorder="1" applyAlignment="1">
      <alignment horizontal="center"/>
    </xf>
    <xf numFmtId="0" fontId="13" fillId="24" borderId="78" xfId="0" applyFont="1" applyFill="1" applyBorder="1" applyAlignment="1">
      <alignment horizontal="center"/>
    </xf>
    <xf numFmtId="0" fontId="13" fillId="24" borderId="241" xfId="0" applyFont="1" applyFill="1" applyBorder="1" applyAlignment="1">
      <alignment horizontal="center"/>
    </xf>
    <xf numFmtId="0" fontId="13" fillId="24" borderId="79" xfId="0" applyFont="1" applyFill="1" applyBorder="1" applyAlignment="1">
      <alignment horizontal="center"/>
    </xf>
    <xf numFmtId="0" fontId="0" fillId="0" borderId="83" xfId="0" applyBorder="1" applyAlignment="1">
      <alignment horizontal="center"/>
    </xf>
    <xf numFmtId="0" fontId="0" fillId="0" borderId="84" xfId="0" applyBorder="1" applyAlignment="1">
      <alignment horizontal="center"/>
    </xf>
    <xf numFmtId="0" fontId="10" fillId="0" borderId="80" xfId="11" applyBorder="1" applyAlignment="1" applyProtection="1">
      <alignment horizontal="center"/>
    </xf>
    <xf numFmtId="0" fontId="44" fillId="0" borderId="81" xfId="0" applyFont="1" applyBorder="1" applyAlignment="1">
      <alignment horizontal="center"/>
    </xf>
    <xf numFmtId="0" fontId="13" fillId="0" borderId="226" xfId="0" applyFont="1" applyBorder="1" applyAlignment="1">
      <alignment horizontal="center"/>
    </xf>
    <xf numFmtId="0" fontId="13" fillId="0" borderId="155" xfId="0" applyFont="1" applyBorder="1" applyAlignment="1">
      <alignment horizontal="center"/>
    </xf>
    <xf numFmtId="0" fontId="13" fillId="0" borderId="227" xfId="0" applyFont="1" applyBorder="1" applyAlignment="1">
      <alignment horizontal="center"/>
    </xf>
    <xf numFmtId="10" fontId="13" fillId="0" borderId="80" xfId="16" applyNumberFormat="1" applyFont="1" applyBorder="1" applyAlignment="1">
      <alignment horizontal="center"/>
    </xf>
    <xf numFmtId="10" fontId="13" fillId="0" borderId="82" xfId="16" applyNumberFormat="1" applyFont="1" applyBorder="1" applyAlignment="1">
      <alignment horizontal="center"/>
    </xf>
    <xf numFmtId="10" fontId="13" fillId="0" borderId="81" xfId="16" applyNumberFormat="1" applyFont="1" applyBorder="1" applyAlignment="1">
      <alignment horizontal="center"/>
    </xf>
    <xf numFmtId="10" fontId="13" fillId="0" borderId="226" xfId="16" applyNumberFormat="1" applyFont="1" applyBorder="1" applyAlignment="1">
      <alignment horizontal="center"/>
    </xf>
    <xf numFmtId="10" fontId="13" fillId="0" borderId="155" xfId="16" applyNumberFormat="1" applyFont="1" applyBorder="1" applyAlignment="1">
      <alignment horizontal="center"/>
    </xf>
    <xf numFmtId="10" fontId="13" fillId="0" borderId="227" xfId="16" applyNumberFormat="1" applyFont="1" applyBorder="1" applyAlignment="1">
      <alignment horizontal="center"/>
    </xf>
    <xf numFmtId="0" fontId="31" fillId="5" borderId="71" xfId="0" applyFont="1" applyFill="1" applyBorder="1" applyAlignment="1">
      <alignment horizontal="center"/>
    </xf>
    <xf numFmtId="0" fontId="31" fillId="5" borderId="76" xfId="0" applyFont="1" applyFill="1" applyBorder="1" applyAlignment="1">
      <alignment horizontal="center"/>
    </xf>
    <xf numFmtId="0" fontId="31" fillId="5" borderId="77" xfId="0" applyFont="1" applyFill="1" applyBorder="1" applyAlignment="1">
      <alignment horizontal="center"/>
    </xf>
    <xf numFmtId="0" fontId="31" fillId="5" borderId="0" xfId="0" applyFont="1" applyFill="1" applyAlignment="1">
      <alignment horizontal="center"/>
    </xf>
    <xf numFmtId="0" fontId="31" fillId="5" borderId="51" xfId="0" applyFont="1" applyFill="1" applyBorder="1" applyAlignment="1">
      <alignment horizontal="center"/>
    </xf>
    <xf numFmtId="0" fontId="46" fillId="5" borderId="71" xfId="0" applyFont="1" applyFill="1" applyBorder="1" applyAlignment="1">
      <alignment horizontal="center"/>
    </xf>
    <xf numFmtId="0" fontId="46" fillId="5" borderId="76" xfId="0" applyFont="1" applyFill="1" applyBorder="1" applyAlignment="1">
      <alignment horizontal="center"/>
    </xf>
    <xf numFmtId="0" fontId="46" fillId="5" borderId="243" xfId="0" applyFont="1" applyFill="1" applyBorder="1" applyAlignment="1">
      <alignment horizontal="center"/>
    </xf>
    <xf numFmtId="0" fontId="46" fillId="5" borderId="244" xfId="0" applyFont="1" applyFill="1" applyBorder="1" applyAlignment="1">
      <alignment horizontal="center"/>
    </xf>
    <xf numFmtId="0" fontId="31" fillId="5" borderId="73" xfId="0" applyFont="1" applyFill="1" applyBorder="1" applyAlignment="1">
      <alignment horizontal="center" vertical="center"/>
    </xf>
    <xf numFmtId="0" fontId="31" fillId="5" borderId="74" xfId="0" applyFont="1" applyFill="1" applyBorder="1" applyAlignment="1">
      <alignment horizontal="center" vertical="center"/>
    </xf>
    <xf numFmtId="0" fontId="31" fillId="5" borderId="76" xfId="0" applyFont="1" applyFill="1" applyBorder="1" applyAlignment="1">
      <alignment horizontal="center" vertical="center"/>
    </xf>
    <xf numFmtId="0" fontId="31" fillId="5" borderId="77" xfId="0" applyFont="1" applyFill="1" applyBorder="1" applyAlignment="1">
      <alignment horizontal="center" vertical="center"/>
    </xf>
    <xf numFmtId="0" fontId="13" fillId="0" borderId="80" xfId="0" applyFont="1" applyBorder="1" applyAlignment="1">
      <alignment horizontal="center"/>
    </xf>
    <xf numFmtId="0" fontId="13" fillId="0" borderId="82" xfId="0" applyFont="1" applyBorder="1" applyAlignment="1">
      <alignment horizontal="center"/>
    </xf>
    <xf numFmtId="0" fontId="13" fillId="0" borderId="81" xfId="0" applyFont="1" applyBorder="1" applyAlignment="1">
      <alignment horizontal="center"/>
    </xf>
    <xf numFmtId="0" fontId="13" fillId="14" borderId="74" xfId="0" applyFont="1" applyFill="1" applyBorder="1" applyAlignment="1">
      <alignment horizontal="center"/>
    </xf>
    <xf numFmtId="0" fontId="10" fillId="0" borderId="226" xfId="11" applyBorder="1" applyAlignment="1" applyProtection="1">
      <alignment horizontal="center"/>
    </xf>
    <xf numFmtId="0" fontId="44" fillId="0" borderId="227" xfId="0" applyFont="1" applyBorder="1" applyAlignment="1">
      <alignment horizontal="center"/>
    </xf>
    <xf numFmtId="0" fontId="44" fillId="0" borderId="224" xfId="0" applyFont="1" applyBorder="1" applyAlignment="1">
      <alignment horizontal="center"/>
    </xf>
    <xf numFmtId="0" fontId="44" fillId="0" borderId="225" xfId="0" applyFont="1" applyBorder="1" applyAlignment="1">
      <alignment horizontal="center"/>
    </xf>
    <xf numFmtId="0" fontId="8" fillId="0" borderId="80" xfId="0" applyFont="1" applyBorder="1" applyAlignment="1">
      <alignment horizontal="center" wrapText="1"/>
    </xf>
    <xf numFmtId="0" fontId="8" fillId="0" borderId="82" xfId="0" applyFont="1" applyBorder="1" applyAlignment="1">
      <alignment horizontal="center" wrapText="1"/>
    </xf>
    <xf numFmtId="0" fontId="8" fillId="0" borderId="81" xfId="0" applyFont="1" applyBorder="1" applyAlignment="1">
      <alignment horizontal="center" wrapText="1"/>
    </xf>
    <xf numFmtId="0" fontId="8" fillId="0" borderId="83" xfId="0" applyFont="1" applyBorder="1" applyAlignment="1">
      <alignment horizontal="center"/>
    </xf>
    <xf numFmtId="0" fontId="8" fillId="0" borderId="242" xfId="0" applyFont="1" applyBorder="1" applyAlignment="1">
      <alignment horizontal="center"/>
    </xf>
    <xf numFmtId="0" fontId="8" fillId="0" borderId="84" xfId="0" applyFont="1" applyBorder="1" applyAlignment="1">
      <alignment horizontal="center"/>
    </xf>
    <xf numFmtId="0" fontId="68" fillId="0" borderId="107" xfId="0" applyFont="1" applyBorder="1" applyAlignment="1">
      <alignment horizontal="center" vertical="center" wrapText="1"/>
    </xf>
    <xf numFmtId="0" fontId="23" fillId="0" borderId="108" xfId="0" applyFont="1" applyBorder="1" applyAlignment="1">
      <alignment horizontal="center" vertical="center" wrapText="1"/>
    </xf>
    <xf numFmtId="0" fontId="23" fillId="0" borderId="228" xfId="0" applyFont="1" applyBorder="1" applyAlignment="1">
      <alignment horizontal="center" vertical="center" wrapText="1"/>
    </xf>
    <xf numFmtId="0" fontId="50" fillId="5" borderId="65" xfId="0" applyFont="1" applyFill="1" applyBorder="1" applyAlignment="1">
      <alignment horizontal="center"/>
    </xf>
    <xf numFmtId="0" fontId="8" fillId="39" borderId="207" xfId="0" applyFont="1" applyFill="1" applyBorder="1" applyAlignment="1">
      <alignment horizontal="center" vertical="center" wrapText="1"/>
    </xf>
    <xf numFmtId="0" fontId="73" fillId="0" borderId="65" xfId="0" applyFont="1" applyBorder="1" applyAlignment="1">
      <alignment horizontal="center" vertical="center" wrapText="1"/>
    </xf>
    <xf numFmtId="0" fontId="73" fillId="0" borderId="208" xfId="0" applyFont="1" applyBorder="1" applyAlignment="1">
      <alignment horizontal="center" vertical="center" wrapText="1"/>
    </xf>
    <xf numFmtId="0" fontId="27" fillId="5" borderId="204" xfId="26" applyFont="1" applyFill="1" applyBorder="1" applyAlignment="1">
      <alignment horizontal="center" vertical="center"/>
    </xf>
    <xf numFmtId="0" fontId="27" fillId="5" borderId="205" xfId="26" applyFont="1" applyFill="1" applyBorder="1" applyAlignment="1">
      <alignment horizontal="center" vertical="center"/>
    </xf>
    <xf numFmtId="0" fontId="27" fillId="5" borderId="206" xfId="26" applyFont="1" applyFill="1" applyBorder="1" applyAlignment="1">
      <alignment horizontal="center" vertical="center"/>
    </xf>
    <xf numFmtId="0" fontId="8" fillId="45" borderId="207" xfId="0" applyFont="1" applyFill="1" applyBorder="1" applyAlignment="1">
      <alignment horizontal="center" vertical="center" wrapText="1"/>
    </xf>
    <xf numFmtId="0" fontId="8" fillId="44" borderId="207" xfId="0" applyFont="1" applyFill="1" applyBorder="1" applyAlignment="1">
      <alignment horizontal="center" vertical="center" wrapText="1"/>
    </xf>
    <xf numFmtId="0" fontId="8" fillId="44" borderId="209" xfId="0" applyFont="1" applyFill="1" applyBorder="1" applyAlignment="1">
      <alignment horizontal="center" vertical="center" wrapText="1"/>
    </xf>
    <xf numFmtId="0" fontId="73" fillId="0" borderId="210" xfId="0" applyFont="1" applyBorder="1" applyAlignment="1">
      <alignment horizontal="center" vertical="center" wrapText="1"/>
    </xf>
    <xf numFmtId="0" fontId="73" fillId="0" borderId="211" xfId="0" applyFont="1" applyBorder="1" applyAlignment="1">
      <alignment horizontal="center" vertical="center" wrapText="1"/>
    </xf>
    <xf numFmtId="2" fontId="0" fillId="0" borderId="0" xfId="26" applyNumberFormat="1" applyFont="1" applyAlignment="1">
      <alignment horizontal="center"/>
    </xf>
    <xf numFmtId="0" fontId="16" fillId="18" borderId="109" xfId="1" applyFill="1" applyBorder="1" applyAlignment="1">
      <alignment horizontal="center" vertical="center" readingOrder="1"/>
    </xf>
    <xf numFmtId="0" fontId="53" fillId="18" borderId="109" xfId="26" applyFont="1" applyFill="1" applyBorder="1" applyAlignment="1">
      <alignment horizontal="center"/>
    </xf>
    <xf numFmtId="0" fontId="0" fillId="0" borderId="0" xfId="26" applyFont="1" applyAlignment="1">
      <alignment horizontal="center"/>
    </xf>
    <xf numFmtId="0" fontId="27" fillId="5" borderId="131" xfId="26" applyFont="1" applyFill="1" applyBorder="1" applyAlignment="1">
      <alignment horizontal="center" vertical="center"/>
    </xf>
    <xf numFmtId="0" fontId="27" fillId="5" borderId="30" xfId="26" applyFont="1" applyFill="1" applyBorder="1" applyAlignment="1">
      <alignment horizontal="center" vertical="center"/>
    </xf>
    <xf numFmtId="0" fontId="27" fillId="5" borderId="31" xfId="26" applyFont="1" applyFill="1" applyBorder="1" applyAlignment="1">
      <alignment horizontal="center" vertical="center"/>
    </xf>
    <xf numFmtId="0" fontId="29" fillId="0" borderId="132" xfId="26" applyFont="1" applyBorder="1" applyAlignment="1">
      <alignment horizontal="center" vertical="center" wrapText="1"/>
    </xf>
    <xf numFmtId="0" fontId="29" fillId="0" borderId="133" xfId="26" applyFont="1" applyBorder="1" applyAlignment="1">
      <alignment horizontal="center" vertical="center" wrapText="1"/>
    </xf>
    <xf numFmtId="0" fontId="29" fillId="0" borderId="134" xfId="26" applyFont="1" applyBorder="1" applyAlignment="1">
      <alignment horizontal="center" vertical="center" wrapText="1"/>
    </xf>
    <xf numFmtId="0" fontId="8" fillId="0" borderId="0" xfId="24" applyAlignment="1">
      <alignment horizontal="center"/>
    </xf>
    <xf numFmtId="0" fontId="78" fillId="7" borderId="0" xfId="0" applyFont="1" applyFill="1" applyAlignment="1">
      <alignment horizontal="center"/>
    </xf>
    <xf numFmtId="0" fontId="13" fillId="35" borderId="176" xfId="24" applyFont="1" applyFill="1" applyBorder="1" applyAlignment="1">
      <alignment horizontal="center"/>
    </xf>
    <xf numFmtId="0" fontId="13" fillId="35" borderId="237" xfId="24" applyFont="1" applyFill="1" applyBorder="1" applyAlignment="1">
      <alignment horizontal="center"/>
    </xf>
    <xf numFmtId="0" fontId="13" fillId="35" borderId="219" xfId="24" applyFont="1" applyFill="1" applyBorder="1" applyAlignment="1">
      <alignment horizontal="center"/>
    </xf>
    <xf numFmtId="0" fontId="64" fillId="35" borderId="237" xfId="24" applyFont="1" applyFill="1" applyBorder="1" applyAlignment="1">
      <alignment horizontal="center"/>
    </xf>
    <xf numFmtId="0" fontId="64" fillId="35" borderId="219" xfId="24" applyFont="1" applyFill="1" applyBorder="1" applyAlignment="1">
      <alignment horizontal="center"/>
    </xf>
    <xf numFmtId="0" fontId="8" fillId="39" borderId="198" xfId="0" applyFont="1" applyFill="1" applyBorder="1" applyAlignment="1">
      <alignment horizontal="center"/>
    </xf>
    <xf numFmtId="0" fontId="8" fillId="39" borderId="199" xfId="0" applyFont="1" applyFill="1" applyBorder="1" applyAlignment="1">
      <alignment horizontal="center"/>
    </xf>
    <xf numFmtId="0" fontId="8" fillId="39" borderId="173" xfId="0" applyFont="1" applyFill="1" applyBorder="1" applyAlignment="1">
      <alignment horizontal="center"/>
    </xf>
    <xf numFmtId="0" fontId="65" fillId="0" borderId="3" xfId="29" applyFont="1" applyBorder="1" applyAlignment="1">
      <alignment horizontal="center" vertical="center"/>
    </xf>
    <xf numFmtId="0" fontId="65" fillId="0" borderId="2" xfId="29" applyFont="1" applyBorder="1" applyAlignment="1">
      <alignment horizontal="center" vertical="center"/>
    </xf>
    <xf numFmtId="0" fontId="55" fillId="36" borderId="0" xfId="0" applyFont="1" applyFill="1" applyAlignment="1">
      <alignment horizontal="left" vertical="center"/>
    </xf>
    <xf numFmtId="0" fontId="55" fillId="36" borderId="136" xfId="0" applyFont="1" applyFill="1" applyBorder="1" applyAlignment="1">
      <alignment horizontal="left" vertical="center"/>
    </xf>
    <xf numFmtId="0" fontId="56" fillId="0" borderId="3" xfId="0" applyFont="1" applyBorder="1" applyAlignment="1">
      <alignment horizontal="center" vertical="center"/>
    </xf>
    <xf numFmtId="0" fontId="56" fillId="0" borderId="4" xfId="0" applyFont="1" applyBorder="1" applyAlignment="1">
      <alignment horizontal="center" vertical="center"/>
    </xf>
    <xf numFmtId="0" fontId="56" fillId="0" borderId="2" xfId="0" applyFont="1" applyBorder="1" applyAlignment="1">
      <alignment horizontal="center" vertical="center"/>
    </xf>
    <xf numFmtId="0" fontId="56" fillId="0" borderId="124" xfId="0" applyFont="1" applyBorder="1" applyAlignment="1">
      <alignment horizontal="center" vertical="center" wrapText="1"/>
    </xf>
    <xf numFmtId="0" fontId="56" fillId="0" borderId="121" xfId="0" applyFont="1" applyBorder="1" applyAlignment="1">
      <alignment horizontal="center" vertical="center" wrapText="1"/>
    </xf>
    <xf numFmtId="0" fontId="61" fillId="28" borderId="123" xfId="0" applyFont="1" applyFill="1" applyBorder="1" applyAlignment="1">
      <alignment horizontal="center"/>
    </xf>
    <xf numFmtId="0" fontId="61" fillId="28" borderId="0" xfId="0" applyFont="1" applyFill="1" applyAlignment="1">
      <alignment horizontal="center"/>
    </xf>
    <xf numFmtId="0" fontId="61" fillId="28" borderId="135" xfId="0" applyFont="1" applyFill="1" applyBorder="1" applyAlignment="1">
      <alignment horizontal="center"/>
    </xf>
    <xf numFmtId="0" fontId="61" fillId="28" borderId="119" xfId="0" applyFont="1" applyFill="1" applyBorder="1" applyAlignment="1">
      <alignment horizontal="center"/>
    </xf>
    <xf numFmtId="0" fontId="61" fillId="28" borderId="188" xfId="0" applyFont="1" applyFill="1" applyBorder="1" applyAlignment="1">
      <alignment horizontal="center"/>
    </xf>
    <xf numFmtId="0" fontId="54" fillId="12" borderId="198" xfId="0" applyFont="1" applyFill="1" applyBorder="1" applyAlignment="1">
      <alignment horizontal="center"/>
    </xf>
    <xf numFmtId="0" fontId="54" fillId="12" borderId="199" xfId="0" applyFont="1" applyFill="1" applyBorder="1" applyAlignment="1">
      <alignment horizontal="center"/>
    </xf>
    <xf numFmtId="0" fontId="54" fillId="12" borderId="173" xfId="0" applyFont="1" applyFill="1" applyBorder="1" applyAlignment="1">
      <alignment horizontal="center"/>
    </xf>
    <xf numFmtId="0" fontId="54" fillId="39" borderId="198" xfId="0" applyFont="1" applyFill="1" applyBorder="1" applyAlignment="1">
      <alignment horizontal="center"/>
    </xf>
    <xf numFmtId="0" fontId="54" fillId="39" borderId="199" xfId="0" applyFont="1" applyFill="1" applyBorder="1" applyAlignment="1">
      <alignment horizontal="center"/>
    </xf>
    <xf numFmtId="0" fontId="54" fillId="39" borderId="173" xfId="0" applyFont="1" applyFill="1" applyBorder="1" applyAlignment="1">
      <alignment horizontal="center"/>
    </xf>
    <xf numFmtId="0" fontId="56" fillId="0" borderId="121" xfId="0" applyFont="1" applyBorder="1" applyAlignment="1">
      <alignment horizontal="center" vertical="center"/>
    </xf>
    <xf numFmtId="0" fontId="56" fillId="0" borderId="124" xfId="0" applyFont="1" applyBorder="1" applyAlignment="1">
      <alignment horizontal="center" vertical="center"/>
    </xf>
    <xf numFmtId="0" fontId="56" fillId="0" borderId="200" xfId="0" applyFont="1" applyBorder="1" applyAlignment="1">
      <alignment horizontal="center" vertical="center"/>
    </xf>
    <xf numFmtId="0" fontId="56" fillId="0" borderId="163" xfId="0" applyFont="1" applyBorder="1" applyAlignment="1">
      <alignment horizontal="center" vertical="center"/>
    </xf>
    <xf numFmtId="0" fontId="56" fillId="0" borderId="114" xfId="0" applyFont="1" applyBorder="1" applyAlignment="1">
      <alignment horizontal="center" vertical="center"/>
    </xf>
    <xf numFmtId="0" fontId="13" fillId="0" borderId="3" xfId="0" applyFont="1" applyBorder="1" applyAlignment="1">
      <alignment horizontal="center"/>
    </xf>
    <xf numFmtId="0" fontId="13" fillId="0" borderId="2" xfId="0" applyFont="1" applyBorder="1" applyAlignment="1">
      <alignment horizontal="center"/>
    </xf>
    <xf numFmtId="0" fontId="13" fillId="0" borderId="34" xfId="0" applyFont="1" applyBorder="1" applyAlignment="1">
      <alignment horizontal="center"/>
    </xf>
    <xf numFmtId="0" fontId="13" fillId="0" borderId="5" xfId="0" applyFont="1" applyBorder="1" applyAlignment="1">
      <alignment horizontal="center"/>
    </xf>
    <xf numFmtId="0" fontId="13" fillId="0" borderId="35" xfId="0" applyFont="1" applyBorder="1" applyAlignment="1">
      <alignment horizontal="center"/>
    </xf>
    <xf numFmtId="0" fontId="43" fillId="0" borderId="0" xfId="0" applyFont="1" applyAlignment="1">
      <alignment horizontal="center"/>
    </xf>
    <xf numFmtId="0" fontId="9" fillId="0" borderId="0" xfId="0" applyFont="1" applyAlignment="1">
      <alignment horizontal="center"/>
    </xf>
    <xf numFmtId="0" fontId="39" fillId="0" borderId="0" xfId="0" applyFont="1" applyAlignment="1">
      <alignment horizontal="center"/>
    </xf>
    <xf numFmtId="0" fontId="35" fillId="0" borderId="0" xfId="0" applyFont="1" applyAlignment="1">
      <alignment horizontal="center"/>
    </xf>
    <xf numFmtId="0" fontId="23" fillId="0" borderId="0" xfId="0" applyFont="1" applyAlignment="1">
      <alignment horizontal="center"/>
    </xf>
    <xf numFmtId="0" fontId="35" fillId="19" borderId="0" xfId="0" applyFont="1" applyFill="1" applyAlignment="1">
      <alignment horizontal="center"/>
    </xf>
    <xf numFmtId="4" fontId="35" fillId="19" borderId="0" xfId="0" applyNumberFormat="1" applyFont="1" applyFill="1" applyAlignment="1">
      <alignment horizontal="center"/>
    </xf>
    <xf numFmtId="0" fontId="0" fillId="0" borderId="10" xfId="0" applyBorder="1" applyAlignment="1"/>
  </cellXfs>
  <cellStyles count="35">
    <cellStyle name="blp_title_header_row_left" xfId="1" xr:uid="{00000000-0005-0000-0000-000000000000}"/>
    <cellStyle name="fa_column_header_bottom_left 2" xfId="2" xr:uid="{00000000-0005-0000-0000-000001000000}"/>
    <cellStyle name="fa_column_header_top 2" xfId="3" xr:uid="{00000000-0005-0000-0000-000002000000}"/>
    <cellStyle name="fa_column_header_top_left 2" xfId="4" xr:uid="{00000000-0005-0000-0000-000003000000}"/>
    <cellStyle name="fa_data_bold_0_grouped" xfId="5" xr:uid="{00000000-0005-0000-0000-000004000000}"/>
    <cellStyle name="fa_data_standard_1_grouped" xfId="6" xr:uid="{00000000-0005-0000-0000-000005000000}"/>
    <cellStyle name="fa_data_standard_2_grouped" xfId="7" xr:uid="{00000000-0005-0000-0000-000006000000}"/>
    <cellStyle name="fa_footer_italic" xfId="8" xr:uid="{00000000-0005-0000-0000-000007000000}"/>
    <cellStyle name="fa_row_header_bold 2" xfId="9" xr:uid="{00000000-0005-0000-0000-000008000000}"/>
    <cellStyle name="fa_row_header_standard 2" xfId="10" xr:uid="{00000000-0005-0000-0000-000009000000}"/>
    <cellStyle name="Hiperligação" xfId="11" builtinId="8"/>
    <cellStyle name="Moneda 2" xfId="12" xr:uid="{00000000-0005-0000-0000-00000B000000}"/>
    <cellStyle name="Moneda 2 2" xfId="13" xr:uid="{00000000-0005-0000-0000-00000C000000}"/>
    <cellStyle name="Normal" xfId="0" builtinId="0"/>
    <cellStyle name="Normal 2" xfId="14" xr:uid="{00000000-0005-0000-0000-00000E000000}"/>
    <cellStyle name="Normal 2 2" xfId="15" xr:uid="{00000000-0005-0000-0000-00000F000000}"/>
    <cellStyle name="Normal 2 3" xfId="20" xr:uid="{00000000-0005-0000-0000-000010000000}"/>
    <cellStyle name="Normal 2 3 2" xfId="27" xr:uid="{6A4611F8-31D7-4EA6-B27B-70EB4E34E8FD}"/>
    <cellStyle name="Normal 2 4" xfId="21" xr:uid="{DBC68614-B0BC-4348-8A0D-C96562B201CF}"/>
    <cellStyle name="Normal 3" xfId="24" xr:uid="{371B90F0-6B8E-40BF-8358-D28B574437C9}"/>
    <cellStyle name="Normal 3 2" xfId="26" xr:uid="{41BD78A2-6B23-4ADD-839D-9D86F14E11A2}"/>
    <cellStyle name="Normal 3 3" xfId="29" xr:uid="{4CBFF9A4-05AD-4A91-8AF0-FA0B5B39E2EC}"/>
    <cellStyle name="Normal 4" xfId="34" xr:uid="{52E34A68-A695-4F42-8F47-D9B44B0F0C3E}"/>
    <cellStyle name="Normal 5" xfId="30" xr:uid="{E3BE1569-E214-4855-8BF5-B868B88B5743}"/>
    <cellStyle name="Normal 9" xfId="33" xr:uid="{CACD4D4E-2C7F-4816-9692-26D0FDD559DC}"/>
    <cellStyle name="Percentagem" xfId="16" builtinId="5"/>
    <cellStyle name="Porcentaje 2" xfId="17" xr:uid="{00000000-0005-0000-0000-000012000000}"/>
    <cellStyle name="Porcentaje 2 2" xfId="18" xr:uid="{00000000-0005-0000-0000-000013000000}"/>
    <cellStyle name="Porcentaje 2 2 2" xfId="25" xr:uid="{924DB8B0-6B9C-4A78-9CB6-7EC8F42C7C6B}"/>
    <cellStyle name="Porcentaje 2 3" xfId="23" xr:uid="{1FF2580F-E450-433A-8AB5-6E1CABCA8FC9}"/>
    <cellStyle name="Porcentaje 2 4" xfId="28" xr:uid="{3D812F63-E4F6-4F6D-A613-EF79E76ACE35}"/>
    <cellStyle name="Porcentaje 3" xfId="19" xr:uid="{00000000-0005-0000-0000-000014000000}"/>
    <cellStyle name="Porcentaje 3 2" xfId="22" xr:uid="{59E732CE-B697-4AF7-8CEE-0C42EB60E78B}"/>
    <cellStyle name="Porcentaje 4 2" xfId="32" xr:uid="{C6A0E8B8-33DC-4334-89A4-99FF669E5EA8}"/>
    <cellStyle name="Porcentaje 5" xfId="31" xr:uid="{F07CEC0B-CE59-4BBC-A0C7-9B77A84167BF}"/>
  </cellStyles>
  <dxfs count="35">
    <dxf>
      <fill>
        <patternFill>
          <bgColor rgb="FF00B050"/>
        </patternFill>
      </fill>
    </dxf>
    <dxf>
      <fill>
        <patternFill>
          <bgColor rgb="FFFF0000"/>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ill>
        <patternFill patternType="solid">
          <bgColor rgb="FF00B050"/>
        </patternFill>
      </fill>
    </dxf>
    <dxf>
      <fill>
        <patternFill patternType="solid">
          <bgColor rgb="FFFF0000"/>
        </patternFill>
      </fill>
    </dxf>
    <dxf>
      <fill>
        <patternFill patternType="solid">
          <bgColor rgb="FF00B050"/>
        </patternFill>
      </fill>
    </dxf>
    <dxf>
      <fill>
        <patternFill patternType="solid">
          <bgColor rgb="FFFF0000"/>
        </patternFill>
      </fill>
    </dxf>
  </dxfs>
  <tableStyles count="1" defaultTableStyle="TableStyleMedium9" defaultPivotStyle="PivotStyleLight16">
    <tableStyle name="Invisible" pivot="0" table="0" count="0" xr9:uid="{7B8256E5-5961-45BC-8E74-75040304E975}"/>
  </tableStyles>
  <colors>
    <mruColors>
      <color rgb="FFC5D9F1"/>
      <color rgb="FF1B7087"/>
      <color rgb="FF1F497D"/>
      <color rgb="FF3174C5"/>
      <color rgb="FF63CB97"/>
      <color rgb="FFFF3399"/>
      <color rgb="FFE838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microsoft.com/office/2017/06/relationships/rdRichValueStructure" Target="richData/rdrichvaluestructure.xml"/><Relationship Id="rId26" Type="http://schemas.openxmlformats.org/officeDocument/2006/relationships/customXml" Target="../customXml/item2.xml"/><Relationship Id="rId3" Type="http://schemas.openxmlformats.org/officeDocument/2006/relationships/worksheet" Target="worksheets/sheet3.xml"/><Relationship Id="rId21" Type="http://schemas.microsoft.com/office/2017/06/relationships/rdSupportingPropertyBag" Target="richData/rdsupportingpropertybag.xml"/><Relationship Id="rId7" Type="http://schemas.openxmlformats.org/officeDocument/2006/relationships/worksheet" Target="worksheets/sheet7.xml"/><Relationship Id="rId12" Type="http://schemas.openxmlformats.org/officeDocument/2006/relationships/theme" Target="theme/theme1.xml"/><Relationship Id="rId17" Type="http://schemas.microsoft.com/office/2017/06/relationships/rdRichValue" Target="richData/rdrichvalue.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22/10/relationships/richValueRel" Target="richData/richValueRel.xml"/><Relationship Id="rId20" Type="http://schemas.microsoft.com/office/2017/06/relationships/rdSupportingPropertyBagStructure" Target="richData/rdsupportingpropertybag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sheetMetadata" Target="metadata.xml"/><Relationship Id="rId23" Type="http://schemas.microsoft.com/office/2017/10/relationships/person" Target="persons/person.xml"/><Relationship Id="rId10" Type="http://schemas.openxmlformats.org/officeDocument/2006/relationships/worksheet" Target="worksheets/sheet10.xml"/><Relationship Id="rId19" Type="http://schemas.microsoft.com/office/2017/06/relationships/richStyles" Target="richData/rich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 Id="rId22" Type="http://schemas.microsoft.com/office/2017/06/relationships/rdRichValueTypes" Target="richData/rdRichValueTypes.xml"/><Relationship Id="rId27"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895-4C49-84C7-5728DDC218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895-4C49-84C7-5728DDC2187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895-4C49-84C7-5728DDC2187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895-4C49-84C7-5728DDC2187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895-4C49-84C7-5728DDC2187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Segments!$C$16:$C$20</c:f>
              <c:strCache>
                <c:ptCount val="5"/>
                <c:pt idx="0">
                  <c:v>Biscuits &amp; Baked Snacks</c:v>
                </c:pt>
                <c:pt idx="1">
                  <c:v>Chocolate</c:v>
                </c:pt>
                <c:pt idx="2">
                  <c:v>Gum &amp; Candy</c:v>
                </c:pt>
                <c:pt idx="3">
                  <c:v>Beverages</c:v>
                </c:pt>
                <c:pt idx="4">
                  <c:v>Cheese &amp; Grocery</c:v>
                </c:pt>
              </c:strCache>
            </c:strRef>
          </c:cat>
          <c:val>
            <c:numRef>
              <c:f>Segments!$D$16:$D$20</c:f>
              <c:numCache>
                <c:formatCode>"$"#,##0</c:formatCode>
                <c:ptCount val="5"/>
                <c:pt idx="0">
                  <c:v>17629</c:v>
                </c:pt>
                <c:pt idx="1">
                  <c:v>10619</c:v>
                </c:pt>
                <c:pt idx="2">
                  <c:v>4426</c:v>
                </c:pt>
                <c:pt idx="3">
                  <c:v>1185</c:v>
                </c:pt>
                <c:pt idx="4">
                  <c:v>2157</c:v>
                </c:pt>
              </c:numCache>
            </c:numRef>
          </c:val>
          <c:extLst>
            <c:ext xmlns:c16="http://schemas.microsoft.com/office/drawing/2014/chart" uri="{C3380CC4-5D6E-409C-BE32-E72D297353CC}">
              <c16:uniqueId val="{00000001-CF53-4579-B1F0-E5091D75744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A9F-49D6-9FC9-334380BCCA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A9F-49D6-9FC9-334380BCCA3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4C0-4978-822B-C231DBE6DFF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4C0-4978-822B-C231DBE6DFF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Segments!$C$5:$C$8</c:f>
              <c:strCache>
                <c:ptCount val="4"/>
                <c:pt idx="0">
                  <c:v>Latin America</c:v>
                </c:pt>
                <c:pt idx="1">
                  <c:v>AMEA</c:v>
                </c:pt>
                <c:pt idx="2">
                  <c:v>Europe</c:v>
                </c:pt>
                <c:pt idx="3">
                  <c:v>North America</c:v>
                </c:pt>
              </c:strCache>
            </c:strRef>
          </c:cat>
          <c:val>
            <c:numRef>
              <c:f>Segments!$D$5:$D$8</c:f>
              <c:numCache>
                <c:formatCode>"$"#,##0</c:formatCode>
                <c:ptCount val="4"/>
                <c:pt idx="0">
                  <c:v>5006</c:v>
                </c:pt>
                <c:pt idx="1">
                  <c:v>7075</c:v>
                </c:pt>
                <c:pt idx="2">
                  <c:v>12857</c:v>
                </c:pt>
                <c:pt idx="3">
                  <c:v>11078</c:v>
                </c:pt>
              </c:numCache>
            </c:numRef>
          </c:val>
          <c:extLst>
            <c:ext xmlns:c16="http://schemas.microsoft.com/office/drawing/2014/chart" uri="{C3380CC4-5D6E-409C-BE32-E72D297353CC}">
              <c16:uniqueId val="{00000001-C3B0-4A61-A0D4-9A0AF729159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Revenue</a:t>
            </a:r>
            <a:r>
              <a:rPr lang="en-US" baseline="0"/>
              <a:t> Growth (2016 to 2023)</a:t>
            </a:r>
            <a:endParaRPr lang="en-US"/>
          </a:p>
        </c:rich>
      </c:tx>
      <c:layout>
        <c:manualLayout>
          <c:xMode val="edge"/>
          <c:yMode val="edge"/>
          <c:x val="0.13549582245244407"/>
          <c:y val="2.665348523912387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'Fin. Data'!$P$6</c:f>
              <c:strCache>
                <c:ptCount val="1"/>
                <c:pt idx="0">
                  <c:v>FX Impact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'Fin. Data'!$Y$6</c:f>
              <c:numCache>
                <c:formatCode>0.00%</c:formatCode>
                <c:ptCount val="1"/>
                <c:pt idx="0">
                  <c:v>-2.6250000000000002E-2</c:v>
                </c:pt>
              </c:numCache>
            </c:numRef>
          </c:val>
          <c:extLst>
            <c:ext xmlns:c16="http://schemas.microsoft.com/office/drawing/2014/chart" uri="{C3380CC4-5D6E-409C-BE32-E72D297353CC}">
              <c16:uniqueId val="{00000000-9513-4A6D-A368-154E54792324}"/>
            </c:ext>
          </c:extLst>
        </c:ser>
        <c:ser>
          <c:idx val="1"/>
          <c:order val="1"/>
          <c:tx>
            <c:strRef>
              <c:f>'Fin. Data'!$P$7</c:f>
              <c:strCache>
                <c:ptCount val="1"/>
                <c:pt idx="0">
                  <c:v>Organic price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'Fin. Data'!$Y$7</c:f>
              <c:numCache>
                <c:formatCode>0.00%</c:formatCode>
                <c:ptCount val="1"/>
                <c:pt idx="0">
                  <c:v>4.262500000000001E-2</c:v>
                </c:pt>
              </c:numCache>
            </c:numRef>
          </c:val>
          <c:extLst>
            <c:ext xmlns:c16="http://schemas.microsoft.com/office/drawing/2014/chart" uri="{C3380CC4-5D6E-409C-BE32-E72D297353CC}">
              <c16:uniqueId val="{00000001-9513-4A6D-A368-154E54792324}"/>
            </c:ext>
          </c:extLst>
        </c:ser>
        <c:ser>
          <c:idx val="2"/>
          <c:order val="2"/>
          <c:tx>
            <c:strRef>
              <c:f>'Fin. Data'!$P$8</c:f>
              <c:strCache>
                <c:ptCount val="1"/>
                <c:pt idx="0">
                  <c:v>Organic vol/mix</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'Fin. Data'!$Y$8</c:f>
              <c:numCache>
                <c:formatCode>0.00%</c:formatCode>
                <c:ptCount val="1"/>
                <c:pt idx="0">
                  <c:v>1.3125E-2</c:v>
                </c:pt>
              </c:numCache>
            </c:numRef>
          </c:val>
          <c:extLst>
            <c:ext xmlns:c16="http://schemas.microsoft.com/office/drawing/2014/chart" uri="{C3380CC4-5D6E-409C-BE32-E72D297353CC}">
              <c16:uniqueId val="{00000002-9513-4A6D-A368-154E54792324}"/>
            </c:ext>
          </c:extLst>
        </c:ser>
        <c:ser>
          <c:idx val="3"/>
          <c:order val="3"/>
          <c:tx>
            <c:strRef>
              <c:f>'Fin. Data'!$P$9</c:f>
              <c:strCache>
                <c:ptCount val="1"/>
                <c:pt idx="0">
                  <c:v>Impact of acquisitions and Divestitures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'Fin. Data'!$Y$9</c:f>
              <c:numCache>
                <c:formatCode>0.00%</c:formatCode>
                <c:ptCount val="1"/>
                <c:pt idx="0">
                  <c:v>-1.7499999999999998E-3</c:v>
                </c:pt>
              </c:numCache>
            </c:numRef>
          </c:val>
          <c:extLst>
            <c:ext xmlns:c16="http://schemas.microsoft.com/office/drawing/2014/chart" uri="{C3380CC4-5D6E-409C-BE32-E72D297353CC}">
              <c16:uniqueId val="{00000003-9513-4A6D-A368-154E54792324}"/>
            </c:ext>
          </c:extLst>
        </c:ser>
        <c:dLbls>
          <c:dLblPos val="ctr"/>
          <c:showLegendKey val="0"/>
          <c:showVal val="1"/>
          <c:showCatName val="0"/>
          <c:showSerName val="0"/>
          <c:showPercent val="0"/>
          <c:showBubbleSize val="0"/>
        </c:dLbls>
        <c:gapWidth val="150"/>
        <c:overlap val="100"/>
        <c:axId val="1316217504"/>
        <c:axId val="1316217024"/>
      </c:barChart>
      <c:catAx>
        <c:axId val="1316217504"/>
        <c:scaling>
          <c:orientation val="minMax"/>
        </c:scaling>
        <c:delete val="1"/>
        <c:axPos val="b"/>
        <c:numFmt formatCode="General" sourceLinked="1"/>
        <c:majorTickMark val="none"/>
        <c:minorTickMark val="none"/>
        <c:tickLblPos val="nextTo"/>
        <c:crossAx val="1316217024"/>
        <c:crosses val="autoZero"/>
        <c:auto val="1"/>
        <c:lblAlgn val="ctr"/>
        <c:lblOffset val="100"/>
        <c:noMultiLvlLbl val="0"/>
      </c:catAx>
      <c:valAx>
        <c:axId val="1316217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217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Peers!$C$7</c:f>
              <c:strCache>
                <c:ptCount val="1"/>
                <c:pt idx="0">
                  <c:v>Mondelez International, Inc. (XNAS:MDLZ)</c:v>
                </c:pt>
              </c:strCache>
            </c:strRef>
          </c:tx>
          <c:spPr>
            <a:ln w="25400" cap="rnd">
              <a:noFill/>
              <a:round/>
            </a:ln>
            <a:effectLst/>
          </c:spPr>
          <c:marker>
            <c:symbol val="circle"/>
            <c:size val="5"/>
            <c:spPr>
              <a:solidFill>
                <a:schemeClr val="accent1"/>
              </a:solidFill>
              <a:ln w="9525">
                <a:solidFill>
                  <a:schemeClr val="accent1"/>
                </a:solidFill>
              </a:ln>
              <a:effectLst/>
            </c:spPr>
          </c:marker>
          <c:xVal>
            <c:numRef>
              <c:f>Peers!$C$20</c:f>
              <c:numCache>
                <c:formatCode>0.00</c:formatCode>
                <c:ptCount val="1"/>
                <c:pt idx="0">
                  <c:v>3.046217760083088</c:v>
                </c:pt>
              </c:numCache>
            </c:numRef>
          </c:xVal>
          <c:yVal>
            <c:numRef>
              <c:f>Peers!$C$36</c:f>
              <c:numCache>
                <c:formatCode>0.0</c:formatCode>
                <c:ptCount val="1"/>
                <c:pt idx="0">
                  <c:v>20.221750043275058</c:v>
                </c:pt>
              </c:numCache>
            </c:numRef>
          </c:yVal>
          <c:smooth val="0"/>
          <c:extLst>
            <c:ext xmlns:c16="http://schemas.microsoft.com/office/drawing/2014/chart" uri="{C3380CC4-5D6E-409C-BE32-E72D297353CC}">
              <c16:uniqueId val="{00000001-B547-4DF9-892F-3129917FB3B3}"/>
            </c:ext>
          </c:extLst>
        </c:ser>
        <c:ser>
          <c:idx val="1"/>
          <c:order val="1"/>
          <c:tx>
            <c:strRef>
              <c:f>Peers!$D$7</c:f>
              <c:strCache>
                <c:ptCount val="1"/>
                <c:pt idx="0">
                  <c:v>THE HERSHEY COMPANY (XNYS:HSY)</c:v>
                </c:pt>
              </c:strCache>
            </c:strRef>
          </c:tx>
          <c:spPr>
            <a:ln w="25400" cap="rnd">
              <a:noFill/>
              <a:round/>
            </a:ln>
            <a:effectLst/>
          </c:spPr>
          <c:marker>
            <c:symbol val="circle"/>
            <c:size val="5"/>
            <c:spPr>
              <a:solidFill>
                <a:schemeClr val="accent2"/>
              </a:solidFill>
              <a:ln w="9525">
                <a:solidFill>
                  <a:schemeClr val="accent2"/>
                </a:solidFill>
              </a:ln>
              <a:effectLst/>
            </c:spPr>
          </c:marker>
          <c:xVal>
            <c:numRef>
              <c:f>Peers!$D$20</c:f>
              <c:numCache>
                <c:formatCode>0.00</c:formatCode>
                <c:ptCount val="1"/>
                <c:pt idx="0">
                  <c:v>1.7158409008354523</c:v>
                </c:pt>
              </c:numCache>
            </c:numRef>
          </c:xVal>
          <c:yVal>
            <c:numRef>
              <c:f>Peers!$D$36</c:f>
              <c:numCache>
                <c:formatCode>0.0</c:formatCode>
                <c:ptCount val="1"/>
                <c:pt idx="0">
                  <c:v>16.075848165637485</c:v>
                </c:pt>
              </c:numCache>
            </c:numRef>
          </c:yVal>
          <c:smooth val="0"/>
          <c:extLst>
            <c:ext xmlns:c16="http://schemas.microsoft.com/office/drawing/2014/chart" uri="{C3380CC4-5D6E-409C-BE32-E72D297353CC}">
              <c16:uniqueId val="{00000002-B547-4DF9-892F-3129917FB3B3}"/>
            </c:ext>
          </c:extLst>
        </c:ser>
        <c:ser>
          <c:idx val="2"/>
          <c:order val="2"/>
          <c:tx>
            <c:strRef>
              <c:f>Peers!$E$7</c:f>
              <c:strCache>
                <c:ptCount val="1"/>
                <c:pt idx="0">
                  <c:v>TOOTSIE ROLL INDUSTRIES, INC. (XNYS:TR)</c:v>
                </c:pt>
              </c:strCache>
            </c:strRef>
          </c:tx>
          <c:spPr>
            <a:ln w="25400" cap="rnd">
              <a:noFill/>
              <a:round/>
            </a:ln>
            <a:effectLst/>
          </c:spPr>
          <c:marker>
            <c:symbol val="circle"/>
            <c:size val="5"/>
            <c:spPr>
              <a:solidFill>
                <a:schemeClr val="accent3"/>
              </a:solidFill>
              <a:ln w="9525">
                <a:solidFill>
                  <a:schemeClr val="accent3"/>
                </a:solidFill>
              </a:ln>
              <a:effectLst/>
            </c:spPr>
          </c:marker>
          <c:xVal>
            <c:numRef>
              <c:f>Peers!$E$20</c:f>
              <c:numCache>
                <c:formatCode>0.00</c:formatCode>
                <c:ptCount val="1"/>
                <c:pt idx="0">
                  <c:v>-1.1231884057971016</c:v>
                </c:pt>
              </c:numCache>
            </c:numRef>
          </c:xVal>
          <c:yVal>
            <c:numRef>
              <c:f>Peers!$E$36</c:f>
              <c:numCache>
                <c:formatCode>0.0</c:formatCode>
                <c:ptCount val="1"/>
                <c:pt idx="0">
                  <c:v>15.580420289855072</c:v>
                </c:pt>
              </c:numCache>
            </c:numRef>
          </c:yVal>
          <c:smooth val="0"/>
          <c:extLst>
            <c:ext xmlns:c16="http://schemas.microsoft.com/office/drawing/2014/chart" uri="{C3380CC4-5D6E-409C-BE32-E72D297353CC}">
              <c16:uniqueId val="{00000003-B547-4DF9-892F-3129917FB3B3}"/>
            </c:ext>
          </c:extLst>
        </c:ser>
        <c:ser>
          <c:idx val="3"/>
          <c:order val="3"/>
          <c:tx>
            <c:strRef>
              <c:f>Peers!$F$7</c:f>
              <c:strCache>
                <c:ptCount val="1"/>
                <c:pt idx="0">
                  <c:v>NESTLE (MALAYSIA) BERHAD (OTCM:NSLYF)</c:v>
                </c:pt>
              </c:strCache>
            </c:strRef>
          </c:tx>
          <c:spPr>
            <a:ln w="25400" cap="rnd">
              <a:noFill/>
              <a:round/>
            </a:ln>
            <a:effectLst/>
          </c:spPr>
          <c:marker>
            <c:symbol val="circle"/>
            <c:size val="5"/>
            <c:spPr>
              <a:solidFill>
                <a:schemeClr val="accent4"/>
              </a:solidFill>
              <a:ln w="9525">
                <a:solidFill>
                  <a:schemeClr val="accent4"/>
                </a:solidFill>
              </a:ln>
              <a:effectLst/>
            </c:spPr>
          </c:marker>
          <c:xVal>
            <c:numRef>
              <c:f>Peers!$F$20</c:f>
              <c:numCache>
                <c:formatCode>0.00</c:formatCode>
                <c:ptCount val="1"/>
                <c:pt idx="0">
                  <c:v>2.6749609062130517</c:v>
                </c:pt>
              </c:numCache>
            </c:numRef>
          </c:xVal>
          <c:yVal>
            <c:numRef>
              <c:f>Peers!$F$36</c:f>
              <c:numCache>
                <c:formatCode>0.0</c:formatCode>
                <c:ptCount val="1"/>
                <c:pt idx="0">
                  <c:v>4.2726358747473201</c:v>
                </c:pt>
              </c:numCache>
            </c:numRef>
          </c:yVal>
          <c:smooth val="0"/>
          <c:extLst>
            <c:ext xmlns:c16="http://schemas.microsoft.com/office/drawing/2014/chart" uri="{C3380CC4-5D6E-409C-BE32-E72D297353CC}">
              <c16:uniqueId val="{00000004-B547-4DF9-892F-3129917FB3B3}"/>
            </c:ext>
          </c:extLst>
        </c:ser>
        <c:ser>
          <c:idx val="4"/>
          <c:order val="4"/>
          <c:tx>
            <c:strRef>
              <c:f>Peers!$G$7</c:f>
              <c:strCache>
                <c:ptCount val="1"/>
                <c:pt idx="0">
                  <c:v>Chocoladefabriken Lindt &amp; Spruengli AG (OTCM:COCXF)</c:v>
                </c:pt>
              </c:strCache>
            </c:strRef>
          </c:tx>
          <c:spPr>
            <a:ln w="25400" cap="rnd">
              <a:noFill/>
              <a:round/>
            </a:ln>
            <a:effectLst/>
          </c:spPr>
          <c:marker>
            <c:symbol val="circle"/>
            <c:size val="5"/>
            <c:spPr>
              <a:solidFill>
                <a:schemeClr val="accent5"/>
              </a:solidFill>
              <a:ln w="9525">
                <a:solidFill>
                  <a:schemeClr val="accent5"/>
                </a:solidFill>
              </a:ln>
              <a:effectLst/>
            </c:spPr>
          </c:marker>
          <c:xVal>
            <c:numRef>
              <c:f>Peers!$G$20</c:f>
              <c:numCache>
                <c:formatCode>0.00</c:formatCode>
                <c:ptCount val="1"/>
                <c:pt idx="0">
                  <c:v>0.85606679371993821</c:v>
                </c:pt>
              </c:numCache>
            </c:numRef>
          </c:xVal>
          <c:yVal>
            <c:numRef>
              <c:f>Peers!$G$36</c:f>
              <c:numCache>
                <c:formatCode>0.0</c:formatCode>
                <c:ptCount val="1"/>
                <c:pt idx="0">
                  <c:v>19.347832247800461</c:v>
                </c:pt>
              </c:numCache>
            </c:numRef>
          </c:yVal>
          <c:smooth val="0"/>
          <c:extLst>
            <c:ext xmlns:c16="http://schemas.microsoft.com/office/drawing/2014/chart" uri="{C3380CC4-5D6E-409C-BE32-E72D297353CC}">
              <c16:uniqueId val="{00000005-B547-4DF9-892F-3129917FB3B3}"/>
            </c:ext>
          </c:extLst>
        </c:ser>
        <c:ser>
          <c:idx val="5"/>
          <c:order val="5"/>
          <c:tx>
            <c:strRef>
              <c:f>Peers!#REF!</c:f>
              <c:strCache>
                <c:ptCount val="1"/>
                <c:pt idx="0">
                  <c:v>#REF!</c:v>
                </c:pt>
              </c:strCache>
            </c:strRef>
          </c:tx>
          <c:spPr>
            <a:ln w="25400" cap="rnd">
              <a:noFill/>
              <a:round/>
            </a:ln>
            <a:effectLst/>
          </c:spPr>
          <c:marker>
            <c:symbol val="circle"/>
            <c:size val="5"/>
            <c:spPr>
              <a:solidFill>
                <a:schemeClr val="accent6"/>
              </a:solidFill>
              <a:ln w="9525">
                <a:solidFill>
                  <a:schemeClr val="accent6"/>
                </a:solidFill>
              </a:ln>
              <a:effectLst/>
            </c:spPr>
          </c:marker>
          <c:xVal>
            <c:strRef>
              <c:f>Peers!#REF!</c:f>
              <c:strCache>
                <c:ptCount val="1"/>
                <c:pt idx="0">
                  <c:v>#REF!</c:v>
                </c:pt>
              </c:strCache>
            </c:strRef>
          </c:xVal>
          <c:yVal>
            <c:numRef>
              <c:f>Peers!#REF!</c:f>
              <c:numCache>
                <c:formatCode>0.0</c:formatCode>
                <c:ptCount val="1"/>
                <c:pt idx="0">
                  <c:v>1</c:v>
                </c:pt>
              </c:numCache>
            </c:numRef>
          </c:yVal>
          <c:smooth val="0"/>
          <c:extLst>
            <c:ext xmlns:c16="http://schemas.microsoft.com/office/drawing/2014/chart" uri="{C3380CC4-5D6E-409C-BE32-E72D297353CC}">
              <c16:uniqueId val="{00000006-B547-4DF9-892F-3129917FB3B3}"/>
            </c:ext>
          </c:extLst>
        </c:ser>
        <c:dLbls>
          <c:showLegendKey val="0"/>
          <c:showVal val="0"/>
          <c:showCatName val="0"/>
          <c:showSerName val="0"/>
          <c:showPercent val="0"/>
          <c:showBubbleSize val="0"/>
        </c:dLbls>
        <c:axId val="1571673951"/>
        <c:axId val="1289766175"/>
      </c:scatterChart>
      <c:valAx>
        <c:axId val="1571673951"/>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b="0" i="0" baseline="0">
                    <a:effectLst/>
                  </a:rPr>
                  <a:t> </a:t>
                </a:r>
                <a:r>
                  <a:rPr lang="en-US" sz="1200" b="0" i="0" baseline="0">
                    <a:effectLst/>
                  </a:rPr>
                  <a:t>NET DEBT /EBITDA</a:t>
                </a:r>
                <a:endParaRPr lang="en-US" sz="1200">
                  <a:effectLst/>
                </a:endParaRPr>
              </a:p>
            </c:rich>
          </c:tx>
          <c:layout>
            <c:manualLayout>
              <c:xMode val="edge"/>
              <c:yMode val="edge"/>
              <c:x val="0.27899032096554843"/>
              <c:y val="0.8770504003742403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9766175"/>
        <c:crosses val="autoZero"/>
        <c:crossBetween val="midCat"/>
      </c:valAx>
      <c:valAx>
        <c:axId val="12897661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0" i="0" baseline="0">
                    <a:effectLst/>
                  </a:rPr>
                  <a:t>EV/ EBITDA</a:t>
                </a:r>
                <a:endParaRPr lang="en-US" sz="1200">
                  <a:effectLst/>
                </a:endParaRPr>
              </a:p>
            </c:rich>
          </c:tx>
          <c:layout>
            <c:manualLayout>
              <c:xMode val="edge"/>
              <c:yMode val="edge"/>
              <c:x val="3.903843505466108E-4"/>
              <c:y val="0.32867517282330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7395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802946717757032"/>
          <c:y val="2.4865326922638195E-2"/>
          <c:w val="0.49083244745561727"/>
          <c:h val="0.82049946672598273"/>
        </c:manualLayout>
      </c:layout>
      <c:scatterChart>
        <c:scatterStyle val="lineMarker"/>
        <c:varyColors val="0"/>
        <c:ser>
          <c:idx val="0"/>
          <c:order val="0"/>
          <c:tx>
            <c:strRef>
              <c:f>Peers!$C$7</c:f>
              <c:strCache>
                <c:ptCount val="1"/>
                <c:pt idx="0">
                  <c:v>Mondelez International, Inc. (XNAS:MDLZ)</c:v>
                </c:pt>
              </c:strCache>
            </c:strRef>
          </c:tx>
          <c:spPr>
            <a:ln w="25400" cap="rnd">
              <a:noFill/>
              <a:round/>
            </a:ln>
            <a:effectLst/>
          </c:spPr>
          <c:marker>
            <c:symbol val="circle"/>
            <c:size val="5"/>
            <c:spPr>
              <a:solidFill>
                <a:schemeClr val="accent1"/>
              </a:solidFill>
              <a:ln w="9525">
                <a:solidFill>
                  <a:schemeClr val="accent1"/>
                </a:solidFill>
              </a:ln>
              <a:effectLst/>
            </c:spPr>
          </c:marker>
          <c:xVal>
            <c:numRef>
              <c:f>Peers!$C$43</c:f>
              <c:numCache>
                <c:formatCode>0%</c:formatCode>
                <c:ptCount val="1"/>
                <c:pt idx="0">
                  <c:v>0.1686595342983008</c:v>
                </c:pt>
              </c:numCache>
            </c:numRef>
          </c:xVal>
          <c:yVal>
            <c:numRef>
              <c:f>Peers!$C$48</c:f>
              <c:numCache>
                <c:formatCode>0%</c:formatCode>
                <c:ptCount val="1"/>
                <c:pt idx="0">
                  <c:v>0.18920282542885974</c:v>
                </c:pt>
              </c:numCache>
            </c:numRef>
          </c:yVal>
          <c:smooth val="0"/>
          <c:extLst>
            <c:ext xmlns:c16="http://schemas.microsoft.com/office/drawing/2014/chart" uri="{C3380CC4-5D6E-409C-BE32-E72D297353CC}">
              <c16:uniqueId val="{00000000-A0AB-4E28-9E73-D8DF3D5B0514}"/>
            </c:ext>
          </c:extLst>
        </c:ser>
        <c:ser>
          <c:idx val="1"/>
          <c:order val="1"/>
          <c:tx>
            <c:strRef>
              <c:f>Peers!$D$7</c:f>
              <c:strCache>
                <c:ptCount val="1"/>
                <c:pt idx="0">
                  <c:v>THE HERSHEY COMPANY (XNYS:HSY)</c:v>
                </c:pt>
              </c:strCache>
            </c:strRef>
          </c:tx>
          <c:spPr>
            <a:ln w="25400" cap="rnd">
              <a:noFill/>
              <a:round/>
            </a:ln>
            <a:effectLst/>
          </c:spPr>
          <c:marker>
            <c:symbol val="circle"/>
            <c:size val="5"/>
            <c:spPr>
              <a:solidFill>
                <a:schemeClr val="accent2"/>
              </a:solidFill>
              <a:ln w="9525">
                <a:solidFill>
                  <a:schemeClr val="accent2"/>
                </a:solidFill>
              </a:ln>
              <a:effectLst/>
            </c:spPr>
          </c:marker>
          <c:xVal>
            <c:numRef>
              <c:f>Peers!$D$43</c:f>
              <c:numCache>
                <c:formatCode>0.00%</c:formatCode>
                <c:ptCount val="1"/>
                <c:pt idx="0">
                  <c:v>-3.3768416889152497E-2</c:v>
                </c:pt>
              </c:numCache>
            </c:numRef>
          </c:xVal>
          <c:yVal>
            <c:numRef>
              <c:f>Peers!$D$48</c:f>
              <c:numCache>
                <c:formatCode>0.00%</c:formatCode>
                <c:ptCount val="1"/>
                <c:pt idx="0">
                  <c:v>0.36727486756915834</c:v>
                </c:pt>
              </c:numCache>
            </c:numRef>
          </c:yVal>
          <c:smooth val="0"/>
          <c:extLst>
            <c:ext xmlns:c16="http://schemas.microsoft.com/office/drawing/2014/chart" uri="{C3380CC4-5D6E-409C-BE32-E72D297353CC}">
              <c16:uniqueId val="{00000001-A0AB-4E28-9E73-D8DF3D5B0514}"/>
            </c:ext>
          </c:extLst>
        </c:ser>
        <c:ser>
          <c:idx val="2"/>
          <c:order val="2"/>
          <c:tx>
            <c:strRef>
              <c:f>Peers!$E$7</c:f>
              <c:strCache>
                <c:ptCount val="1"/>
                <c:pt idx="0">
                  <c:v>TOOTSIE ROLL INDUSTRIES, INC. (XNYS:TR)</c:v>
                </c:pt>
              </c:strCache>
            </c:strRef>
          </c:tx>
          <c:spPr>
            <a:ln w="25400" cap="rnd">
              <a:noFill/>
              <a:round/>
            </a:ln>
            <a:effectLst/>
          </c:spPr>
          <c:marker>
            <c:symbol val="circle"/>
            <c:size val="5"/>
            <c:spPr>
              <a:solidFill>
                <a:schemeClr val="accent3"/>
              </a:solidFill>
              <a:ln w="9525">
                <a:solidFill>
                  <a:schemeClr val="accent3"/>
                </a:solidFill>
              </a:ln>
              <a:effectLst/>
            </c:spPr>
          </c:marker>
          <c:xVal>
            <c:numRef>
              <c:f>Peers!$E$43</c:f>
              <c:numCache>
                <c:formatCode>0.00%</c:formatCode>
                <c:ptCount val="1"/>
                <c:pt idx="0">
                  <c:v>3.6905147296859842E-2</c:v>
                </c:pt>
              </c:numCache>
            </c:numRef>
          </c:xVal>
          <c:yVal>
            <c:numRef>
              <c:f>Peers!$E$48</c:f>
              <c:numCache>
                <c:formatCode>0.00%</c:formatCode>
                <c:ptCount val="1"/>
                <c:pt idx="0">
                  <c:v>0.26666666666666666</c:v>
                </c:pt>
              </c:numCache>
            </c:numRef>
          </c:yVal>
          <c:smooth val="0"/>
          <c:extLst>
            <c:ext xmlns:c16="http://schemas.microsoft.com/office/drawing/2014/chart" uri="{C3380CC4-5D6E-409C-BE32-E72D297353CC}">
              <c16:uniqueId val="{00000002-A0AB-4E28-9E73-D8DF3D5B0514}"/>
            </c:ext>
          </c:extLst>
        </c:ser>
        <c:ser>
          <c:idx val="3"/>
          <c:order val="3"/>
          <c:tx>
            <c:strRef>
              <c:f>Peers!$F$7</c:f>
              <c:strCache>
                <c:ptCount val="1"/>
                <c:pt idx="0">
                  <c:v>NESTLE (MALAYSIA) BERHAD (OTCM:NSLYF)</c:v>
                </c:pt>
              </c:strCache>
            </c:strRef>
          </c:tx>
          <c:spPr>
            <a:ln w="25400" cap="rnd">
              <a:noFill/>
              <a:round/>
            </a:ln>
            <a:effectLst/>
          </c:spPr>
          <c:marker>
            <c:symbol val="circle"/>
            <c:size val="5"/>
            <c:spPr>
              <a:solidFill>
                <a:schemeClr val="accent4"/>
              </a:solidFill>
              <a:ln w="9525">
                <a:solidFill>
                  <a:schemeClr val="accent4"/>
                </a:solidFill>
              </a:ln>
              <a:effectLst/>
            </c:spPr>
          </c:marker>
          <c:xVal>
            <c:numRef>
              <c:f>Peers!$F$43</c:f>
              <c:numCache>
                <c:formatCode>0.00%</c:formatCode>
                <c:ptCount val="1"/>
                <c:pt idx="0">
                  <c:v>-0.14280000000000001</c:v>
                </c:pt>
              </c:numCache>
            </c:numRef>
          </c:xVal>
          <c:yVal>
            <c:numRef>
              <c:f>Peers!$F$48</c:f>
              <c:numCache>
                <c:formatCode>0.00%</c:formatCode>
                <c:ptCount val="1"/>
                <c:pt idx="0">
                  <c:v>0.10878521434985926</c:v>
                </c:pt>
              </c:numCache>
            </c:numRef>
          </c:yVal>
          <c:smooth val="0"/>
          <c:extLst>
            <c:ext xmlns:c16="http://schemas.microsoft.com/office/drawing/2014/chart" uri="{C3380CC4-5D6E-409C-BE32-E72D297353CC}">
              <c16:uniqueId val="{00000003-A0AB-4E28-9E73-D8DF3D5B0514}"/>
            </c:ext>
          </c:extLst>
        </c:ser>
        <c:ser>
          <c:idx val="5"/>
          <c:order val="4"/>
          <c:tx>
            <c:strRef>
              <c:f>Peers!$G$7</c:f>
              <c:strCache>
                <c:ptCount val="1"/>
                <c:pt idx="0">
                  <c:v>Chocoladefabriken Lindt &amp; Spruengli AG (OTCM:COCXF)</c:v>
                </c:pt>
              </c:strCache>
            </c:strRef>
          </c:tx>
          <c:spPr>
            <a:ln w="25400" cap="rnd">
              <a:noFill/>
              <a:round/>
            </a:ln>
            <a:effectLst/>
          </c:spPr>
          <c:marker>
            <c:symbol val="circle"/>
            <c:size val="5"/>
            <c:spPr>
              <a:solidFill>
                <a:schemeClr val="accent6"/>
              </a:solidFill>
              <a:ln w="9525">
                <a:solidFill>
                  <a:schemeClr val="accent6"/>
                </a:solidFill>
              </a:ln>
              <a:effectLst/>
            </c:spPr>
          </c:marker>
          <c:xVal>
            <c:numRef>
              <c:f>Peers!$G$43</c:f>
              <c:numCache>
                <c:formatCode>0.00%</c:formatCode>
                <c:ptCount val="1"/>
                <c:pt idx="0">
                  <c:v>0.12513792756539241</c:v>
                </c:pt>
              </c:numCache>
            </c:numRef>
          </c:xVal>
          <c:yVal>
            <c:numRef>
              <c:f>Peers!$G$48</c:f>
              <c:numCache>
                <c:formatCode>0.00%</c:formatCode>
                <c:ptCount val="1"/>
                <c:pt idx="0">
                  <c:v>-1.1427120365667851E-2</c:v>
                </c:pt>
              </c:numCache>
            </c:numRef>
          </c:yVal>
          <c:smooth val="0"/>
          <c:extLst>
            <c:ext xmlns:c16="http://schemas.microsoft.com/office/drawing/2014/chart" uri="{C3380CC4-5D6E-409C-BE32-E72D297353CC}">
              <c16:uniqueId val="{00000005-A0AB-4E28-9E73-D8DF3D5B0514}"/>
            </c:ext>
          </c:extLst>
        </c:ser>
        <c:ser>
          <c:idx val="6"/>
          <c:order val="5"/>
          <c:tx>
            <c:strRef>
              <c:f>Peers!#REF!</c:f>
              <c:strCache>
                <c:ptCount val="1"/>
                <c:pt idx="0">
                  <c:v>#REF!</c:v>
                </c:pt>
              </c:strCache>
            </c:strRef>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xVal>
            <c:strRef>
              <c:f>Peers!#REF!</c:f>
              <c:strCache>
                <c:ptCount val="1"/>
                <c:pt idx="0">
                  <c:v>#REF!</c:v>
                </c:pt>
              </c:strCache>
            </c:strRef>
          </c:xVal>
          <c:yVal>
            <c:numRef>
              <c:f>Peers!#REF!</c:f>
              <c:numCache>
                <c:formatCode>0.00%</c:formatCode>
                <c:ptCount val="1"/>
                <c:pt idx="0">
                  <c:v>1</c:v>
                </c:pt>
              </c:numCache>
            </c:numRef>
          </c:yVal>
          <c:smooth val="0"/>
          <c:extLst>
            <c:ext xmlns:c16="http://schemas.microsoft.com/office/drawing/2014/chart" uri="{C3380CC4-5D6E-409C-BE32-E72D297353CC}">
              <c16:uniqueId val="{00000006-A0AB-4E28-9E73-D8DF3D5B0514}"/>
            </c:ext>
          </c:extLst>
        </c:ser>
        <c:dLbls>
          <c:showLegendKey val="0"/>
          <c:showVal val="0"/>
          <c:showCatName val="0"/>
          <c:showSerName val="0"/>
          <c:showPercent val="0"/>
          <c:showBubbleSize val="0"/>
        </c:dLbls>
        <c:axId val="581212960"/>
        <c:axId val="581217120"/>
      </c:scatterChart>
      <c:valAx>
        <c:axId val="5812129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0" i="0" u="none" strike="noStrike" baseline="0">
                    <a:effectLst/>
                  </a:rPr>
                  <a:t>3 YEAR STOCK PERFORMANCE</a:t>
                </a:r>
                <a:endParaRPr lang="en-US" sz="1200"/>
              </a:p>
            </c:rich>
          </c:tx>
          <c:layout>
            <c:manualLayout>
              <c:xMode val="edge"/>
              <c:yMode val="edge"/>
              <c:x val="0.24749537255061102"/>
              <c:y val="0.9208239807152025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217120"/>
        <c:crosses val="autoZero"/>
        <c:crossBetween val="midCat"/>
      </c:valAx>
      <c:valAx>
        <c:axId val="581217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0" i="0" u="none" strike="noStrike" baseline="0">
                    <a:effectLst/>
                  </a:rPr>
                  <a:t>OPERATING CASH FLOW 3Y PERFORMANCE </a:t>
                </a:r>
                <a:endParaRPr lang="en-US" sz="1200"/>
              </a:p>
            </c:rich>
          </c:tx>
          <c:layout>
            <c:manualLayout>
              <c:xMode val="edge"/>
              <c:yMode val="edge"/>
              <c:x val="3.9522524081838629E-2"/>
              <c:y val="0.1858295277689095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212960"/>
        <c:crosses val="autoZero"/>
        <c:crossBetween val="midCat"/>
      </c:valAx>
      <c:spPr>
        <a:noFill/>
        <a:ln>
          <a:solidFill>
            <a:schemeClr val="bg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GHG Scope 1 Emissions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ESG!$N$55</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ESG!$M$56:$M$64</c:f>
              <c:numCache>
                <c:formatCode>General</c:formatCode>
                <c:ptCount val="9"/>
              </c:numCache>
            </c:numRef>
          </c:cat>
          <c:val>
            <c:numRef>
              <c:f>ESG!$N$56:$N$64</c:f>
              <c:numCache>
                <c:formatCode>0.00</c:formatCode>
                <c:ptCount val="9"/>
              </c:numCache>
            </c:numRef>
          </c:val>
          <c:smooth val="0"/>
          <c:extLst>
            <c:ext xmlns:c16="http://schemas.microsoft.com/office/drawing/2014/chart" uri="{C3380CC4-5D6E-409C-BE32-E72D297353CC}">
              <c16:uniqueId val="{00000000-D00D-4823-9007-DC439E2C23DA}"/>
            </c:ext>
          </c:extLst>
        </c:ser>
        <c:ser>
          <c:idx val="1"/>
          <c:order val="1"/>
          <c:tx>
            <c:strRef>
              <c:f>ESG!$O$55</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ESG!$M$56:$M$64</c:f>
              <c:numCache>
                <c:formatCode>General</c:formatCode>
                <c:ptCount val="9"/>
              </c:numCache>
            </c:numRef>
          </c:cat>
          <c:val>
            <c:numRef>
              <c:f>ESG!$O$56:$O$64</c:f>
              <c:numCache>
                <c:formatCode>0.00</c:formatCode>
                <c:ptCount val="9"/>
              </c:numCache>
            </c:numRef>
          </c:val>
          <c:smooth val="0"/>
          <c:extLst>
            <c:ext xmlns:c16="http://schemas.microsoft.com/office/drawing/2014/chart" uri="{C3380CC4-5D6E-409C-BE32-E72D297353CC}">
              <c16:uniqueId val="{00000001-D00D-4823-9007-DC439E2C23DA}"/>
            </c:ext>
          </c:extLst>
        </c:ser>
        <c:ser>
          <c:idx val="3"/>
          <c:order val="3"/>
          <c:tx>
            <c:strRef>
              <c:f>ESG!$Q$55</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ESG!$M$56:$M$64</c:f>
              <c:numCache>
                <c:formatCode>General</c:formatCode>
                <c:ptCount val="9"/>
              </c:numCache>
            </c:numRef>
          </c:cat>
          <c:val>
            <c:numRef>
              <c:f>ESG!$Q$56:$Q$64</c:f>
              <c:numCache>
                <c:formatCode>0.00</c:formatCode>
                <c:ptCount val="9"/>
              </c:numCache>
            </c:numRef>
          </c:val>
          <c:smooth val="0"/>
          <c:extLst>
            <c:ext xmlns:c16="http://schemas.microsoft.com/office/drawing/2014/chart" uri="{C3380CC4-5D6E-409C-BE32-E72D297353CC}">
              <c16:uniqueId val="{00000003-D00D-4823-9007-DC439E2C23DA}"/>
            </c:ext>
          </c:extLst>
        </c:ser>
        <c:ser>
          <c:idx val="4"/>
          <c:order val="4"/>
          <c:tx>
            <c:strRef>
              <c:f>ESG!$R$55</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ESG!$M$56:$M$64</c:f>
              <c:numCache>
                <c:formatCode>General</c:formatCode>
                <c:ptCount val="9"/>
              </c:numCache>
            </c:numRef>
          </c:cat>
          <c:val>
            <c:numRef>
              <c:f>ESG!$R$56:$R$64</c:f>
              <c:numCache>
                <c:formatCode>0.00</c:formatCode>
                <c:ptCount val="9"/>
              </c:numCache>
            </c:numRef>
          </c:val>
          <c:smooth val="0"/>
          <c:extLst>
            <c:ext xmlns:c16="http://schemas.microsoft.com/office/drawing/2014/chart" uri="{C3380CC4-5D6E-409C-BE32-E72D297353CC}">
              <c16:uniqueId val="{00000004-D00D-4823-9007-DC439E2C23DA}"/>
            </c:ext>
          </c:extLst>
        </c:ser>
        <c:ser>
          <c:idx val="5"/>
          <c:order val="5"/>
          <c:tx>
            <c:strRef>
              <c:f>ESG!$S$55</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ESG!$M$56:$M$64</c:f>
              <c:numCache>
                <c:formatCode>General</c:formatCode>
                <c:ptCount val="9"/>
              </c:numCache>
            </c:numRef>
          </c:cat>
          <c:val>
            <c:numRef>
              <c:f>ESG!$S$56:$S$64</c:f>
              <c:numCache>
                <c:formatCode>0.00</c:formatCode>
                <c:ptCount val="9"/>
              </c:numCache>
            </c:numRef>
          </c:val>
          <c:smooth val="0"/>
          <c:extLst>
            <c:ext xmlns:c16="http://schemas.microsoft.com/office/drawing/2014/chart" uri="{C3380CC4-5D6E-409C-BE32-E72D297353CC}">
              <c16:uniqueId val="{00000005-D00D-4823-9007-DC439E2C23DA}"/>
            </c:ext>
          </c:extLst>
        </c:ser>
        <c:dLbls>
          <c:showLegendKey val="0"/>
          <c:showVal val="0"/>
          <c:showCatName val="0"/>
          <c:showSerName val="0"/>
          <c:showPercent val="0"/>
          <c:showBubbleSize val="0"/>
        </c:dLbls>
        <c:marker val="1"/>
        <c:smooth val="0"/>
        <c:axId val="73385855"/>
        <c:axId val="73386335"/>
        <c:extLst>
          <c:ext xmlns:c15="http://schemas.microsoft.com/office/drawing/2012/chart" uri="{02D57815-91ED-43cb-92C2-25804820EDAC}">
            <c15:filteredLineSeries>
              <c15:ser>
                <c:idx val="2"/>
                <c:order val="2"/>
                <c:tx>
                  <c:strRef>
                    <c:extLst>
                      <c:ext uri="{02D57815-91ED-43cb-92C2-25804820EDAC}">
                        <c15:formulaRef>
                          <c15:sqref>ESG!$P$55</c15:sqref>
                        </c15:formulaRef>
                      </c:ext>
                    </c:extLst>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c:ext uri="{02D57815-91ED-43cb-92C2-25804820EDAC}">
                        <c15:formulaRef>
                          <c15:sqref>ESG!$M$56:$M$64</c15:sqref>
                        </c15:formulaRef>
                      </c:ext>
                    </c:extLst>
                    <c:numCache>
                      <c:formatCode>General</c:formatCode>
                      <c:ptCount val="9"/>
                    </c:numCache>
                  </c:numRef>
                </c:cat>
                <c:val>
                  <c:numRef>
                    <c:extLst>
                      <c:ext uri="{02D57815-91ED-43cb-92C2-25804820EDAC}">
                        <c15:formulaRef>
                          <c15:sqref>ESG!$P$56:$P$64</c15:sqref>
                        </c15:formulaRef>
                      </c:ext>
                    </c:extLst>
                    <c:numCache>
                      <c:formatCode>0.00</c:formatCode>
                      <c:ptCount val="9"/>
                    </c:numCache>
                  </c:numRef>
                </c:val>
                <c:smooth val="0"/>
                <c:extLst>
                  <c:ext xmlns:c16="http://schemas.microsoft.com/office/drawing/2014/chart" uri="{C3380CC4-5D6E-409C-BE32-E72D297353CC}">
                    <c16:uniqueId val="{00000002-D00D-4823-9007-DC439E2C23DA}"/>
                  </c:ext>
                </c:extLst>
              </c15:ser>
            </c15:filteredLineSeries>
          </c:ext>
        </c:extLst>
      </c:lineChart>
      <c:catAx>
        <c:axId val="73385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86335"/>
        <c:crosses val="autoZero"/>
        <c:auto val="1"/>
        <c:lblAlgn val="ctr"/>
        <c:lblOffset val="100"/>
        <c:noMultiLvlLbl val="0"/>
      </c:catAx>
      <c:valAx>
        <c:axId val="733863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858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Water Consumption (Cubic Meters)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ESG!$N$67</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ESG!$M$68:$M$76</c:f>
              <c:numCache>
                <c:formatCode>General</c:formatCode>
                <c:ptCount val="9"/>
              </c:numCache>
            </c:numRef>
          </c:cat>
          <c:val>
            <c:numRef>
              <c:f>ESG!$N$68:$N$76</c:f>
              <c:numCache>
                <c:formatCode>0.00</c:formatCode>
                <c:ptCount val="9"/>
              </c:numCache>
            </c:numRef>
          </c:val>
          <c:smooth val="0"/>
          <c:extLst>
            <c:ext xmlns:c16="http://schemas.microsoft.com/office/drawing/2014/chart" uri="{C3380CC4-5D6E-409C-BE32-E72D297353CC}">
              <c16:uniqueId val="{00000000-5789-4750-89D4-9EEBF96780C0}"/>
            </c:ext>
          </c:extLst>
        </c:ser>
        <c:ser>
          <c:idx val="3"/>
          <c:order val="3"/>
          <c:tx>
            <c:strRef>
              <c:f>ESG!$Q$67</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ESG!$M$68:$M$76</c:f>
              <c:numCache>
                <c:formatCode>General</c:formatCode>
                <c:ptCount val="9"/>
              </c:numCache>
            </c:numRef>
          </c:cat>
          <c:val>
            <c:numRef>
              <c:f>ESG!$Q$68:$Q$76</c:f>
              <c:numCache>
                <c:formatCode>0.00</c:formatCode>
                <c:ptCount val="9"/>
              </c:numCache>
            </c:numRef>
          </c:val>
          <c:smooth val="0"/>
          <c:extLst>
            <c:ext xmlns:c16="http://schemas.microsoft.com/office/drawing/2014/chart" uri="{C3380CC4-5D6E-409C-BE32-E72D297353CC}">
              <c16:uniqueId val="{00000003-5789-4750-89D4-9EEBF96780C0}"/>
            </c:ext>
          </c:extLst>
        </c:ser>
        <c:ser>
          <c:idx val="4"/>
          <c:order val="4"/>
          <c:tx>
            <c:strRef>
              <c:f>ESG!$R$67</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ESG!$M$68:$M$76</c:f>
              <c:numCache>
                <c:formatCode>General</c:formatCode>
                <c:ptCount val="9"/>
              </c:numCache>
            </c:numRef>
          </c:cat>
          <c:val>
            <c:numRef>
              <c:f>ESG!$R$68:$R$76</c:f>
              <c:numCache>
                <c:formatCode>0.00</c:formatCode>
                <c:ptCount val="9"/>
              </c:numCache>
            </c:numRef>
          </c:val>
          <c:smooth val="0"/>
          <c:extLst>
            <c:ext xmlns:c16="http://schemas.microsoft.com/office/drawing/2014/chart" uri="{C3380CC4-5D6E-409C-BE32-E72D297353CC}">
              <c16:uniqueId val="{00000004-5789-4750-89D4-9EEBF96780C0}"/>
            </c:ext>
          </c:extLst>
        </c:ser>
        <c:dLbls>
          <c:showLegendKey val="0"/>
          <c:showVal val="0"/>
          <c:showCatName val="0"/>
          <c:showSerName val="0"/>
          <c:showPercent val="0"/>
          <c:showBubbleSize val="0"/>
        </c:dLbls>
        <c:marker val="1"/>
        <c:smooth val="0"/>
        <c:axId val="1301543471"/>
        <c:axId val="45963695"/>
        <c:extLst>
          <c:ext xmlns:c15="http://schemas.microsoft.com/office/drawing/2012/chart" uri="{02D57815-91ED-43cb-92C2-25804820EDAC}">
            <c15:filteredLineSeries>
              <c15:ser>
                <c:idx val="1"/>
                <c:order val="1"/>
                <c:tx>
                  <c:strRef>
                    <c:extLst>
                      <c:ext uri="{02D57815-91ED-43cb-92C2-25804820EDAC}">
                        <c15:formulaRef>
                          <c15:sqref>ESG!$O$67</c15:sqref>
                        </c15:formulaRef>
                      </c:ext>
                    </c:extLst>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c:ext uri="{02D57815-91ED-43cb-92C2-25804820EDAC}">
                        <c15:formulaRef>
                          <c15:sqref>ESG!$M$68:$M$76</c15:sqref>
                        </c15:formulaRef>
                      </c:ext>
                    </c:extLst>
                    <c:numCache>
                      <c:formatCode>General</c:formatCode>
                      <c:ptCount val="9"/>
                    </c:numCache>
                  </c:numRef>
                </c:cat>
                <c:val>
                  <c:numRef>
                    <c:extLst>
                      <c:ext uri="{02D57815-91ED-43cb-92C2-25804820EDAC}">
                        <c15:formulaRef>
                          <c15:sqref>ESG!$O$68:$O$76</c15:sqref>
                        </c15:formulaRef>
                      </c:ext>
                    </c:extLst>
                    <c:numCache>
                      <c:formatCode>0.00</c:formatCode>
                      <c:ptCount val="9"/>
                    </c:numCache>
                  </c:numRef>
                </c:val>
                <c:smooth val="0"/>
                <c:extLst>
                  <c:ext xmlns:c16="http://schemas.microsoft.com/office/drawing/2014/chart" uri="{C3380CC4-5D6E-409C-BE32-E72D297353CC}">
                    <c16:uniqueId val="{00000001-5789-4750-89D4-9EEBF96780C0}"/>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ESG!$P$67</c15:sqref>
                        </c15:formulaRef>
                      </c:ext>
                    </c:extLst>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xmlns:c15="http://schemas.microsoft.com/office/drawing/2012/chart">
                      <c:ext xmlns:c15="http://schemas.microsoft.com/office/drawing/2012/chart" uri="{02D57815-91ED-43cb-92C2-25804820EDAC}">
                        <c15:formulaRef>
                          <c15:sqref>ESG!$M$68:$M$76</c15:sqref>
                        </c15:formulaRef>
                      </c:ext>
                    </c:extLst>
                    <c:numCache>
                      <c:formatCode>General</c:formatCode>
                      <c:ptCount val="9"/>
                    </c:numCache>
                  </c:numRef>
                </c:cat>
                <c:val>
                  <c:numRef>
                    <c:extLst xmlns:c15="http://schemas.microsoft.com/office/drawing/2012/chart">
                      <c:ext xmlns:c15="http://schemas.microsoft.com/office/drawing/2012/chart" uri="{02D57815-91ED-43cb-92C2-25804820EDAC}">
                        <c15:formulaRef>
                          <c15:sqref>ESG!$P$68:$P$76</c15:sqref>
                        </c15:formulaRef>
                      </c:ext>
                    </c:extLst>
                    <c:numCache>
                      <c:formatCode>0.00</c:formatCode>
                      <c:ptCount val="9"/>
                    </c:numCache>
                  </c:numRef>
                </c:val>
                <c:smooth val="0"/>
                <c:extLst xmlns:c15="http://schemas.microsoft.com/office/drawing/2012/chart">
                  <c:ext xmlns:c16="http://schemas.microsoft.com/office/drawing/2014/chart" uri="{C3380CC4-5D6E-409C-BE32-E72D297353CC}">
                    <c16:uniqueId val="{00000002-5789-4750-89D4-9EEBF96780C0}"/>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ESG!$S$67</c15:sqref>
                        </c15:formulaRef>
                      </c:ext>
                    </c:extLst>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xmlns:c15="http://schemas.microsoft.com/office/drawing/2012/chart">
                      <c:ext xmlns:c15="http://schemas.microsoft.com/office/drawing/2012/chart" uri="{02D57815-91ED-43cb-92C2-25804820EDAC}">
                        <c15:formulaRef>
                          <c15:sqref>ESG!$M$68:$M$76</c15:sqref>
                        </c15:formulaRef>
                      </c:ext>
                    </c:extLst>
                    <c:numCache>
                      <c:formatCode>General</c:formatCode>
                      <c:ptCount val="9"/>
                    </c:numCache>
                  </c:numRef>
                </c:cat>
                <c:val>
                  <c:numRef>
                    <c:extLst xmlns:c15="http://schemas.microsoft.com/office/drawing/2012/chart">
                      <c:ext xmlns:c15="http://schemas.microsoft.com/office/drawing/2012/chart" uri="{02D57815-91ED-43cb-92C2-25804820EDAC}">
                        <c15:formulaRef>
                          <c15:sqref>ESG!$S$68:$S$76</c15:sqref>
                        </c15:formulaRef>
                      </c:ext>
                    </c:extLst>
                    <c:numCache>
                      <c:formatCode>0.00</c:formatCode>
                      <c:ptCount val="9"/>
                    </c:numCache>
                  </c:numRef>
                </c:val>
                <c:smooth val="0"/>
                <c:extLst xmlns:c15="http://schemas.microsoft.com/office/drawing/2012/chart">
                  <c:ext xmlns:c16="http://schemas.microsoft.com/office/drawing/2014/chart" uri="{C3380CC4-5D6E-409C-BE32-E72D297353CC}">
                    <c16:uniqueId val="{00000005-5789-4750-89D4-9EEBF96780C0}"/>
                  </c:ext>
                </c:extLst>
              </c15:ser>
            </c15:filteredLineSeries>
          </c:ext>
        </c:extLst>
      </c:lineChart>
      <c:catAx>
        <c:axId val="130154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63695"/>
        <c:crosses val="autoZero"/>
        <c:auto val="1"/>
        <c:lblAlgn val="ctr"/>
        <c:lblOffset val="100"/>
        <c:noMultiLvlLbl val="0"/>
      </c:catAx>
      <c:valAx>
        <c:axId val="459636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5434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Energy</a:t>
            </a:r>
            <a:r>
              <a:rPr lang="pt-PT" baseline="0"/>
              <a:t> Consumption (Gigajoules)</a:t>
            </a:r>
            <a:endParaRPr lang="pt-P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ESG!$N$79</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ESG!$M$80:$M$88</c:f>
              <c:numCache>
                <c:formatCode>General</c:formatCode>
                <c:ptCount val="9"/>
              </c:numCache>
            </c:numRef>
          </c:cat>
          <c:val>
            <c:numRef>
              <c:f>ESG!$N$80:$N$88</c:f>
              <c:numCache>
                <c:formatCode>0.00</c:formatCode>
                <c:ptCount val="9"/>
              </c:numCache>
            </c:numRef>
          </c:val>
          <c:smooth val="0"/>
          <c:extLst>
            <c:ext xmlns:c16="http://schemas.microsoft.com/office/drawing/2014/chart" uri="{C3380CC4-5D6E-409C-BE32-E72D297353CC}">
              <c16:uniqueId val="{00000000-917B-4C45-979C-FFDB55C82DDB}"/>
            </c:ext>
          </c:extLst>
        </c:ser>
        <c:ser>
          <c:idx val="1"/>
          <c:order val="1"/>
          <c:tx>
            <c:strRef>
              <c:f>ESG!$O$79</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ESG!$M$80:$M$88</c:f>
              <c:numCache>
                <c:formatCode>General</c:formatCode>
                <c:ptCount val="9"/>
              </c:numCache>
            </c:numRef>
          </c:cat>
          <c:val>
            <c:numRef>
              <c:f>ESG!$O$80:$O$88</c:f>
              <c:numCache>
                <c:formatCode>0.00</c:formatCode>
                <c:ptCount val="9"/>
              </c:numCache>
            </c:numRef>
          </c:val>
          <c:smooth val="0"/>
          <c:extLst>
            <c:ext xmlns:c16="http://schemas.microsoft.com/office/drawing/2014/chart" uri="{C3380CC4-5D6E-409C-BE32-E72D297353CC}">
              <c16:uniqueId val="{00000001-917B-4C45-979C-FFDB55C82DDB}"/>
            </c:ext>
          </c:extLst>
        </c:ser>
        <c:ser>
          <c:idx val="2"/>
          <c:order val="2"/>
          <c:tx>
            <c:strRef>
              <c:f>ESG!$P$79</c:f>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ESG!$M$80:$M$88</c:f>
              <c:numCache>
                <c:formatCode>General</c:formatCode>
                <c:ptCount val="9"/>
              </c:numCache>
            </c:numRef>
          </c:cat>
          <c:val>
            <c:numRef>
              <c:f>ESG!$P$80:$P$88</c:f>
              <c:numCache>
                <c:formatCode>0.00</c:formatCode>
                <c:ptCount val="9"/>
              </c:numCache>
            </c:numRef>
          </c:val>
          <c:smooth val="0"/>
          <c:extLst>
            <c:ext xmlns:c16="http://schemas.microsoft.com/office/drawing/2014/chart" uri="{C3380CC4-5D6E-409C-BE32-E72D297353CC}">
              <c16:uniqueId val="{00000002-917B-4C45-979C-FFDB55C82DDB}"/>
            </c:ext>
          </c:extLst>
        </c:ser>
        <c:ser>
          <c:idx val="3"/>
          <c:order val="3"/>
          <c:tx>
            <c:strRef>
              <c:f>ESG!$Q$79</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ESG!$M$80:$M$88</c:f>
              <c:numCache>
                <c:formatCode>General</c:formatCode>
                <c:ptCount val="9"/>
              </c:numCache>
            </c:numRef>
          </c:cat>
          <c:val>
            <c:numRef>
              <c:f>ESG!$Q$80:$Q$88</c:f>
              <c:numCache>
                <c:formatCode>0.00</c:formatCode>
                <c:ptCount val="9"/>
              </c:numCache>
            </c:numRef>
          </c:val>
          <c:smooth val="0"/>
          <c:extLst>
            <c:ext xmlns:c16="http://schemas.microsoft.com/office/drawing/2014/chart" uri="{C3380CC4-5D6E-409C-BE32-E72D297353CC}">
              <c16:uniqueId val="{00000003-917B-4C45-979C-FFDB55C82DDB}"/>
            </c:ext>
          </c:extLst>
        </c:ser>
        <c:ser>
          <c:idx val="4"/>
          <c:order val="4"/>
          <c:tx>
            <c:strRef>
              <c:f>ESG!$R$79</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ESG!$M$80:$M$88</c:f>
              <c:numCache>
                <c:formatCode>General</c:formatCode>
                <c:ptCount val="9"/>
              </c:numCache>
            </c:numRef>
          </c:cat>
          <c:val>
            <c:numRef>
              <c:f>ESG!$R$80:$R$88</c:f>
              <c:numCache>
                <c:formatCode>0.00</c:formatCode>
                <c:ptCount val="9"/>
              </c:numCache>
            </c:numRef>
          </c:val>
          <c:smooth val="0"/>
          <c:extLst>
            <c:ext xmlns:c16="http://schemas.microsoft.com/office/drawing/2014/chart" uri="{C3380CC4-5D6E-409C-BE32-E72D297353CC}">
              <c16:uniqueId val="{00000004-917B-4C45-979C-FFDB55C82DDB}"/>
            </c:ext>
          </c:extLst>
        </c:ser>
        <c:ser>
          <c:idx val="5"/>
          <c:order val="5"/>
          <c:tx>
            <c:strRef>
              <c:f>ESG!$S$79</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ESG!$M$80:$M$88</c:f>
              <c:numCache>
                <c:formatCode>General</c:formatCode>
                <c:ptCount val="9"/>
              </c:numCache>
            </c:numRef>
          </c:cat>
          <c:val>
            <c:numRef>
              <c:f>ESG!$S$80:$S$88</c:f>
              <c:numCache>
                <c:formatCode>0.00</c:formatCode>
                <c:ptCount val="9"/>
              </c:numCache>
            </c:numRef>
          </c:val>
          <c:smooth val="0"/>
          <c:extLst>
            <c:ext xmlns:c16="http://schemas.microsoft.com/office/drawing/2014/chart" uri="{C3380CC4-5D6E-409C-BE32-E72D297353CC}">
              <c16:uniqueId val="{00000005-917B-4C45-979C-FFDB55C82DDB}"/>
            </c:ext>
          </c:extLst>
        </c:ser>
        <c:dLbls>
          <c:showLegendKey val="0"/>
          <c:showVal val="0"/>
          <c:showCatName val="0"/>
          <c:showSerName val="0"/>
          <c:showPercent val="0"/>
          <c:showBubbleSize val="0"/>
        </c:dLbls>
        <c:marker val="1"/>
        <c:smooth val="0"/>
        <c:axId val="365935231"/>
        <c:axId val="365961631"/>
      </c:lineChart>
      <c:catAx>
        <c:axId val="365935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61631"/>
        <c:crosses val="autoZero"/>
        <c:auto val="1"/>
        <c:lblAlgn val="ctr"/>
        <c:lblOffset val="100"/>
        <c:noMultiLvlLbl val="0"/>
      </c:catAx>
      <c:valAx>
        <c:axId val="3659616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35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Waste Production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ESG!$N$91</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ESG!$M$92:$M$100</c:f>
              <c:numCache>
                <c:formatCode>General</c:formatCode>
                <c:ptCount val="9"/>
              </c:numCache>
            </c:numRef>
          </c:cat>
          <c:val>
            <c:numRef>
              <c:f>ESG!$N$92:$N$100</c:f>
              <c:numCache>
                <c:formatCode>0.00</c:formatCode>
                <c:ptCount val="9"/>
              </c:numCache>
            </c:numRef>
          </c:val>
          <c:smooth val="0"/>
          <c:extLst>
            <c:ext xmlns:c16="http://schemas.microsoft.com/office/drawing/2014/chart" uri="{C3380CC4-5D6E-409C-BE32-E72D297353CC}">
              <c16:uniqueId val="{00000000-FF9A-4ECA-A844-2C82FDFD8493}"/>
            </c:ext>
          </c:extLst>
        </c:ser>
        <c:ser>
          <c:idx val="1"/>
          <c:order val="1"/>
          <c:tx>
            <c:strRef>
              <c:f>ESG!$O$91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ESG!$M$92:$M$100</c:f>
              <c:numCache>
                <c:formatCode>General</c:formatCode>
                <c:ptCount val="9"/>
              </c:numCache>
            </c:numRef>
          </c:cat>
          <c:val>
            <c:numRef>
              <c:f>ESG!$O$92:$O$100</c:f>
              <c:numCache>
                <c:formatCode>0.00</c:formatCode>
                <c:ptCount val="9"/>
              </c:numCache>
            </c:numRef>
          </c:val>
          <c:smooth val="0"/>
          <c:extLst>
            <c:ext xmlns:c16="http://schemas.microsoft.com/office/drawing/2014/chart" uri="{C3380CC4-5D6E-409C-BE32-E72D297353CC}">
              <c16:uniqueId val="{00000001-FF9A-4ECA-A844-2C82FDFD8493}"/>
            </c:ext>
          </c:extLst>
        </c:ser>
        <c:ser>
          <c:idx val="2"/>
          <c:order val="2"/>
          <c:tx>
            <c:strRef>
              <c:f>ESG!$P$91</c:f>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ESG!$M$92:$M$100</c:f>
              <c:numCache>
                <c:formatCode>General</c:formatCode>
                <c:ptCount val="9"/>
              </c:numCache>
            </c:numRef>
          </c:cat>
          <c:val>
            <c:numRef>
              <c:f>ESG!$P$92:$P$100</c:f>
              <c:numCache>
                <c:formatCode>0.00</c:formatCode>
                <c:ptCount val="9"/>
              </c:numCache>
            </c:numRef>
          </c:val>
          <c:smooth val="0"/>
          <c:extLst>
            <c:ext xmlns:c16="http://schemas.microsoft.com/office/drawing/2014/chart" uri="{C3380CC4-5D6E-409C-BE32-E72D297353CC}">
              <c16:uniqueId val="{00000002-FF9A-4ECA-A844-2C82FDFD8493}"/>
            </c:ext>
          </c:extLst>
        </c:ser>
        <c:ser>
          <c:idx val="3"/>
          <c:order val="3"/>
          <c:tx>
            <c:strRef>
              <c:f>ESG!$Q$91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ESG!$M$92:$M$100</c:f>
              <c:numCache>
                <c:formatCode>General</c:formatCode>
                <c:ptCount val="9"/>
              </c:numCache>
            </c:numRef>
          </c:cat>
          <c:val>
            <c:numRef>
              <c:f>ESG!$Q$92:$Q$100</c:f>
              <c:numCache>
                <c:formatCode>0.00</c:formatCode>
                <c:ptCount val="9"/>
              </c:numCache>
            </c:numRef>
          </c:val>
          <c:smooth val="0"/>
          <c:extLst>
            <c:ext xmlns:c16="http://schemas.microsoft.com/office/drawing/2014/chart" uri="{C3380CC4-5D6E-409C-BE32-E72D297353CC}">
              <c16:uniqueId val="{00000003-FF9A-4ECA-A844-2C82FDFD8493}"/>
            </c:ext>
          </c:extLst>
        </c:ser>
        <c:ser>
          <c:idx val="4"/>
          <c:order val="4"/>
          <c:tx>
            <c:strRef>
              <c:f>ESG!$R$91</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ESG!$M$92:$M$100</c:f>
              <c:numCache>
                <c:formatCode>General</c:formatCode>
                <c:ptCount val="9"/>
              </c:numCache>
            </c:numRef>
          </c:cat>
          <c:val>
            <c:numRef>
              <c:f>ESG!$R$92:$R$100</c:f>
              <c:numCache>
                <c:formatCode>0.00</c:formatCode>
                <c:ptCount val="9"/>
              </c:numCache>
            </c:numRef>
          </c:val>
          <c:smooth val="0"/>
          <c:extLst>
            <c:ext xmlns:c16="http://schemas.microsoft.com/office/drawing/2014/chart" uri="{C3380CC4-5D6E-409C-BE32-E72D297353CC}">
              <c16:uniqueId val="{00000004-FF9A-4ECA-A844-2C82FDFD8493}"/>
            </c:ext>
          </c:extLst>
        </c:ser>
        <c:dLbls>
          <c:showLegendKey val="0"/>
          <c:showVal val="0"/>
          <c:showCatName val="0"/>
          <c:showSerName val="0"/>
          <c:showPercent val="0"/>
          <c:showBubbleSize val="0"/>
        </c:dLbls>
        <c:marker val="1"/>
        <c:smooth val="0"/>
        <c:axId val="365962591"/>
        <c:axId val="365934271"/>
        <c:extLst>
          <c:ext xmlns:c15="http://schemas.microsoft.com/office/drawing/2012/chart" uri="{02D57815-91ED-43cb-92C2-25804820EDAC}">
            <c15:filteredLineSeries>
              <c15:ser>
                <c:idx val="5"/>
                <c:order val="5"/>
                <c:tx>
                  <c:strRef>
                    <c:extLst>
                      <c:ext uri="{02D57815-91ED-43cb-92C2-25804820EDAC}">
                        <c15:formulaRef>
                          <c15:sqref>ESG!$S$91</c15:sqref>
                        </c15:formulaRef>
                      </c:ext>
                    </c:extLst>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uri="{02D57815-91ED-43cb-92C2-25804820EDAC}">
                        <c15:formulaRef>
                          <c15:sqref>ESG!$M$92:$M$100</c15:sqref>
                        </c15:formulaRef>
                      </c:ext>
                    </c:extLst>
                    <c:numCache>
                      <c:formatCode>General</c:formatCode>
                      <c:ptCount val="9"/>
                    </c:numCache>
                  </c:numRef>
                </c:cat>
                <c:val>
                  <c:numRef>
                    <c:extLst>
                      <c:ext uri="{02D57815-91ED-43cb-92C2-25804820EDAC}">
                        <c15:formulaRef>
                          <c15:sqref>ESG!$S$92:$S$100</c15:sqref>
                        </c15:formulaRef>
                      </c:ext>
                    </c:extLst>
                    <c:numCache>
                      <c:formatCode>0.00</c:formatCode>
                      <c:ptCount val="9"/>
                    </c:numCache>
                  </c:numRef>
                </c:val>
                <c:smooth val="0"/>
                <c:extLst>
                  <c:ext xmlns:c16="http://schemas.microsoft.com/office/drawing/2014/chart" uri="{C3380CC4-5D6E-409C-BE32-E72D297353CC}">
                    <c16:uniqueId val="{00000005-FF9A-4ECA-A844-2C82FDFD8493}"/>
                  </c:ext>
                </c:extLst>
              </c15:ser>
            </c15:filteredLineSeries>
          </c:ext>
        </c:extLst>
      </c:lineChart>
      <c:catAx>
        <c:axId val="365962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34271"/>
        <c:crosses val="autoZero"/>
        <c:auto val="1"/>
        <c:lblAlgn val="ctr"/>
        <c:lblOffset val="100"/>
        <c:noMultiLvlLbl val="0"/>
      </c:catAx>
      <c:valAx>
        <c:axId val="3659342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625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Assumptions!$C$144:$J$144</c:f>
              <c:numCache>
                <c:formatCode>0.0%</c:formatCode>
                <c:ptCount val="8"/>
                <c:pt idx="0">
                  <c:v>0.143510287020574</c:v>
                </c:pt>
                <c:pt idx="1">
                  <c:v>9.6657381615598892E-2</c:v>
                </c:pt>
                <c:pt idx="2">
                  <c:v>8.0471013129679081E-2</c:v>
                </c:pt>
                <c:pt idx="3">
                  <c:v>2.7563012215865212E-2</c:v>
                </c:pt>
                <c:pt idx="4">
                  <c:v>-2.698743156758443E-3</c:v>
                </c:pt>
                <c:pt idx="5">
                  <c:v>1.6218721037997152E-3</c:v>
                </c:pt>
                <c:pt idx="6">
                  <c:v>-1.0415461173475249E-3</c:v>
                </c:pt>
                <c:pt idx="7">
                  <c:v>-0.12528681333513292</c:v>
                </c:pt>
              </c:numCache>
            </c:numRef>
          </c:xVal>
          <c:yVal>
            <c:numRef>
              <c:f>Assumptions!$C$145:$J$145</c:f>
              <c:numCache>
                <c:formatCode>0.0%</c:formatCode>
                <c:ptCount val="8"/>
                <c:pt idx="0">
                  <c:v>-3.5000000000000003E-2</c:v>
                </c:pt>
                <c:pt idx="1">
                  <c:v>-6.6000000000000003E-2</c:v>
                </c:pt>
                <c:pt idx="2">
                  <c:v>1.7000000000000001E-2</c:v>
                </c:pt>
                <c:pt idx="3">
                  <c:v>-2.4E-2</c:v>
                </c:pt>
                <c:pt idx="4">
                  <c:v>-4.4999999999999998E-2</c:v>
                </c:pt>
                <c:pt idx="5">
                  <c:v>-1.4E-2</c:v>
                </c:pt>
                <c:pt idx="6">
                  <c:v>3.0000000000000001E-3</c:v>
                </c:pt>
                <c:pt idx="7">
                  <c:v>-4.5999999999999999E-2</c:v>
                </c:pt>
              </c:numCache>
            </c:numRef>
          </c:yVal>
          <c:smooth val="0"/>
          <c:extLst>
            <c:ext xmlns:c16="http://schemas.microsoft.com/office/drawing/2014/chart" uri="{C3380CC4-5D6E-409C-BE32-E72D297353CC}">
              <c16:uniqueId val="{00000001-686A-441D-945B-DFED9F8181BF}"/>
            </c:ext>
          </c:extLst>
        </c:ser>
        <c:dLbls>
          <c:showLegendKey val="0"/>
          <c:showVal val="0"/>
          <c:showCatName val="0"/>
          <c:showSerName val="0"/>
          <c:showPercent val="0"/>
          <c:showBubbleSize val="0"/>
        </c:dLbls>
        <c:axId val="14232071"/>
        <c:axId val="14240775"/>
      </c:scatterChart>
      <c:valAx>
        <c:axId val="14232071"/>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0775"/>
        <c:crosses val="autoZero"/>
        <c:crossBetween val="midCat"/>
      </c:valAx>
      <c:valAx>
        <c:axId val="1424077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2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Revenue</a:t>
            </a:r>
            <a:r>
              <a:rPr lang="en-US" baseline="0"/>
              <a:t> Growth (2016 to 2023)</a:t>
            </a:r>
            <a:endParaRPr lang="en-US"/>
          </a:p>
        </c:rich>
      </c:tx>
      <c:layout>
        <c:manualLayout>
          <c:xMode val="edge"/>
          <c:yMode val="edge"/>
          <c:x val="0.42696139949554052"/>
          <c:y val="2.65721877767936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'Fin. Data'!$P$6</c:f>
              <c:strCache>
                <c:ptCount val="1"/>
                <c:pt idx="0">
                  <c:v>FX Impact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'Fin. Data'!$Y$6</c:f>
              <c:numCache>
                <c:formatCode>0.00%</c:formatCode>
                <c:ptCount val="1"/>
                <c:pt idx="0">
                  <c:v>-2.6250000000000002E-2</c:v>
                </c:pt>
              </c:numCache>
            </c:numRef>
          </c:val>
          <c:extLst>
            <c:ext xmlns:c16="http://schemas.microsoft.com/office/drawing/2014/chart" uri="{C3380CC4-5D6E-409C-BE32-E72D297353CC}">
              <c16:uniqueId val="{00000000-D95B-45BA-9003-FAFD51359492}"/>
            </c:ext>
          </c:extLst>
        </c:ser>
        <c:ser>
          <c:idx val="1"/>
          <c:order val="1"/>
          <c:tx>
            <c:strRef>
              <c:f>'Fin. Data'!$P$7</c:f>
              <c:strCache>
                <c:ptCount val="1"/>
                <c:pt idx="0">
                  <c:v>Organic price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'Fin. Data'!$Y$7</c:f>
              <c:numCache>
                <c:formatCode>0.00%</c:formatCode>
                <c:ptCount val="1"/>
                <c:pt idx="0">
                  <c:v>4.262500000000001E-2</c:v>
                </c:pt>
              </c:numCache>
            </c:numRef>
          </c:val>
          <c:extLst>
            <c:ext xmlns:c16="http://schemas.microsoft.com/office/drawing/2014/chart" uri="{C3380CC4-5D6E-409C-BE32-E72D297353CC}">
              <c16:uniqueId val="{00000001-D95B-45BA-9003-FAFD51359492}"/>
            </c:ext>
          </c:extLst>
        </c:ser>
        <c:ser>
          <c:idx val="2"/>
          <c:order val="2"/>
          <c:tx>
            <c:strRef>
              <c:f>'Fin. Data'!$P$8</c:f>
              <c:strCache>
                <c:ptCount val="1"/>
                <c:pt idx="0">
                  <c:v>Organic vol/mix</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'Fin. Data'!$Y$8</c:f>
              <c:numCache>
                <c:formatCode>0.00%</c:formatCode>
                <c:ptCount val="1"/>
                <c:pt idx="0">
                  <c:v>1.3125E-2</c:v>
                </c:pt>
              </c:numCache>
            </c:numRef>
          </c:val>
          <c:extLst>
            <c:ext xmlns:c16="http://schemas.microsoft.com/office/drawing/2014/chart" uri="{C3380CC4-5D6E-409C-BE32-E72D297353CC}">
              <c16:uniqueId val="{00000002-D95B-45BA-9003-FAFD51359492}"/>
            </c:ext>
          </c:extLst>
        </c:ser>
        <c:ser>
          <c:idx val="3"/>
          <c:order val="3"/>
          <c:tx>
            <c:strRef>
              <c:f>'Fin. Data'!$P$9</c:f>
              <c:strCache>
                <c:ptCount val="1"/>
                <c:pt idx="0">
                  <c:v>Impact of acquisitions and Divestitures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'Fin. Data'!$Y$9</c:f>
              <c:numCache>
                <c:formatCode>0.00%</c:formatCode>
                <c:ptCount val="1"/>
                <c:pt idx="0">
                  <c:v>-1.7499999999999998E-3</c:v>
                </c:pt>
              </c:numCache>
            </c:numRef>
          </c:val>
          <c:extLst>
            <c:ext xmlns:c16="http://schemas.microsoft.com/office/drawing/2014/chart" uri="{C3380CC4-5D6E-409C-BE32-E72D297353CC}">
              <c16:uniqueId val="{00000003-D95B-45BA-9003-FAFD51359492}"/>
            </c:ext>
          </c:extLst>
        </c:ser>
        <c:dLbls>
          <c:dLblPos val="ctr"/>
          <c:showLegendKey val="0"/>
          <c:showVal val="1"/>
          <c:showCatName val="0"/>
          <c:showSerName val="0"/>
          <c:showPercent val="0"/>
          <c:showBubbleSize val="0"/>
        </c:dLbls>
        <c:gapWidth val="150"/>
        <c:overlap val="100"/>
        <c:axId val="1316217504"/>
        <c:axId val="1316217024"/>
      </c:barChart>
      <c:catAx>
        <c:axId val="1316217504"/>
        <c:scaling>
          <c:orientation val="minMax"/>
        </c:scaling>
        <c:delete val="1"/>
        <c:axPos val="b"/>
        <c:numFmt formatCode="General" sourceLinked="1"/>
        <c:majorTickMark val="none"/>
        <c:minorTickMark val="none"/>
        <c:tickLblPos val="nextTo"/>
        <c:crossAx val="1316217024"/>
        <c:crosses val="autoZero"/>
        <c:auto val="1"/>
        <c:lblAlgn val="ctr"/>
        <c:lblOffset val="100"/>
        <c:noMultiLvlLbl val="0"/>
      </c:catAx>
      <c:valAx>
        <c:axId val="1316217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217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_rels/drawing5.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chart" Target="../charts/chart10.xml"/><Relationship Id="rId1" Type="http://schemas.openxmlformats.org/officeDocument/2006/relationships/image" Target="../media/image11.png"/><Relationship Id="rId6" Type="http://schemas.openxmlformats.org/officeDocument/2006/relationships/image" Target="../media/image15.png"/><Relationship Id="rId5" Type="http://schemas.openxmlformats.org/officeDocument/2006/relationships/image" Target="../media/image14.png"/><Relationship Id="rId10" Type="http://schemas.openxmlformats.org/officeDocument/2006/relationships/image" Target="../media/image19.png"/><Relationship Id="rId4" Type="http://schemas.openxmlformats.org/officeDocument/2006/relationships/image" Target="../media/image13.png"/><Relationship Id="rId9" Type="http://schemas.openxmlformats.org/officeDocument/2006/relationships/image" Target="../media/image18.png"/></Relationships>
</file>

<file path=xl/drawings/_rels/drawing6.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editAs="oneCell">
    <xdr:from>
      <xdr:col>13</xdr:col>
      <xdr:colOff>0</xdr:colOff>
      <xdr:row>15</xdr:row>
      <xdr:rowOff>0</xdr:rowOff>
    </xdr:from>
    <xdr:to>
      <xdr:col>13</xdr:col>
      <xdr:colOff>304800</xdr:colOff>
      <xdr:row>17</xdr:row>
      <xdr:rowOff>1773</xdr:rowOff>
    </xdr:to>
    <xdr:sp macro="" textlink="">
      <xdr:nvSpPr>
        <xdr:cNvPr id="2096" name="AutoShape 48" descr="Resultado de imagen para heidelbergcement">
          <a:extLst>
            <a:ext uri="{FF2B5EF4-FFF2-40B4-BE49-F238E27FC236}">
              <a16:creationId xmlns:a16="http://schemas.microsoft.com/office/drawing/2014/main" id="{EBAF9DAF-18D3-4875-8FFF-AEB741FF11AC}"/>
            </a:ext>
          </a:extLst>
        </xdr:cNvPr>
        <xdr:cNvSpPr>
          <a:spLocks noChangeAspect="1" noChangeArrowheads="1"/>
        </xdr:cNvSpPr>
      </xdr:nvSpPr>
      <xdr:spPr bwMode="auto">
        <a:xfrm>
          <a:off x="15001875" y="80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15</xdr:row>
      <xdr:rowOff>0</xdr:rowOff>
    </xdr:from>
    <xdr:to>
      <xdr:col>13</xdr:col>
      <xdr:colOff>304800</xdr:colOff>
      <xdr:row>17</xdr:row>
      <xdr:rowOff>1773</xdr:rowOff>
    </xdr:to>
    <xdr:sp macro="" textlink="">
      <xdr:nvSpPr>
        <xdr:cNvPr id="2097" name="AutoShape 49" descr="Resultado de imagen para heidelbergcement">
          <a:extLst>
            <a:ext uri="{FF2B5EF4-FFF2-40B4-BE49-F238E27FC236}">
              <a16:creationId xmlns:a16="http://schemas.microsoft.com/office/drawing/2014/main" id="{1AED6D21-AC79-48CB-9928-5DBD43CA26F1}"/>
            </a:ext>
          </a:extLst>
        </xdr:cNvPr>
        <xdr:cNvSpPr>
          <a:spLocks noChangeAspect="1" noChangeArrowheads="1"/>
        </xdr:cNvSpPr>
      </xdr:nvSpPr>
      <xdr:spPr bwMode="auto">
        <a:xfrm>
          <a:off x="15001875" y="80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15</xdr:row>
      <xdr:rowOff>0</xdr:rowOff>
    </xdr:from>
    <xdr:to>
      <xdr:col>13</xdr:col>
      <xdr:colOff>304800</xdr:colOff>
      <xdr:row>17</xdr:row>
      <xdr:rowOff>1773</xdr:rowOff>
    </xdr:to>
    <xdr:sp macro="" textlink="">
      <xdr:nvSpPr>
        <xdr:cNvPr id="9" name="AutoShape 48" descr="Resultado de imagen para heidelbergcement">
          <a:extLst>
            <a:ext uri="{FF2B5EF4-FFF2-40B4-BE49-F238E27FC236}">
              <a16:creationId xmlns:a16="http://schemas.microsoft.com/office/drawing/2014/main" id="{7A971572-AE46-4C4C-8556-A1DC5E24C990}"/>
            </a:ext>
          </a:extLst>
        </xdr:cNvPr>
        <xdr:cNvSpPr>
          <a:spLocks noChangeAspect="1" noChangeArrowheads="1"/>
        </xdr:cNvSpPr>
      </xdr:nvSpPr>
      <xdr:spPr bwMode="auto">
        <a:xfrm>
          <a:off x="18110200" y="135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2</xdr:row>
      <xdr:rowOff>0</xdr:rowOff>
    </xdr:from>
    <xdr:to>
      <xdr:col>13</xdr:col>
      <xdr:colOff>304800</xdr:colOff>
      <xdr:row>2</xdr:row>
      <xdr:rowOff>304800</xdr:rowOff>
    </xdr:to>
    <xdr:sp macro="" textlink="">
      <xdr:nvSpPr>
        <xdr:cNvPr id="11" name="AutoShape 51" descr="Resultado de imagen para heidelbergcement">
          <a:extLst>
            <a:ext uri="{FF2B5EF4-FFF2-40B4-BE49-F238E27FC236}">
              <a16:creationId xmlns:a16="http://schemas.microsoft.com/office/drawing/2014/main" id="{9C93AAA3-5F34-E84C-A119-511471E42284}"/>
            </a:ext>
          </a:extLst>
        </xdr:cNvPr>
        <xdr:cNvSpPr>
          <a:spLocks noChangeAspect="1" noChangeArrowheads="1"/>
        </xdr:cNvSpPr>
      </xdr:nvSpPr>
      <xdr:spPr bwMode="auto">
        <a:xfrm>
          <a:off x="18110200" y="3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2</xdr:row>
      <xdr:rowOff>0</xdr:rowOff>
    </xdr:from>
    <xdr:to>
      <xdr:col>13</xdr:col>
      <xdr:colOff>304800</xdr:colOff>
      <xdr:row>2</xdr:row>
      <xdr:rowOff>304800</xdr:rowOff>
    </xdr:to>
    <xdr:sp macro="" textlink="">
      <xdr:nvSpPr>
        <xdr:cNvPr id="12" name="AutoShape 52" descr="Resultado de imagen para heidelbergcement">
          <a:extLst>
            <a:ext uri="{FF2B5EF4-FFF2-40B4-BE49-F238E27FC236}">
              <a16:creationId xmlns:a16="http://schemas.microsoft.com/office/drawing/2014/main" id="{D38869C9-D998-A047-96C8-5B849EBEA94D}"/>
            </a:ext>
          </a:extLst>
        </xdr:cNvPr>
        <xdr:cNvSpPr>
          <a:spLocks noChangeAspect="1" noChangeArrowheads="1"/>
        </xdr:cNvSpPr>
      </xdr:nvSpPr>
      <xdr:spPr bwMode="auto">
        <a:xfrm>
          <a:off x="18110200" y="3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xdr:row>
      <xdr:rowOff>72390</xdr:rowOff>
    </xdr:from>
    <xdr:to>
      <xdr:col>2</xdr:col>
      <xdr:colOff>1558290</xdr:colOff>
      <xdr:row>9</xdr:row>
      <xdr:rowOff>121920</xdr:rowOff>
    </xdr:to>
    <xdr:pic>
      <xdr:nvPicPr>
        <xdr:cNvPr id="2" name="Picture 1">
          <a:extLst>
            <a:ext uri="{FF2B5EF4-FFF2-40B4-BE49-F238E27FC236}">
              <a16:creationId xmlns:a16="http://schemas.microsoft.com/office/drawing/2014/main" id="{559F3076-BFE4-447F-A23C-A4F0314EA3D5}"/>
            </a:ext>
            <a:ext uri="{147F2762-F138-4A5C-976F-8EAC2B608ADB}">
              <a16:predDERef xmlns:a16="http://schemas.microsoft.com/office/drawing/2014/main" pred="{D38869C9-D998-A047-96C8-5B849EBEA94D}"/>
            </a:ext>
          </a:extLst>
        </xdr:cNvPr>
        <xdr:cNvPicPr>
          <a:picLocks noChangeAspect="1"/>
        </xdr:cNvPicPr>
      </xdr:nvPicPr>
      <xdr:blipFill>
        <a:blip xmlns:r="http://schemas.openxmlformats.org/officeDocument/2006/relationships" r:embed="rId1"/>
        <a:stretch>
          <a:fillRect/>
        </a:stretch>
      </xdr:blipFill>
      <xdr:spPr>
        <a:xfrm>
          <a:off x="0" y="895350"/>
          <a:ext cx="3046095" cy="1278255"/>
        </a:xfrm>
        <a:prstGeom prst="rect">
          <a:avLst/>
        </a:prstGeom>
      </xdr:spPr>
    </xdr:pic>
    <xdr:clientData/>
  </xdr:twoCellAnchor>
  <xdr:twoCellAnchor editAs="oneCell">
    <xdr:from>
      <xdr:col>7</xdr:col>
      <xdr:colOff>290989</xdr:colOff>
      <xdr:row>82</xdr:row>
      <xdr:rowOff>125730</xdr:rowOff>
    </xdr:from>
    <xdr:to>
      <xdr:col>12</xdr:col>
      <xdr:colOff>797719</xdr:colOff>
      <xdr:row>105</xdr:row>
      <xdr:rowOff>114300</xdr:rowOff>
    </xdr:to>
    <xdr:pic>
      <xdr:nvPicPr>
        <xdr:cNvPr id="4" name="Picture 3">
          <a:extLst>
            <a:ext uri="{FF2B5EF4-FFF2-40B4-BE49-F238E27FC236}">
              <a16:creationId xmlns:a16="http://schemas.microsoft.com/office/drawing/2014/main" id="{D7204238-9C7D-2EF6-4DE4-F1417A882749}"/>
            </a:ext>
            <a:ext uri="{147F2762-F138-4A5C-976F-8EAC2B608ADB}">
              <a16:predDERef xmlns:a16="http://schemas.microsoft.com/office/drawing/2014/main" pred="{559F3076-BFE4-447F-A23C-A4F0314EA3D5}"/>
            </a:ext>
          </a:extLst>
        </xdr:cNvPr>
        <xdr:cNvPicPr>
          <a:picLocks noChangeAspect="1"/>
        </xdr:cNvPicPr>
      </xdr:nvPicPr>
      <xdr:blipFill>
        <a:blip xmlns:r="http://schemas.openxmlformats.org/officeDocument/2006/relationships" r:embed="rId2"/>
        <a:stretch>
          <a:fillRect/>
        </a:stretch>
      </xdr:blipFill>
      <xdr:spPr>
        <a:xfrm>
          <a:off x="9065895" y="16199168"/>
          <a:ext cx="10496074" cy="38223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19050</xdr:colOff>
      <xdr:row>23</xdr:row>
      <xdr:rowOff>76200</xdr:rowOff>
    </xdr:from>
    <xdr:to>
      <xdr:col>11</xdr:col>
      <xdr:colOff>666750</xdr:colOff>
      <xdr:row>29</xdr:row>
      <xdr:rowOff>666750</xdr:rowOff>
    </xdr:to>
    <xdr:graphicFrame macro="">
      <xdr:nvGraphicFramePr>
        <xdr:cNvPr id="7" name="Chart 4">
          <a:extLst>
            <a:ext uri="{FF2B5EF4-FFF2-40B4-BE49-F238E27FC236}">
              <a16:creationId xmlns:a16="http://schemas.microsoft.com/office/drawing/2014/main" id="{9E23D189-C3B7-523A-69E6-128398296259}"/>
            </a:ext>
            <a:ext uri="{147F2762-F138-4A5C-976F-8EAC2B608ADB}">
              <a16:predDERef xmlns:a16="http://schemas.microsoft.com/office/drawing/2014/main" pred="{2D8AEC4D-5853-421C-8616-2A1885050A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723900</xdr:colOff>
      <xdr:row>23</xdr:row>
      <xdr:rowOff>66675</xdr:rowOff>
    </xdr:from>
    <xdr:to>
      <xdr:col>15</xdr:col>
      <xdr:colOff>714375</xdr:colOff>
      <xdr:row>29</xdr:row>
      <xdr:rowOff>685800</xdr:rowOff>
    </xdr:to>
    <xdr:graphicFrame macro="">
      <xdr:nvGraphicFramePr>
        <xdr:cNvPr id="3" name="Chart 5">
          <a:extLst>
            <a:ext uri="{FF2B5EF4-FFF2-40B4-BE49-F238E27FC236}">
              <a16:creationId xmlns:a16="http://schemas.microsoft.com/office/drawing/2014/main" id="{1471EB7D-83EE-43B1-6F3B-DAB93ADF05E3}"/>
            </a:ext>
            <a:ext uri="{147F2762-F138-4A5C-976F-8EAC2B608ADB}">
              <a16:predDERef xmlns:a16="http://schemas.microsoft.com/office/drawing/2014/main" pred="{9E23D189-C3B7-523A-69E6-1283982962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704850</xdr:colOff>
      <xdr:row>22</xdr:row>
      <xdr:rowOff>247650</xdr:rowOff>
    </xdr:from>
    <xdr:to>
      <xdr:col>11</xdr:col>
      <xdr:colOff>714375</xdr:colOff>
      <xdr:row>30</xdr:row>
      <xdr:rowOff>0</xdr:rowOff>
    </xdr:to>
    <xdr:cxnSp macro="">
      <xdr:nvCxnSpPr>
        <xdr:cNvPr id="9" name="Straight Connector 1">
          <a:extLst>
            <a:ext uri="{FF2B5EF4-FFF2-40B4-BE49-F238E27FC236}">
              <a16:creationId xmlns:a16="http://schemas.microsoft.com/office/drawing/2014/main" id="{2D9F9EFF-8C8B-4839-A102-86B66E9BDF73}"/>
            </a:ext>
            <a:ext uri="{147F2762-F138-4A5C-976F-8EAC2B608ADB}">
              <a16:predDERef xmlns:a16="http://schemas.microsoft.com/office/drawing/2014/main" pred="{1471EB7D-83EE-43B1-6F3B-DAB93ADF05E3}"/>
            </a:ext>
          </a:extLst>
        </xdr:cNvPr>
        <xdr:cNvCxnSpPr>
          <a:cxnSpLocks/>
        </xdr:cNvCxnSpPr>
      </xdr:nvCxnSpPr>
      <xdr:spPr bwMode="auto">
        <a:xfrm>
          <a:off x="12144375" y="4324350"/>
          <a:ext cx="9525" cy="2886075"/>
        </a:xfrm>
        <a:prstGeom prst="line">
          <a:avLst/>
        </a:prstGeom>
        <a:ln w="12700">
          <a:solidFill>
            <a:srgbClr val="1F497D"/>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19050</xdr:colOff>
      <xdr:row>53</xdr:row>
      <xdr:rowOff>47625</xdr:rowOff>
    </xdr:from>
    <xdr:to>
      <xdr:col>36</xdr:col>
      <xdr:colOff>209550</xdr:colOff>
      <xdr:row>59</xdr:row>
      <xdr:rowOff>28575</xdr:rowOff>
    </xdr:to>
    <xdr:sp macro="" textlink="">
      <xdr:nvSpPr>
        <xdr:cNvPr id="87" name="Rectangle 17">
          <a:extLst>
            <a:ext uri="{FF2B5EF4-FFF2-40B4-BE49-F238E27FC236}">
              <a16:creationId xmlns:a16="http://schemas.microsoft.com/office/drawing/2014/main" id="{373BA1AE-84F4-1EA4-7F90-6E6AE589AB0D}"/>
            </a:ext>
            <a:ext uri="{147F2762-F138-4A5C-976F-8EAC2B608ADB}">
              <a16:predDERef xmlns:a16="http://schemas.microsoft.com/office/drawing/2014/main" pred="{795168BE-2BCC-E14D-F42E-6CD34F49FE73}"/>
            </a:ext>
          </a:extLst>
        </xdr:cNvPr>
        <xdr:cNvSpPr/>
      </xdr:nvSpPr>
      <xdr:spPr bwMode="auto">
        <a:xfrm>
          <a:off x="29794200" y="10391775"/>
          <a:ext cx="952500" cy="952500"/>
        </a:xfrm>
        <a:prstGeom prst="rect">
          <a:avLst/>
        </a:prstGeom>
        <a:solidFill>
          <a:srgbClr val="FFFFFF"/>
        </a:solid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algn="l"/>
          <a:endParaRPr lang="en-US"/>
        </a:p>
      </xdr:txBody>
    </xdr:sp>
    <xdr:clientData/>
  </xdr:twoCellAnchor>
  <xdr:twoCellAnchor editAs="oneCell">
    <xdr:from>
      <xdr:col>17</xdr:col>
      <xdr:colOff>174642</xdr:colOff>
      <xdr:row>5</xdr:row>
      <xdr:rowOff>11687</xdr:rowOff>
    </xdr:from>
    <xdr:to>
      <xdr:col>25</xdr:col>
      <xdr:colOff>723935</xdr:colOff>
      <xdr:row>26</xdr:row>
      <xdr:rowOff>83408</xdr:rowOff>
    </xdr:to>
    <xdr:pic>
      <xdr:nvPicPr>
        <xdr:cNvPr id="2" name="Picture 1">
          <a:extLst>
            <a:ext uri="{FF2B5EF4-FFF2-40B4-BE49-F238E27FC236}">
              <a16:creationId xmlns:a16="http://schemas.microsoft.com/office/drawing/2014/main" id="{E21B5E90-881E-B4D1-9778-6A09A9F3BADF}"/>
            </a:ext>
            <a:ext uri="{147F2762-F138-4A5C-976F-8EAC2B608ADB}">
              <a16:predDERef xmlns:a16="http://schemas.microsoft.com/office/drawing/2014/main" pred="{373BA1AE-84F4-1EA4-7F90-6E6AE589AB0D}"/>
            </a:ext>
          </a:extLst>
        </xdr:cNvPr>
        <xdr:cNvPicPr>
          <a:picLocks noChangeAspect="1"/>
        </xdr:cNvPicPr>
      </xdr:nvPicPr>
      <xdr:blipFill>
        <a:blip xmlns:r="http://schemas.openxmlformats.org/officeDocument/2006/relationships" r:embed="rId3"/>
        <a:stretch>
          <a:fillRect/>
        </a:stretch>
      </xdr:blipFill>
      <xdr:spPr>
        <a:xfrm>
          <a:off x="20089615" y="938444"/>
          <a:ext cx="7633834" cy="4478964"/>
        </a:xfrm>
        <a:prstGeom prst="rect">
          <a:avLst/>
        </a:prstGeom>
      </xdr:spPr>
    </xdr:pic>
    <xdr:clientData/>
  </xdr:twoCellAnchor>
  <xdr:twoCellAnchor>
    <xdr:from>
      <xdr:col>16</xdr:col>
      <xdr:colOff>35923</xdr:colOff>
      <xdr:row>2</xdr:row>
      <xdr:rowOff>123826</xdr:rowOff>
    </xdr:from>
    <xdr:to>
      <xdr:col>16</xdr:col>
      <xdr:colOff>4248150</xdr:colOff>
      <xdr:row>29</xdr:row>
      <xdr:rowOff>609601</xdr:rowOff>
    </xdr:to>
    <xdr:graphicFrame macro="">
      <xdr:nvGraphicFramePr>
        <xdr:cNvPr id="4" name="Chart 3">
          <a:extLst>
            <a:ext uri="{FF2B5EF4-FFF2-40B4-BE49-F238E27FC236}">
              <a16:creationId xmlns:a16="http://schemas.microsoft.com/office/drawing/2014/main" id="{8E407B00-A521-4002-8306-90FF1FD47C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228600</xdr:colOff>
      <xdr:row>31</xdr:row>
      <xdr:rowOff>141513</xdr:rowOff>
    </xdr:from>
    <xdr:to>
      <xdr:col>17</xdr:col>
      <xdr:colOff>178526</xdr:colOff>
      <xdr:row>48</xdr:row>
      <xdr:rowOff>70669</xdr:rowOff>
    </xdr:to>
    <xdr:pic>
      <xdr:nvPicPr>
        <xdr:cNvPr id="10" name="Picture 4">
          <a:extLst>
            <a:ext uri="{FF2B5EF4-FFF2-40B4-BE49-F238E27FC236}">
              <a16:creationId xmlns:a16="http://schemas.microsoft.com/office/drawing/2014/main" id="{A41CE916-8AA9-8EED-0D23-6EA8FD7E8B14}"/>
            </a:ext>
          </a:extLst>
        </xdr:cNvPr>
        <xdr:cNvPicPr>
          <a:picLocks noChangeAspect="1"/>
        </xdr:cNvPicPr>
      </xdr:nvPicPr>
      <xdr:blipFill>
        <a:blip xmlns:r="http://schemas.openxmlformats.org/officeDocument/2006/relationships" r:embed="rId5"/>
        <a:stretch>
          <a:fillRect/>
        </a:stretch>
      </xdr:blipFill>
      <xdr:spPr>
        <a:xfrm>
          <a:off x="11190514" y="7282542"/>
          <a:ext cx="8926286" cy="4440196"/>
        </a:xfrm>
        <a:prstGeom prst="rect">
          <a:avLst/>
        </a:prstGeom>
      </xdr:spPr>
    </xdr:pic>
    <xdr:clientData/>
  </xdr:twoCellAnchor>
  <xdr:twoCellAnchor editAs="oneCell">
    <xdr:from>
      <xdr:col>18</xdr:col>
      <xdr:colOff>1</xdr:colOff>
      <xdr:row>30</xdr:row>
      <xdr:rowOff>36641</xdr:rowOff>
    </xdr:from>
    <xdr:to>
      <xdr:col>27</xdr:col>
      <xdr:colOff>155545</xdr:colOff>
      <xdr:row>48</xdr:row>
      <xdr:rowOff>54987</xdr:rowOff>
    </xdr:to>
    <xdr:pic>
      <xdr:nvPicPr>
        <xdr:cNvPr id="5" name="Picture 4">
          <a:extLst>
            <a:ext uri="{FF2B5EF4-FFF2-40B4-BE49-F238E27FC236}">
              <a16:creationId xmlns:a16="http://schemas.microsoft.com/office/drawing/2014/main" id="{A6A2393F-227A-4E33-9BF4-A53F87EACA5D}"/>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521352" y="6977019"/>
          <a:ext cx="7198896" cy="47824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7</xdr:col>
      <xdr:colOff>0</xdr:colOff>
      <xdr:row>20</xdr:row>
      <xdr:rowOff>0</xdr:rowOff>
    </xdr:from>
    <xdr:ext cx="304800" cy="308437"/>
    <xdr:sp macro="" textlink="">
      <xdr:nvSpPr>
        <xdr:cNvPr id="19" name="AutoShape 231" descr="Resultado de imagen para beer consumption trend">
          <a:extLst>
            <a:ext uri="{FF2B5EF4-FFF2-40B4-BE49-F238E27FC236}">
              <a16:creationId xmlns:a16="http://schemas.microsoft.com/office/drawing/2014/main" id="{A23DF9CB-ABDC-4CBC-941E-C3A1E6B7BDD7}"/>
            </a:ext>
          </a:extLst>
        </xdr:cNvPr>
        <xdr:cNvSpPr>
          <a:spLocks noChangeAspect="1" noChangeArrowheads="1"/>
        </xdr:cNvSpPr>
      </xdr:nvSpPr>
      <xdr:spPr bwMode="auto">
        <a:xfrm>
          <a:off x="7829550" y="71437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12</xdr:row>
      <xdr:rowOff>0</xdr:rowOff>
    </xdr:from>
    <xdr:ext cx="304800" cy="308437"/>
    <xdr:sp macro="" textlink="">
      <xdr:nvSpPr>
        <xdr:cNvPr id="18" name="AutoShape 232" descr="Resultado de imagen para beer consumption trend">
          <a:extLst>
            <a:ext uri="{FF2B5EF4-FFF2-40B4-BE49-F238E27FC236}">
              <a16:creationId xmlns:a16="http://schemas.microsoft.com/office/drawing/2014/main" id="{290ADD27-FE0C-4C99-AF77-3098E89BD849}"/>
            </a:ext>
            <a:ext uri="{147F2762-F138-4A5C-976F-8EAC2B608ADB}">
              <a16:predDERef xmlns:a16="http://schemas.microsoft.com/office/drawing/2014/main" pred="{A23DF9CB-ABDC-4CBC-941E-C3A1E6B7BDD7}"/>
            </a:ext>
          </a:extLst>
        </xdr:cNvPr>
        <xdr:cNvSpPr>
          <a:spLocks noChangeAspect="1" noChangeArrowheads="1"/>
        </xdr:cNvSpPr>
      </xdr:nvSpPr>
      <xdr:spPr bwMode="auto">
        <a:xfrm>
          <a:off x="7829550" y="12001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34</xdr:row>
      <xdr:rowOff>0</xdr:rowOff>
    </xdr:from>
    <xdr:ext cx="304800" cy="306171"/>
    <xdr:sp macro="" textlink="">
      <xdr:nvSpPr>
        <xdr:cNvPr id="17" name="AutoShape 233" descr="Resultado de imagen para beer consumption trend">
          <a:extLst>
            <a:ext uri="{FF2B5EF4-FFF2-40B4-BE49-F238E27FC236}">
              <a16:creationId xmlns:a16="http://schemas.microsoft.com/office/drawing/2014/main" id="{76C615DC-9449-489C-838D-7501FF91B816}"/>
            </a:ext>
          </a:extLst>
        </xdr:cNvPr>
        <xdr:cNvSpPr>
          <a:spLocks noChangeAspect="1" noChangeArrowheads="1"/>
        </xdr:cNvSpPr>
      </xdr:nvSpPr>
      <xdr:spPr bwMode="auto">
        <a:xfrm>
          <a:off x="7067550" y="218122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20</xdr:row>
      <xdr:rowOff>0</xdr:rowOff>
    </xdr:from>
    <xdr:ext cx="304800" cy="305262"/>
    <xdr:sp macro="" textlink="">
      <xdr:nvSpPr>
        <xdr:cNvPr id="16" name="AutoShape 231" descr="Resultado de imagen para beer consumption trend">
          <a:extLst>
            <a:ext uri="{FF2B5EF4-FFF2-40B4-BE49-F238E27FC236}">
              <a16:creationId xmlns:a16="http://schemas.microsoft.com/office/drawing/2014/main" id="{3816F209-593F-4972-8238-056F7A06C2DB}"/>
            </a:ext>
            <a:ext uri="{147F2762-F138-4A5C-976F-8EAC2B608ADB}">
              <a16:predDERef xmlns:a16="http://schemas.microsoft.com/office/drawing/2014/main" pred="{76C615DC-9449-489C-838D-7501FF91B816}"/>
            </a:ext>
          </a:extLst>
        </xdr:cNvPr>
        <xdr:cNvSpPr>
          <a:spLocks noChangeAspect="1" noChangeArrowheads="1"/>
        </xdr:cNvSpPr>
      </xdr:nvSpPr>
      <xdr:spPr bwMode="auto">
        <a:xfrm>
          <a:off x="10601325" y="923925"/>
          <a:ext cx="304800" cy="3028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12</xdr:row>
      <xdr:rowOff>0</xdr:rowOff>
    </xdr:from>
    <xdr:ext cx="304800" cy="309071"/>
    <xdr:sp macro="" textlink="">
      <xdr:nvSpPr>
        <xdr:cNvPr id="15" name="AutoShape 232" descr="Resultado de imagen para beer consumption trend">
          <a:extLst>
            <a:ext uri="{FF2B5EF4-FFF2-40B4-BE49-F238E27FC236}">
              <a16:creationId xmlns:a16="http://schemas.microsoft.com/office/drawing/2014/main" id="{5D67A490-620E-4BB6-ACF8-2FBAECF65CB2}"/>
            </a:ext>
            <a:ext uri="{147F2762-F138-4A5C-976F-8EAC2B608ADB}">
              <a16:predDERef xmlns:a16="http://schemas.microsoft.com/office/drawing/2014/main" pred="{3816F209-593F-4972-8238-056F7A06C2DB}"/>
            </a:ext>
          </a:extLst>
        </xdr:cNvPr>
        <xdr:cNvSpPr>
          <a:spLocks noChangeAspect="1" noChangeArrowheads="1"/>
        </xdr:cNvSpPr>
      </xdr:nvSpPr>
      <xdr:spPr bwMode="auto">
        <a:xfrm>
          <a:off x="10601325" y="1781175"/>
          <a:ext cx="304800" cy="3086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34</xdr:row>
      <xdr:rowOff>0</xdr:rowOff>
    </xdr:from>
    <xdr:ext cx="304800" cy="301207"/>
    <xdr:sp macro="" textlink="">
      <xdr:nvSpPr>
        <xdr:cNvPr id="14" name="AutoShape 233" descr="Resultado de imagen para beer consumption trend">
          <a:extLst>
            <a:ext uri="{FF2B5EF4-FFF2-40B4-BE49-F238E27FC236}">
              <a16:creationId xmlns:a16="http://schemas.microsoft.com/office/drawing/2014/main" id="{71A499F7-7BCB-43D8-AAAA-8629B391E887}"/>
            </a:ext>
          </a:extLst>
        </xdr:cNvPr>
        <xdr:cNvSpPr>
          <a:spLocks noChangeAspect="1" noChangeArrowheads="1"/>
        </xdr:cNvSpPr>
      </xdr:nvSpPr>
      <xdr:spPr bwMode="auto">
        <a:xfrm>
          <a:off x="10601325" y="3152775"/>
          <a:ext cx="304800" cy="2852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xdr:from>
      <xdr:col>9</xdr:col>
      <xdr:colOff>528777</xdr:colOff>
      <xdr:row>16</xdr:row>
      <xdr:rowOff>56029</xdr:rowOff>
    </xdr:from>
    <xdr:to>
      <xdr:col>17</xdr:col>
      <xdr:colOff>702468</xdr:colOff>
      <xdr:row>32</xdr:row>
      <xdr:rowOff>114301</xdr:rowOff>
    </xdr:to>
    <xdr:graphicFrame macro="">
      <xdr:nvGraphicFramePr>
        <xdr:cNvPr id="2" name="Chart 1">
          <a:extLst>
            <a:ext uri="{FF2B5EF4-FFF2-40B4-BE49-F238E27FC236}">
              <a16:creationId xmlns:a16="http://schemas.microsoft.com/office/drawing/2014/main" id="{F8B867AC-6A7A-4512-8C9D-97B8E534E8E4}"/>
            </a:ext>
            <a:ext uri="{147F2762-F138-4A5C-976F-8EAC2B608ADB}">
              <a16:predDERef xmlns:a16="http://schemas.microsoft.com/office/drawing/2014/main" pred="{71A499F7-7BCB-43D8-AAAA-8629B391E8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107156</xdr:colOff>
      <xdr:row>32</xdr:row>
      <xdr:rowOff>142875</xdr:rowOff>
    </xdr:from>
    <xdr:to>
      <xdr:col>19</xdr:col>
      <xdr:colOff>273843</xdr:colOff>
      <xdr:row>49</xdr:row>
      <xdr:rowOff>142875</xdr:rowOff>
    </xdr:to>
    <xdr:graphicFrame macro="">
      <xdr:nvGraphicFramePr>
        <xdr:cNvPr id="3" name="Chart 2">
          <a:extLst>
            <a:ext uri="{FF2B5EF4-FFF2-40B4-BE49-F238E27FC236}">
              <a16:creationId xmlns:a16="http://schemas.microsoft.com/office/drawing/2014/main" id="{06EE3DBE-321E-4EF6-A0A4-D90C4883E80D}"/>
            </a:ext>
            <a:ext uri="{147F2762-F138-4A5C-976F-8EAC2B608ADB}">
              <a16:predDERef xmlns:a16="http://schemas.microsoft.com/office/drawing/2014/main" pred="{F8B867AC-6A7A-4512-8C9D-97B8E534E8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476250</xdr:colOff>
      <xdr:row>1</xdr:row>
      <xdr:rowOff>85725</xdr:rowOff>
    </xdr:from>
    <xdr:to>
      <xdr:col>1</xdr:col>
      <xdr:colOff>1695450</xdr:colOff>
      <xdr:row>1</xdr:row>
      <xdr:rowOff>1005840</xdr:rowOff>
    </xdr:to>
    <xdr:pic>
      <xdr:nvPicPr>
        <xdr:cNvPr id="4" name="Immagine 3">
          <a:extLst>
            <a:ext uri="{FF2B5EF4-FFF2-40B4-BE49-F238E27FC236}">
              <a16:creationId xmlns:a16="http://schemas.microsoft.com/office/drawing/2014/main" id="{1C271A1D-F70E-3276-2569-E9E8162173CB}"/>
            </a:ext>
            <a:ext uri="{147F2762-F138-4A5C-976F-8EAC2B608ADB}">
              <a16:predDERef xmlns:a16="http://schemas.microsoft.com/office/drawing/2014/main" pred="{06EE3DBE-321E-4EF6-A0A4-D90C4883E80D}"/>
            </a:ext>
          </a:extLst>
        </xdr:cNvPr>
        <xdr:cNvPicPr>
          <a:picLocks noChangeAspect="1"/>
        </xdr:cNvPicPr>
      </xdr:nvPicPr>
      <xdr:blipFill>
        <a:blip xmlns:r="http://schemas.openxmlformats.org/officeDocument/2006/relationships" r:embed="rId3"/>
        <a:stretch>
          <a:fillRect/>
        </a:stretch>
      </xdr:blipFill>
      <xdr:spPr>
        <a:xfrm>
          <a:off x="504825" y="276225"/>
          <a:ext cx="1219200" cy="914400"/>
        </a:xfrm>
        <a:prstGeom prst="rect">
          <a:avLst/>
        </a:prstGeom>
      </xdr:spPr>
    </xdr:pic>
    <xdr:clientData/>
  </xdr:twoCellAnchor>
  <xdr:twoCellAnchor editAs="oneCell">
    <xdr:from>
      <xdr:col>1</xdr:col>
      <xdr:colOff>76200</xdr:colOff>
      <xdr:row>2</xdr:row>
      <xdr:rowOff>152400</xdr:rowOff>
    </xdr:from>
    <xdr:to>
      <xdr:col>1</xdr:col>
      <xdr:colOff>2019300</xdr:colOff>
      <xdr:row>2</xdr:row>
      <xdr:rowOff>1123950</xdr:rowOff>
    </xdr:to>
    <xdr:pic>
      <xdr:nvPicPr>
        <xdr:cNvPr id="5" name="Immagine 4">
          <a:extLst>
            <a:ext uri="{FF2B5EF4-FFF2-40B4-BE49-F238E27FC236}">
              <a16:creationId xmlns:a16="http://schemas.microsoft.com/office/drawing/2014/main" id="{1CF6D83A-DE09-4734-C255-1B31C6856593}"/>
            </a:ext>
            <a:ext uri="{147F2762-F138-4A5C-976F-8EAC2B608ADB}">
              <a16:predDERef xmlns:a16="http://schemas.microsoft.com/office/drawing/2014/main" pred="{1C271A1D-F70E-3276-2569-E9E8162173CB}"/>
            </a:ext>
          </a:extLst>
        </xdr:cNvPr>
        <xdr:cNvPicPr>
          <a:picLocks noChangeAspect="1"/>
        </xdr:cNvPicPr>
      </xdr:nvPicPr>
      <xdr:blipFill>
        <a:blip xmlns:r="http://schemas.openxmlformats.org/officeDocument/2006/relationships" r:embed="rId4"/>
        <a:stretch>
          <a:fillRect/>
        </a:stretch>
      </xdr:blipFill>
      <xdr:spPr>
        <a:xfrm>
          <a:off x="104775" y="1419225"/>
          <a:ext cx="1943100" cy="971550"/>
        </a:xfrm>
        <a:prstGeom prst="rect">
          <a:avLst/>
        </a:prstGeom>
      </xdr:spPr>
    </xdr:pic>
    <xdr:clientData/>
  </xdr:twoCellAnchor>
  <xdr:twoCellAnchor editAs="oneCell">
    <xdr:from>
      <xdr:col>1</xdr:col>
      <xdr:colOff>0</xdr:colOff>
      <xdr:row>4</xdr:row>
      <xdr:rowOff>171450</xdr:rowOff>
    </xdr:from>
    <xdr:to>
      <xdr:col>1</xdr:col>
      <xdr:colOff>2076450</xdr:colOff>
      <xdr:row>4</xdr:row>
      <xdr:rowOff>893445</xdr:rowOff>
    </xdr:to>
    <xdr:pic>
      <xdr:nvPicPr>
        <xdr:cNvPr id="8" name="Immagine 7">
          <a:extLst>
            <a:ext uri="{FF2B5EF4-FFF2-40B4-BE49-F238E27FC236}">
              <a16:creationId xmlns:a16="http://schemas.microsoft.com/office/drawing/2014/main" id="{890D04F3-44BD-01DD-E1BE-EE9CC1862E0D}"/>
            </a:ext>
            <a:ext uri="{147F2762-F138-4A5C-976F-8EAC2B608ADB}">
              <a16:predDERef xmlns:a16="http://schemas.microsoft.com/office/drawing/2014/main" pred="{DE1A700B-5C0E-E5B3-8CD3-C285504D75A5}"/>
            </a:ext>
          </a:extLst>
        </xdr:cNvPr>
        <xdr:cNvPicPr>
          <a:picLocks noChangeAspect="1"/>
        </xdr:cNvPicPr>
      </xdr:nvPicPr>
      <xdr:blipFill>
        <a:blip xmlns:r="http://schemas.openxmlformats.org/officeDocument/2006/relationships" r:embed="rId5"/>
        <a:stretch>
          <a:fillRect/>
        </a:stretch>
      </xdr:blipFill>
      <xdr:spPr>
        <a:xfrm>
          <a:off x="28575" y="4314825"/>
          <a:ext cx="2076450" cy="733425"/>
        </a:xfrm>
        <a:prstGeom prst="rect">
          <a:avLst/>
        </a:prstGeom>
      </xdr:spPr>
    </xdr:pic>
    <xdr:clientData/>
  </xdr:twoCellAnchor>
  <xdr:twoCellAnchor editAs="oneCell">
    <xdr:from>
      <xdr:col>1</xdr:col>
      <xdr:colOff>0</xdr:colOff>
      <xdr:row>3</xdr:row>
      <xdr:rowOff>0</xdr:rowOff>
    </xdr:from>
    <xdr:to>
      <xdr:col>1</xdr:col>
      <xdr:colOff>304800</xdr:colOff>
      <xdr:row>3</xdr:row>
      <xdr:rowOff>304800</xdr:rowOff>
    </xdr:to>
    <xdr:sp macro="" textlink="">
      <xdr:nvSpPr>
        <xdr:cNvPr id="4097" name="AutoShape 1" descr="Nestle Logo PNG vector in SVG, PDF, AI, CDR format">
          <a:extLst>
            <a:ext uri="{FF2B5EF4-FFF2-40B4-BE49-F238E27FC236}">
              <a16:creationId xmlns:a16="http://schemas.microsoft.com/office/drawing/2014/main" id="{E81DE06F-5083-856F-594F-5E2392114DCF}"/>
            </a:ext>
          </a:extLst>
        </xdr:cNvPr>
        <xdr:cNvSpPr>
          <a:spLocks noChangeAspect="1" noChangeArrowheads="1"/>
        </xdr:cNvSpPr>
      </xdr:nvSpPr>
      <xdr:spPr bwMode="auto">
        <a:xfrm>
          <a:off x="30480" y="2979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176254</xdr:colOff>
      <xdr:row>50</xdr:row>
      <xdr:rowOff>53293</xdr:rowOff>
    </xdr:from>
    <xdr:to>
      <xdr:col>16</xdr:col>
      <xdr:colOff>707351</xdr:colOff>
      <xdr:row>68</xdr:row>
      <xdr:rowOff>92799</xdr:rowOff>
    </xdr:to>
    <xdr:pic>
      <xdr:nvPicPr>
        <xdr:cNvPr id="7" name="Picture 6">
          <a:extLst>
            <a:ext uri="{FF2B5EF4-FFF2-40B4-BE49-F238E27FC236}">
              <a16:creationId xmlns:a16="http://schemas.microsoft.com/office/drawing/2014/main" id="{A33ECD1E-D251-9A42-AC5D-D6CEF866FC12}"/>
            </a:ext>
          </a:extLst>
        </xdr:cNvPr>
        <xdr:cNvPicPr>
          <a:picLocks noChangeAspect="1"/>
        </xdr:cNvPicPr>
      </xdr:nvPicPr>
      <xdr:blipFill>
        <a:blip xmlns:r="http://schemas.openxmlformats.org/officeDocument/2006/relationships" r:embed="rId6"/>
        <a:stretch>
          <a:fillRect/>
        </a:stretch>
      </xdr:blipFill>
      <xdr:spPr>
        <a:xfrm>
          <a:off x="13589695" y="14105469"/>
          <a:ext cx="7876665" cy="3866203"/>
        </a:xfrm>
        <a:prstGeom prst="rect">
          <a:avLst/>
        </a:prstGeom>
      </xdr:spPr>
    </xdr:pic>
    <xdr:clientData/>
  </xdr:twoCellAnchor>
  <xdr:oneCellAnchor>
    <xdr:from>
      <xdr:col>7</xdr:col>
      <xdr:colOff>0</xdr:colOff>
      <xdr:row>21</xdr:row>
      <xdr:rowOff>0</xdr:rowOff>
    </xdr:from>
    <xdr:ext cx="304800" cy="308437"/>
    <xdr:sp macro="" textlink="">
      <xdr:nvSpPr>
        <xdr:cNvPr id="9" name="AutoShape 231" descr="Resultado de imagen para beer consumption trend">
          <a:extLst>
            <a:ext uri="{FF2B5EF4-FFF2-40B4-BE49-F238E27FC236}">
              <a16:creationId xmlns:a16="http://schemas.microsoft.com/office/drawing/2014/main" id="{AA136BD3-E371-456D-B139-DD83F8109FB2}"/>
            </a:ext>
          </a:extLst>
        </xdr:cNvPr>
        <xdr:cNvSpPr>
          <a:spLocks noChangeAspect="1" noChangeArrowheads="1"/>
        </xdr:cNvSpPr>
      </xdr:nvSpPr>
      <xdr:spPr bwMode="auto">
        <a:xfrm>
          <a:off x="13423515" y="8797636"/>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21</xdr:row>
      <xdr:rowOff>0</xdr:rowOff>
    </xdr:from>
    <xdr:ext cx="304800" cy="305262"/>
    <xdr:sp macro="" textlink="">
      <xdr:nvSpPr>
        <xdr:cNvPr id="10" name="AutoShape 231" descr="Resultado de imagen para beer consumption trend">
          <a:extLst>
            <a:ext uri="{FF2B5EF4-FFF2-40B4-BE49-F238E27FC236}">
              <a16:creationId xmlns:a16="http://schemas.microsoft.com/office/drawing/2014/main" id="{4BBCDD40-DB5D-45A7-B0AB-DA80848C44A9}"/>
            </a:ext>
            <a:ext uri="{147F2762-F138-4A5C-976F-8EAC2B608ADB}">
              <a16:predDERef xmlns:a16="http://schemas.microsoft.com/office/drawing/2014/main" pred="{76C615DC-9449-489C-838D-7501FF91B816}"/>
            </a:ext>
          </a:extLst>
        </xdr:cNvPr>
        <xdr:cNvSpPr>
          <a:spLocks noChangeAspect="1" noChangeArrowheads="1"/>
        </xdr:cNvSpPr>
      </xdr:nvSpPr>
      <xdr:spPr bwMode="auto">
        <a:xfrm>
          <a:off x="13423515" y="8797636"/>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22</xdr:row>
      <xdr:rowOff>0</xdr:rowOff>
    </xdr:from>
    <xdr:ext cx="304800" cy="308437"/>
    <xdr:sp macro="" textlink="">
      <xdr:nvSpPr>
        <xdr:cNvPr id="11" name="AutoShape 231" descr="Resultado de imagen para beer consumption trend">
          <a:extLst>
            <a:ext uri="{FF2B5EF4-FFF2-40B4-BE49-F238E27FC236}">
              <a16:creationId xmlns:a16="http://schemas.microsoft.com/office/drawing/2014/main" id="{E4D2D304-11B4-4771-86FB-F96D6C8CB517}"/>
            </a:ext>
          </a:extLst>
        </xdr:cNvPr>
        <xdr:cNvSpPr>
          <a:spLocks noChangeAspect="1" noChangeArrowheads="1"/>
        </xdr:cNvSpPr>
      </xdr:nvSpPr>
      <xdr:spPr bwMode="auto">
        <a:xfrm>
          <a:off x="13423515" y="8797636"/>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22</xdr:row>
      <xdr:rowOff>0</xdr:rowOff>
    </xdr:from>
    <xdr:ext cx="304800" cy="305262"/>
    <xdr:sp macro="" textlink="">
      <xdr:nvSpPr>
        <xdr:cNvPr id="12" name="AutoShape 231" descr="Resultado de imagen para beer consumption trend">
          <a:extLst>
            <a:ext uri="{FF2B5EF4-FFF2-40B4-BE49-F238E27FC236}">
              <a16:creationId xmlns:a16="http://schemas.microsoft.com/office/drawing/2014/main" id="{363DD846-C7F8-41A8-98AE-7613810C0C19}"/>
            </a:ext>
            <a:ext uri="{147F2762-F138-4A5C-976F-8EAC2B608ADB}">
              <a16:predDERef xmlns:a16="http://schemas.microsoft.com/office/drawing/2014/main" pred="{76C615DC-9449-489C-838D-7501FF91B816}"/>
            </a:ext>
          </a:extLst>
        </xdr:cNvPr>
        <xdr:cNvSpPr>
          <a:spLocks noChangeAspect="1" noChangeArrowheads="1"/>
        </xdr:cNvSpPr>
      </xdr:nvSpPr>
      <xdr:spPr bwMode="auto">
        <a:xfrm>
          <a:off x="13423515" y="8797636"/>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23</xdr:row>
      <xdr:rowOff>0</xdr:rowOff>
    </xdr:from>
    <xdr:ext cx="304800" cy="308437"/>
    <xdr:sp macro="" textlink="">
      <xdr:nvSpPr>
        <xdr:cNvPr id="13" name="AutoShape 231" descr="Resultado de imagen para beer consumption trend">
          <a:extLst>
            <a:ext uri="{FF2B5EF4-FFF2-40B4-BE49-F238E27FC236}">
              <a16:creationId xmlns:a16="http://schemas.microsoft.com/office/drawing/2014/main" id="{C2201B4A-5A38-4370-AC19-E11F45F4309F}"/>
            </a:ext>
          </a:extLst>
        </xdr:cNvPr>
        <xdr:cNvSpPr>
          <a:spLocks noChangeAspect="1" noChangeArrowheads="1"/>
        </xdr:cNvSpPr>
      </xdr:nvSpPr>
      <xdr:spPr bwMode="auto">
        <a:xfrm>
          <a:off x="13423515" y="8797636"/>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23</xdr:row>
      <xdr:rowOff>0</xdr:rowOff>
    </xdr:from>
    <xdr:ext cx="304800" cy="305262"/>
    <xdr:sp macro="" textlink="">
      <xdr:nvSpPr>
        <xdr:cNvPr id="20" name="AutoShape 231" descr="Resultado de imagen para beer consumption trend">
          <a:extLst>
            <a:ext uri="{FF2B5EF4-FFF2-40B4-BE49-F238E27FC236}">
              <a16:creationId xmlns:a16="http://schemas.microsoft.com/office/drawing/2014/main" id="{811E29E8-4D10-4CCF-840C-4F88547FC3FE}"/>
            </a:ext>
            <a:ext uri="{147F2762-F138-4A5C-976F-8EAC2B608ADB}">
              <a16:predDERef xmlns:a16="http://schemas.microsoft.com/office/drawing/2014/main" pred="{76C615DC-9449-489C-838D-7501FF91B816}"/>
            </a:ext>
          </a:extLst>
        </xdr:cNvPr>
        <xdr:cNvSpPr>
          <a:spLocks noChangeAspect="1" noChangeArrowheads="1"/>
        </xdr:cNvSpPr>
      </xdr:nvSpPr>
      <xdr:spPr bwMode="auto">
        <a:xfrm>
          <a:off x="13423515" y="8797636"/>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23</xdr:row>
      <xdr:rowOff>0</xdr:rowOff>
    </xdr:from>
    <xdr:ext cx="304800" cy="308437"/>
    <xdr:sp macro="" textlink="">
      <xdr:nvSpPr>
        <xdr:cNvPr id="21" name="AutoShape 231" descr="Resultado de imagen para beer consumption trend">
          <a:extLst>
            <a:ext uri="{FF2B5EF4-FFF2-40B4-BE49-F238E27FC236}">
              <a16:creationId xmlns:a16="http://schemas.microsoft.com/office/drawing/2014/main" id="{9370461A-4080-4E58-AD89-B723761A8997}"/>
            </a:ext>
            <a:ext uri="{147F2762-F138-4A5C-976F-8EAC2B608ADB}">
              <a16:predDERef xmlns:a16="http://schemas.microsoft.com/office/drawing/2014/main" pred="{811E29E8-4D10-4CCF-840C-4F88547FC3FE}"/>
            </a:ext>
          </a:extLst>
        </xdr:cNvPr>
        <xdr:cNvSpPr>
          <a:spLocks noChangeAspect="1" noChangeArrowheads="1"/>
        </xdr:cNvSpPr>
      </xdr:nvSpPr>
      <xdr:spPr bwMode="auto">
        <a:xfrm>
          <a:off x="13058775" y="9124950"/>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23</xdr:row>
      <xdr:rowOff>0</xdr:rowOff>
    </xdr:from>
    <xdr:ext cx="304800" cy="305262"/>
    <xdr:sp macro="" textlink="">
      <xdr:nvSpPr>
        <xdr:cNvPr id="22" name="AutoShape 231" descr="Resultado de imagen para beer consumption trend">
          <a:extLst>
            <a:ext uri="{FF2B5EF4-FFF2-40B4-BE49-F238E27FC236}">
              <a16:creationId xmlns:a16="http://schemas.microsoft.com/office/drawing/2014/main" id="{D6C2D71A-F534-4117-A022-9DCED1D75FFC}"/>
            </a:ext>
            <a:ext uri="{147F2762-F138-4A5C-976F-8EAC2B608ADB}">
              <a16:predDERef xmlns:a16="http://schemas.microsoft.com/office/drawing/2014/main" pred="{9370461A-4080-4E58-AD89-B723761A8997}"/>
            </a:ext>
          </a:extLst>
        </xdr:cNvPr>
        <xdr:cNvSpPr>
          <a:spLocks noChangeAspect="1" noChangeArrowheads="1"/>
        </xdr:cNvSpPr>
      </xdr:nvSpPr>
      <xdr:spPr bwMode="auto">
        <a:xfrm>
          <a:off x="13058775" y="9124950"/>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24</xdr:row>
      <xdr:rowOff>0</xdr:rowOff>
    </xdr:from>
    <xdr:ext cx="304800" cy="308437"/>
    <xdr:sp macro="" textlink="">
      <xdr:nvSpPr>
        <xdr:cNvPr id="23" name="AutoShape 231" descr="Resultado de imagen para beer consumption trend">
          <a:extLst>
            <a:ext uri="{FF2B5EF4-FFF2-40B4-BE49-F238E27FC236}">
              <a16:creationId xmlns:a16="http://schemas.microsoft.com/office/drawing/2014/main" id="{B8B58D82-BF33-40BE-B94F-021DBB26C5D6}"/>
            </a:ext>
            <a:ext uri="{147F2762-F138-4A5C-976F-8EAC2B608ADB}">
              <a16:predDERef xmlns:a16="http://schemas.microsoft.com/office/drawing/2014/main" pred="{D6C2D71A-F534-4117-A022-9DCED1D75FFC}"/>
            </a:ext>
          </a:extLst>
        </xdr:cNvPr>
        <xdr:cNvSpPr>
          <a:spLocks noChangeAspect="1" noChangeArrowheads="1"/>
        </xdr:cNvSpPr>
      </xdr:nvSpPr>
      <xdr:spPr bwMode="auto">
        <a:xfrm>
          <a:off x="13058775" y="9296400"/>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24</xdr:row>
      <xdr:rowOff>0</xdr:rowOff>
    </xdr:from>
    <xdr:ext cx="304800" cy="305262"/>
    <xdr:sp macro="" textlink="">
      <xdr:nvSpPr>
        <xdr:cNvPr id="24" name="AutoShape 231" descr="Resultado de imagen para beer consumption trend">
          <a:extLst>
            <a:ext uri="{FF2B5EF4-FFF2-40B4-BE49-F238E27FC236}">
              <a16:creationId xmlns:a16="http://schemas.microsoft.com/office/drawing/2014/main" id="{B18638A1-C11A-4772-8564-89999D8DBABC}"/>
            </a:ext>
            <a:ext uri="{147F2762-F138-4A5C-976F-8EAC2B608ADB}">
              <a16:predDERef xmlns:a16="http://schemas.microsoft.com/office/drawing/2014/main" pred="{B8B58D82-BF33-40BE-B94F-021DBB26C5D6}"/>
            </a:ext>
          </a:extLst>
        </xdr:cNvPr>
        <xdr:cNvSpPr>
          <a:spLocks noChangeAspect="1" noChangeArrowheads="1"/>
        </xdr:cNvSpPr>
      </xdr:nvSpPr>
      <xdr:spPr bwMode="auto">
        <a:xfrm>
          <a:off x="13058775" y="9296400"/>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24</xdr:row>
      <xdr:rowOff>0</xdr:rowOff>
    </xdr:from>
    <xdr:ext cx="304800" cy="308437"/>
    <xdr:sp macro="" textlink="">
      <xdr:nvSpPr>
        <xdr:cNvPr id="25" name="AutoShape 231" descr="Resultado de imagen para beer consumption trend">
          <a:extLst>
            <a:ext uri="{FF2B5EF4-FFF2-40B4-BE49-F238E27FC236}">
              <a16:creationId xmlns:a16="http://schemas.microsoft.com/office/drawing/2014/main" id="{DAC36895-50AF-4792-A8DE-4770B164AF72}"/>
            </a:ext>
            <a:ext uri="{147F2762-F138-4A5C-976F-8EAC2B608ADB}">
              <a16:predDERef xmlns:a16="http://schemas.microsoft.com/office/drawing/2014/main" pred="{B18638A1-C11A-4772-8564-89999D8DBABC}"/>
            </a:ext>
          </a:extLst>
        </xdr:cNvPr>
        <xdr:cNvSpPr>
          <a:spLocks noChangeAspect="1" noChangeArrowheads="1"/>
        </xdr:cNvSpPr>
      </xdr:nvSpPr>
      <xdr:spPr bwMode="auto">
        <a:xfrm>
          <a:off x="13058775" y="9124950"/>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24</xdr:row>
      <xdr:rowOff>0</xdr:rowOff>
    </xdr:from>
    <xdr:ext cx="304800" cy="305262"/>
    <xdr:sp macro="" textlink="">
      <xdr:nvSpPr>
        <xdr:cNvPr id="26" name="AutoShape 231" descr="Resultado de imagen para beer consumption trend">
          <a:extLst>
            <a:ext uri="{FF2B5EF4-FFF2-40B4-BE49-F238E27FC236}">
              <a16:creationId xmlns:a16="http://schemas.microsoft.com/office/drawing/2014/main" id="{A00D1537-1324-43D0-8E0F-BAB8C66F3D97}"/>
            </a:ext>
            <a:ext uri="{147F2762-F138-4A5C-976F-8EAC2B608ADB}">
              <a16:predDERef xmlns:a16="http://schemas.microsoft.com/office/drawing/2014/main" pred="{DAC36895-50AF-4792-A8DE-4770B164AF72}"/>
            </a:ext>
          </a:extLst>
        </xdr:cNvPr>
        <xdr:cNvSpPr>
          <a:spLocks noChangeAspect="1" noChangeArrowheads="1"/>
        </xdr:cNvSpPr>
      </xdr:nvSpPr>
      <xdr:spPr bwMode="auto">
        <a:xfrm>
          <a:off x="13058775" y="9124950"/>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25</xdr:row>
      <xdr:rowOff>0</xdr:rowOff>
    </xdr:from>
    <xdr:ext cx="304800" cy="308437"/>
    <xdr:sp macro="" textlink="">
      <xdr:nvSpPr>
        <xdr:cNvPr id="27" name="AutoShape 231" descr="Resultado de imagen para beer consumption trend">
          <a:extLst>
            <a:ext uri="{FF2B5EF4-FFF2-40B4-BE49-F238E27FC236}">
              <a16:creationId xmlns:a16="http://schemas.microsoft.com/office/drawing/2014/main" id="{DC6CE59E-32B3-4CB8-8487-A3423E262E4D}"/>
            </a:ext>
            <a:ext uri="{147F2762-F138-4A5C-976F-8EAC2B608ADB}">
              <a16:predDERef xmlns:a16="http://schemas.microsoft.com/office/drawing/2014/main" pred="{A00D1537-1324-43D0-8E0F-BAB8C66F3D97}"/>
            </a:ext>
          </a:extLst>
        </xdr:cNvPr>
        <xdr:cNvSpPr>
          <a:spLocks noChangeAspect="1" noChangeArrowheads="1"/>
        </xdr:cNvSpPr>
      </xdr:nvSpPr>
      <xdr:spPr bwMode="auto">
        <a:xfrm>
          <a:off x="13058775" y="9296400"/>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25</xdr:row>
      <xdr:rowOff>0</xdr:rowOff>
    </xdr:from>
    <xdr:ext cx="304800" cy="305262"/>
    <xdr:sp macro="" textlink="">
      <xdr:nvSpPr>
        <xdr:cNvPr id="28" name="AutoShape 231" descr="Resultado de imagen para beer consumption trend">
          <a:extLst>
            <a:ext uri="{FF2B5EF4-FFF2-40B4-BE49-F238E27FC236}">
              <a16:creationId xmlns:a16="http://schemas.microsoft.com/office/drawing/2014/main" id="{2013B05A-BF0E-4CEF-B70F-BB43F32FCDFD}"/>
            </a:ext>
            <a:ext uri="{147F2762-F138-4A5C-976F-8EAC2B608ADB}">
              <a16:predDERef xmlns:a16="http://schemas.microsoft.com/office/drawing/2014/main" pred="{DC6CE59E-32B3-4CB8-8487-A3423E262E4D}"/>
            </a:ext>
          </a:extLst>
        </xdr:cNvPr>
        <xdr:cNvSpPr>
          <a:spLocks noChangeAspect="1" noChangeArrowheads="1"/>
        </xdr:cNvSpPr>
      </xdr:nvSpPr>
      <xdr:spPr bwMode="auto">
        <a:xfrm>
          <a:off x="13058775" y="9296400"/>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25</xdr:row>
      <xdr:rowOff>0</xdr:rowOff>
    </xdr:from>
    <xdr:ext cx="304800" cy="308437"/>
    <xdr:sp macro="" textlink="">
      <xdr:nvSpPr>
        <xdr:cNvPr id="29" name="AutoShape 231" descr="Resultado de imagen para beer consumption trend">
          <a:extLst>
            <a:ext uri="{FF2B5EF4-FFF2-40B4-BE49-F238E27FC236}">
              <a16:creationId xmlns:a16="http://schemas.microsoft.com/office/drawing/2014/main" id="{462CB857-DF12-4365-B214-18BC6920D6C6}"/>
            </a:ext>
            <a:ext uri="{147F2762-F138-4A5C-976F-8EAC2B608ADB}">
              <a16:predDERef xmlns:a16="http://schemas.microsoft.com/office/drawing/2014/main" pred="{2013B05A-BF0E-4CEF-B70F-BB43F32FCDFD}"/>
            </a:ext>
          </a:extLst>
        </xdr:cNvPr>
        <xdr:cNvSpPr>
          <a:spLocks noChangeAspect="1" noChangeArrowheads="1"/>
        </xdr:cNvSpPr>
      </xdr:nvSpPr>
      <xdr:spPr bwMode="auto">
        <a:xfrm>
          <a:off x="13058775" y="9124950"/>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25</xdr:row>
      <xdr:rowOff>0</xdr:rowOff>
    </xdr:from>
    <xdr:ext cx="304800" cy="305262"/>
    <xdr:sp macro="" textlink="">
      <xdr:nvSpPr>
        <xdr:cNvPr id="30" name="AutoShape 231" descr="Resultado de imagen para beer consumption trend">
          <a:extLst>
            <a:ext uri="{FF2B5EF4-FFF2-40B4-BE49-F238E27FC236}">
              <a16:creationId xmlns:a16="http://schemas.microsoft.com/office/drawing/2014/main" id="{ED490763-B357-4D8C-936E-578DD73A36E2}"/>
            </a:ext>
            <a:ext uri="{147F2762-F138-4A5C-976F-8EAC2B608ADB}">
              <a16:predDERef xmlns:a16="http://schemas.microsoft.com/office/drawing/2014/main" pred="{462CB857-DF12-4365-B214-18BC6920D6C6}"/>
            </a:ext>
          </a:extLst>
        </xdr:cNvPr>
        <xdr:cNvSpPr>
          <a:spLocks noChangeAspect="1" noChangeArrowheads="1"/>
        </xdr:cNvSpPr>
      </xdr:nvSpPr>
      <xdr:spPr bwMode="auto">
        <a:xfrm>
          <a:off x="13058775" y="9124950"/>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26</xdr:row>
      <xdr:rowOff>0</xdr:rowOff>
    </xdr:from>
    <xdr:ext cx="304800" cy="308437"/>
    <xdr:sp macro="" textlink="">
      <xdr:nvSpPr>
        <xdr:cNvPr id="31" name="AutoShape 231" descr="Resultado de imagen para beer consumption trend">
          <a:extLst>
            <a:ext uri="{FF2B5EF4-FFF2-40B4-BE49-F238E27FC236}">
              <a16:creationId xmlns:a16="http://schemas.microsoft.com/office/drawing/2014/main" id="{295A528D-2CCA-4270-8394-92568607F304}"/>
            </a:ext>
            <a:ext uri="{147F2762-F138-4A5C-976F-8EAC2B608ADB}">
              <a16:predDERef xmlns:a16="http://schemas.microsoft.com/office/drawing/2014/main" pred="{ED490763-B357-4D8C-936E-578DD73A36E2}"/>
            </a:ext>
          </a:extLst>
        </xdr:cNvPr>
        <xdr:cNvSpPr>
          <a:spLocks noChangeAspect="1" noChangeArrowheads="1"/>
        </xdr:cNvSpPr>
      </xdr:nvSpPr>
      <xdr:spPr bwMode="auto">
        <a:xfrm>
          <a:off x="13058775" y="9296400"/>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26</xdr:row>
      <xdr:rowOff>0</xdr:rowOff>
    </xdr:from>
    <xdr:ext cx="304800" cy="305262"/>
    <xdr:sp macro="" textlink="">
      <xdr:nvSpPr>
        <xdr:cNvPr id="32" name="AutoShape 231" descr="Resultado de imagen para beer consumption trend">
          <a:extLst>
            <a:ext uri="{FF2B5EF4-FFF2-40B4-BE49-F238E27FC236}">
              <a16:creationId xmlns:a16="http://schemas.microsoft.com/office/drawing/2014/main" id="{91ACC21C-B7BB-4D64-971B-0F4EF55B348D}"/>
            </a:ext>
            <a:ext uri="{147F2762-F138-4A5C-976F-8EAC2B608ADB}">
              <a16:predDERef xmlns:a16="http://schemas.microsoft.com/office/drawing/2014/main" pred="{295A528D-2CCA-4270-8394-92568607F304}"/>
            </a:ext>
          </a:extLst>
        </xdr:cNvPr>
        <xdr:cNvSpPr>
          <a:spLocks noChangeAspect="1" noChangeArrowheads="1"/>
        </xdr:cNvSpPr>
      </xdr:nvSpPr>
      <xdr:spPr bwMode="auto">
        <a:xfrm>
          <a:off x="13058775" y="9296400"/>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26</xdr:row>
      <xdr:rowOff>0</xdr:rowOff>
    </xdr:from>
    <xdr:ext cx="304800" cy="308437"/>
    <xdr:sp macro="" textlink="">
      <xdr:nvSpPr>
        <xdr:cNvPr id="33" name="AutoShape 231" descr="Resultado de imagen para beer consumption trend">
          <a:extLst>
            <a:ext uri="{FF2B5EF4-FFF2-40B4-BE49-F238E27FC236}">
              <a16:creationId xmlns:a16="http://schemas.microsoft.com/office/drawing/2014/main" id="{31DE25E6-DD67-45CC-80AC-A3A46C15697A}"/>
            </a:ext>
            <a:ext uri="{147F2762-F138-4A5C-976F-8EAC2B608ADB}">
              <a16:predDERef xmlns:a16="http://schemas.microsoft.com/office/drawing/2014/main" pred="{91ACC21C-B7BB-4D64-971B-0F4EF55B348D}"/>
            </a:ext>
          </a:extLst>
        </xdr:cNvPr>
        <xdr:cNvSpPr>
          <a:spLocks noChangeAspect="1" noChangeArrowheads="1"/>
        </xdr:cNvSpPr>
      </xdr:nvSpPr>
      <xdr:spPr bwMode="auto">
        <a:xfrm>
          <a:off x="13058775" y="9124950"/>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26</xdr:row>
      <xdr:rowOff>0</xdr:rowOff>
    </xdr:from>
    <xdr:ext cx="304800" cy="305262"/>
    <xdr:sp macro="" textlink="">
      <xdr:nvSpPr>
        <xdr:cNvPr id="34" name="AutoShape 231" descr="Resultado de imagen para beer consumption trend">
          <a:extLst>
            <a:ext uri="{FF2B5EF4-FFF2-40B4-BE49-F238E27FC236}">
              <a16:creationId xmlns:a16="http://schemas.microsoft.com/office/drawing/2014/main" id="{59765A3D-EC57-4FD8-B838-C8D9D3EC56E6}"/>
            </a:ext>
            <a:ext uri="{147F2762-F138-4A5C-976F-8EAC2B608ADB}">
              <a16:predDERef xmlns:a16="http://schemas.microsoft.com/office/drawing/2014/main" pred="{31DE25E6-DD67-45CC-80AC-A3A46C15697A}"/>
            </a:ext>
          </a:extLst>
        </xdr:cNvPr>
        <xdr:cNvSpPr>
          <a:spLocks noChangeAspect="1" noChangeArrowheads="1"/>
        </xdr:cNvSpPr>
      </xdr:nvSpPr>
      <xdr:spPr bwMode="auto">
        <a:xfrm>
          <a:off x="13058775" y="9124950"/>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27</xdr:row>
      <xdr:rowOff>0</xdr:rowOff>
    </xdr:from>
    <xdr:ext cx="304800" cy="308437"/>
    <xdr:sp macro="" textlink="">
      <xdr:nvSpPr>
        <xdr:cNvPr id="35" name="AutoShape 231" descr="Resultado de imagen para beer consumption trend">
          <a:extLst>
            <a:ext uri="{FF2B5EF4-FFF2-40B4-BE49-F238E27FC236}">
              <a16:creationId xmlns:a16="http://schemas.microsoft.com/office/drawing/2014/main" id="{F2B5C528-2DBE-46CA-B5C6-5EF4C9D90628}"/>
            </a:ext>
            <a:ext uri="{147F2762-F138-4A5C-976F-8EAC2B608ADB}">
              <a16:predDERef xmlns:a16="http://schemas.microsoft.com/office/drawing/2014/main" pred="{59765A3D-EC57-4FD8-B838-C8D9D3EC56E6}"/>
            </a:ext>
          </a:extLst>
        </xdr:cNvPr>
        <xdr:cNvSpPr>
          <a:spLocks noChangeAspect="1" noChangeArrowheads="1"/>
        </xdr:cNvSpPr>
      </xdr:nvSpPr>
      <xdr:spPr bwMode="auto">
        <a:xfrm>
          <a:off x="13058775" y="9296400"/>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27</xdr:row>
      <xdr:rowOff>0</xdr:rowOff>
    </xdr:from>
    <xdr:ext cx="304800" cy="305262"/>
    <xdr:sp macro="" textlink="">
      <xdr:nvSpPr>
        <xdr:cNvPr id="36" name="AutoShape 231" descr="Resultado de imagen para beer consumption trend">
          <a:extLst>
            <a:ext uri="{FF2B5EF4-FFF2-40B4-BE49-F238E27FC236}">
              <a16:creationId xmlns:a16="http://schemas.microsoft.com/office/drawing/2014/main" id="{3470E5A9-9CF9-4244-85F3-F7775C0DA60E}"/>
            </a:ext>
            <a:ext uri="{147F2762-F138-4A5C-976F-8EAC2B608ADB}">
              <a16:predDERef xmlns:a16="http://schemas.microsoft.com/office/drawing/2014/main" pred="{F2B5C528-2DBE-46CA-B5C6-5EF4C9D90628}"/>
            </a:ext>
          </a:extLst>
        </xdr:cNvPr>
        <xdr:cNvSpPr>
          <a:spLocks noChangeAspect="1" noChangeArrowheads="1"/>
        </xdr:cNvSpPr>
      </xdr:nvSpPr>
      <xdr:spPr bwMode="auto">
        <a:xfrm>
          <a:off x="13058775" y="9296400"/>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27</xdr:row>
      <xdr:rowOff>0</xdr:rowOff>
    </xdr:from>
    <xdr:ext cx="304800" cy="308437"/>
    <xdr:sp macro="" textlink="">
      <xdr:nvSpPr>
        <xdr:cNvPr id="37" name="AutoShape 231" descr="Resultado de imagen para beer consumption trend">
          <a:extLst>
            <a:ext uri="{FF2B5EF4-FFF2-40B4-BE49-F238E27FC236}">
              <a16:creationId xmlns:a16="http://schemas.microsoft.com/office/drawing/2014/main" id="{E8BE0D5B-5EC4-4D65-853E-CD9062E24489}"/>
            </a:ext>
            <a:ext uri="{147F2762-F138-4A5C-976F-8EAC2B608ADB}">
              <a16:predDERef xmlns:a16="http://schemas.microsoft.com/office/drawing/2014/main" pred="{3470E5A9-9CF9-4244-85F3-F7775C0DA60E}"/>
            </a:ext>
          </a:extLst>
        </xdr:cNvPr>
        <xdr:cNvSpPr>
          <a:spLocks noChangeAspect="1" noChangeArrowheads="1"/>
        </xdr:cNvSpPr>
      </xdr:nvSpPr>
      <xdr:spPr bwMode="auto">
        <a:xfrm>
          <a:off x="13058775" y="9124950"/>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27</xdr:row>
      <xdr:rowOff>0</xdr:rowOff>
    </xdr:from>
    <xdr:ext cx="304800" cy="305262"/>
    <xdr:sp macro="" textlink="">
      <xdr:nvSpPr>
        <xdr:cNvPr id="38" name="AutoShape 231" descr="Resultado de imagen para beer consumption trend">
          <a:extLst>
            <a:ext uri="{FF2B5EF4-FFF2-40B4-BE49-F238E27FC236}">
              <a16:creationId xmlns:a16="http://schemas.microsoft.com/office/drawing/2014/main" id="{772E6CAE-2924-4874-911E-FD54800BAF54}"/>
            </a:ext>
            <a:ext uri="{147F2762-F138-4A5C-976F-8EAC2B608ADB}">
              <a16:predDERef xmlns:a16="http://schemas.microsoft.com/office/drawing/2014/main" pred="{E8BE0D5B-5EC4-4D65-853E-CD9062E24489}"/>
            </a:ext>
          </a:extLst>
        </xdr:cNvPr>
        <xdr:cNvSpPr>
          <a:spLocks noChangeAspect="1" noChangeArrowheads="1"/>
        </xdr:cNvSpPr>
      </xdr:nvSpPr>
      <xdr:spPr bwMode="auto">
        <a:xfrm>
          <a:off x="13058775" y="9124950"/>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28</xdr:row>
      <xdr:rowOff>0</xdr:rowOff>
    </xdr:from>
    <xdr:ext cx="304800" cy="308437"/>
    <xdr:sp macro="" textlink="">
      <xdr:nvSpPr>
        <xdr:cNvPr id="39" name="AutoShape 231" descr="Resultado de imagen para beer consumption trend">
          <a:extLst>
            <a:ext uri="{FF2B5EF4-FFF2-40B4-BE49-F238E27FC236}">
              <a16:creationId xmlns:a16="http://schemas.microsoft.com/office/drawing/2014/main" id="{1A5462D6-0F0E-42FD-AF1B-AC5B5234798A}"/>
            </a:ext>
            <a:ext uri="{147F2762-F138-4A5C-976F-8EAC2B608ADB}">
              <a16:predDERef xmlns:a16="http://schemas.microsoft.com/office/drawing/2014/main" pred="{772E6CAE-2924-4874-911E-FD54800BAF54}"/>
            </a:ext>
          </a:extLst>
        </xdr:cNvPr>
        <xdr:cNvSpPr>
          <a:spLocks noChangeAspect="1" noChangeArrowheads="1"/>
        </xdr:cNvSpPr>
      </xdr:nvSpPr>
      <xdr:spPr bwMode="auto">
        <a:xfrm>
          <a:off x="13058775" y="9296400"/>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28</xdr:row>
      <xdr:rowOff>0</xdr:rowOff>
    </xdr:from>
    <xdr:ext cx="304800" cy="305262"/>
    <xdr:sp macro="" textlink="">
      <xdr:nvSpPr>
        <xdr:cNvPr id="40" name="AutoShape 231" descr="Resultado de imagen para beer consumption trend">
          <a:extLst>
            <a:ext uri="{FF2B5EF4-FFF2-40B4-BE49-F238E27FC236}">
              <a16:creationId xmlns:a16="http://schemas.microsoft.com/office/drawing/2014/main" id="{411E78EF-771F-4E4D-9784-A42E1DAC1211}"/>
            </a:ext>
            <a:ext uri="{147F2762-F138-4A5C-976F-8EAC2B608ADB}">
              <a16:predDERef xmlns:a16="http://schemas.microsoft.com/office/drawing/2014/main" pred="{1A5462D6-0F0E-42FD-AF1B-AC5B5234798A}"/>
            </a:ext>
          </a:extLst>
        </xdr:cNvPr>
        <xdr:cNvSpPr>
          <a:spLocks noChangeAspect="1" noChangeArrowheads="1"/>
        </xdr:cNvSpPr>
      </xdr:nvSpPr>
      <xdr:spPr bwMode="auto">
        <a:xfrm>
          <a:off x="13058775" y="9296400"/>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28</xdr:row>
      <xdr:rowOff>0</xdr:rowOff>
    </xdr:from>
    <xdr:ext cx="304800" cy="308437"/>
    <xdr:sp macro="" textlink="">
      <xdr:nvSpPr>
        <xdr:cNvPr id="41" name="AutoShape 231" descr="Resultado de imagen para beer consumption trend">
          <a:extLst>
            <a:ext uri="{FF2B5EF4-FFF2-40B4-BE49-F238E27FC236}">
              <a16:creationId xmlns:a16="http://schemas.microsoft.com/office/drawing/2014/main" id="{6692B823-985B-471A-88A7-DCE2C7A4571A}"/>
            </a:ext>
            <a:ext uri="{147F2762-F138-4A5C-976F-8EAC2B608ADB}">
              <a16:predDERef xmlns:a16="http://schemas.microsoft.com/office/drawing/2014/main" pred="{411E78EF-771F-4E4D-9784-A42E1DAC1211}"/>
            </a:ext>
          </a:extLst>
        </xdr:cNvPr>
        <xdr:cNvSpPr>
          <a:spLocks noChangeAspect="1" noChangeArrowheads="1"/>
        </xdr:cNvSpPr>
      </xdr:nvSpPr>
      <xdr:spPr bwMode="auto">
        <a:xfrm>
          <a:off x="13058775" y="9124950"/>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28</xdr:row>
      <xdr:rowOff>0</xdr:rowOff>
    </xdr:from>
    <xdr:ext cx="304800" cy="305262"/>
    <xdr:sp macro="" textlink="">
      <xdr:nvSpPr>
        <xdr:cNvPr id="42" name="AutoShape 231" descr="Resultado de imagen para beer consumption trend">
          <a:extLst>
            <a:ext uri="{FF2B5EF4-FFF2-40B4-BE49-F238E27FC236}">
              <a16:creationId xmlns:a16="http://schemas.microsoft.com/office/drawing/2014/main" id="{7D413025-06C6-4794-9A18-350EB60ADA17}"/>
            </a:ext>
            <a:ext uri="{147F2762-F138-4A5C-976F-8EAC2B608ADB}">
              <a16:predDERef xmlns:a16="http://schemas.microsoft.com/office/drawing/2014/main" pred="{6692B823-985B-471A-88A7-DCE2C7A4571A}"/>
            </a:ext>
          </a:extLst>
        </xdr:cNvPr>
        <xdr:cNvSpPr>
          <a:spLocks noChangeAspect="1" noChangeArrowheads="1"/>
        </xdr:cNvSpPr>
      </xdr:nvSpPr>
      <xdr:spPr bwMode="auto">
        <a:xfrm>
          <a:off x="13058775" y="9124950"/>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29</xdr:row>
      <xdr:rowOff>0</xdr:rowOff>
    </xdr:from>
    <xdr:ext cx="304800" cy="308437"/>
    <xdr:sp macro="" textlink="">
      <xdr:nvSpPr>
        <xdr:cNvPr id="43" name="AutoShape 231" descr="Resultado de imagen para beer consumption trend">
          <a:extLst>
            <a:ext uri="{FF2B5EF4-FFF2-40B4-BE49-F238E27FC236}">
              <a16:creationId xmlns:a16="http://schemas.microsoft.com/office/drawing/2014/main" id="{187EB0FA-AA33-420A-B9A3-BA53227B733E}"/>
            </a:ext>
            <a:ext uri="{147F2762-F138-4A5C-976F-8EAC2B608ADB}">
              <a16:predDERef xmlns:a16="http://schemas.microsoft.com/office/drawing/2014/main" pred="{7D413025-06C6-4794-9A18-350EB60ADA17}"/>
            </a:ext>
          </a:extLst>
        </xdr:cNvPr>
        <xdr:cNvSpPr>
          <a:spLocks noChangeAspect="1" noChangeArrowheads="1"/>
        </xdr:cNvSpPr>
      </xdr:nvSpPr>
      <xdr:spPr bwMode="auto">
        <a:xfrm>
          <a:off x="13058775" y="9296400"/>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29</xdr:row>
      <xdr:rowOff>0</xdr:rowOff>
    </xdr:from>
    <xdr:ext cx="304800" cy="305262"/>
    <xdr:sp macro="" textlink="">
      <xdr:nvSpPr>
        <xdr:cNvPr id="44" name="AutoShape 231" descr="Resultado de imagen para beer consumption trend">
          <a:extLst>
            <a:ext uri="{FF2B5EF4-FFF2-40B4-BE49-F238E27FC236}">
              <a16:creationId xmlns:a16="http://schemas.microsoft.com/office/drawing/2014/main" id="{F9FFF600-CD85-4CC2-A445-570F8D44949E}"/>
            </a:ext>
            <a:ext uri="{147F2762-F138-4A5C-976F-8EAC2B608ADB}">
              <a16:predDERef xmlns:a16="http://schemas.microsoft.com/office/drawing/2014/main" pred="{187EB0FA-AA33-420A-B9A3-BA53227B733E}"/>
            </a:ext>
          </a:extLst>
        </xdr:cNvPr>
        <xdr:cNvSpPr>
          <a:spLocks noChangeAspect="1" noChangeArrowheads="1"/>
        </xdr:cNvSpPr>
      </xdr:nvSpPr>
      <xdr:spPr bwMode="auto">
        <a:xfrm>
          <a:off x="13058775" y="9296400"/>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29</xdr:row>
      <xdr:rowOff>0</xdr:rowOff>
    </xdr:from>
    <xdr:ext cx="304800" cy="308437"/>
    <xdr:sp macro="" textlink="">
      <xdr:nvSpPr>
        <xdr:cNvPr id="45" name="AutoShape 231" descr="Resultado de imagen para beer consumption trend">
          <a:extLst>
            <a:ext uri="{FF2B5EF4-FFF2-40B4-BE49-F238E27FC236}">
              <a16:creationId xmlns:a16="http://schemas.microsoft.com/office/drawing/2014/main" id="{6E97F76C-8B56-4A69-91C0-013317BFE4AE}"/>
            </a:ext>
            <a:ext uri="{147F2762-F138-4A5C-976F-8EAC2B608ADB}">
              <a16:predDERef xmlns:a16="http://schemas.microsoft.com/office/drawing/2014/main" pred="{F9FFF600-CD85-4CC2-A445-570F8D44949E}"/>
            </a:ext>
          </a:extLst>
        </xdr:cNvPr>
        <xdr:cNvSpPr>
          <a:spLocks noChangeAspect="1" noChangeArrowheads="1"/>
        </xdr:cNvSpPr>
      </xdr:nvSpPr>
      <xdr:spPr bwMode="auto">
        <a:xfrm>
          <a:off x="13058775" y="9124950"/>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29</xdr:row>
      <xdr:rowOff>0</xdr:rowOff>
    </xdr:from>
    <xdr:ext cx="304800" cy="305262"/>
    <xdr:sp macro="" textlink="">
      <xdr:nvSpPr>
        <xdr:cNvPr id="46" name="AutoShape 231" descr="Resultado de imagen para beer consumption trend">
          <a:extLst>
            <a:ext uri="{FF2B5EF4-FFF2-40B4-BE49-F238E27FC236}">
              <a16:creationId xmlns:a16="http://schemas.microsoft.com/office/drawing/2014/main" id="{184D2091-A4BE-4A9B-98A3-455BD2ACE3AB}"/>
            </a:ext>
            <a:ext uri="{147F2762-F138-4A5C-976F-8EAC2B608ADB}">
              <a16:predDERef xmlns:a16="http://schemas.microsoft.com/office/drawing/2014/main" pred="{6E97F76C-8B56-4A69-91C0-013317BFE4AE}"/>
            </a:ext>
          </a:extLst>
        </xdr:cNvPr>
        <xdr:cNvSpPr>
          <a:spLocks noChangeAspect="1" noChangeArrowheads="1"/>
        </xdr:cNvSpPr>
      </xdr:nvSpPr>
      <xdr:spPr bwMode="auto">
        <a:xfrm>
          <a:off x="13058775" y="9124950"/>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30</xdr:row>
      <xdr:rowOff>0</xdr:rowOff>
    </xdr:from>
    <xdr:ext cx="304800" cy="308437"/>
    <xdr:sp macro="" textlink="">
      <xdr:nvSpPr>
        <xdr:cNvPr id="47" name="AutoShape 231" descr="Resultado de imagen para beer consumption trend">
          <a:extLst>
            <a:ext uri="{FF2B5EF4-FFF2-40B4-BE49-F238E27FC236}">
              <a16:creationId xmlns:a16="http://schemas.microsoft.com/office/drawing/2014/main" id="{4D91716D-A24D-4C42-A9B8-25E790E5A392}"/>
            </a:ext>
            <a:ext uri="{147F2762-F138-4A5C-976F-8EAC2B608ADB}">
              <a16:predDERef xmlns:a16="http://schemas.microsoft.com/office/drawing/2014/main" pred="{184D2091-A4BE-4A9B-98A3-455BD2ACE3AB}"/>
            </a:ext>
          </a:extLst>
        </xdr:cNvPr>
        <xdr:cNvSpPr>
          <a:spLocks noChangeAspect="1" noChangeArrowheads="1"/>
        </xdr:cNvSpPr>
      </xdr:nvSpPr>
      <xdr:spPr bwMode="auto">
        <a:xfrm>
          <a:off x="13058775" y="9296400"/>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30</xdr:row>
      <xdr:rowOff>0</xdr:rowOff>
    </xdr:from>
    <xdr:ext cx="304800" cy="305262"/>
    <xdr:sp macro="" textlink="">
      <xdr:nvSpPr>
        <xdr:cNvPr id="48" name="AutoShape 231" descr="Resultado de imagen para beer consumption trend">
          <a:extLst>
            <a:ext uri="{FF2B5EF4-FFF2-40B4-BE49-F238E27FC236}">
              <a16:creationId xmlns:a16="http://schemas.microsoft.com/office/drawing/2014/main" id="{92B47ACF-005E-448F-9F15-E400B4AC989E}"/>
            </a:ext>
            <a:ext uri="{147F2762-F138-4A5C-976F-8EAC2B608ADB}">
              <a16:predDERef xmlns:a16="http://schemas.microsoft.com/office/drawing/2014/main" pred="{4D91716D-A24D-4C42-A9B8-25E790E5A392}"/>
            </a:ext>
          </a:extLst>
        </xdr:cNvPr>
        <xdr:cNvSpPr>
          <a:spLocks noChangeAspect="1" noChangeArrowheads="1"/>
        </xdr:cNvSpPr>
      </xdr:nvSpPr>
      <xdr:spPr bwMode="auto">
        <a:xfrm>
          <a:off x="13058775" y="9296400"/>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30</xdr:row>
      <xdr:rowOff>0</xdr:rowOff>
    </xdr:from>
    <xdr:ext cx="304800" cy="308437"/>
    <xdr:sp macro="" textlink="">
      <xdr:nvSpPr>
        <xdr:cNvPr id="49" name="AutoShape 231" descr="Resultado de imagen para beer consumption trend">
          <a:extLst>
            <a:ext uri="{FF2B5EF4-FFF2-40B4-BE49-F238E27FC236}">
              <a16:creationId xmlns:a16="http://schemas.microsoft.com/office/drawing/2014/main" id="{2359476C-1973-432D-9041-6F8D4CD24464}"/>
            </a:ext>
            <a:ext uri="{147F2762-F138-4A5C-976F-8EAC2B608ADB}">
              <a16:predDERef xmlns:a16="http://schemas.microsoft.com/office/drawing/2014/main" pred="{92B47ACF-005E-448F-9F15-E400B4AC989E}"/>
            </a:ext>
          </a:extLst>
        </xdr:cNvPr>
        <xdr:cNvSpPr>
          <a:spLocks noChangeAspect="1" noChangeArrowheads="1"/>
        </xdr:cNvSpPr>
      </xdr:nvSpPr>
      <xdr:spPr bwMode="auto">
        <a:xfrm>
          <a:off x="13058775" y="9124950"/>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30</xdr:row>
      <xdr:rowOff>0</xdr:rowOff>
    </xdr:from>
    <xdr:ext cx="304800" cy="305262"/>
    <xdr:sp macro="" textlink="">
      <xdr:nvSpPr>
        <xdr:cNvPr id="50" name="AutoShape 231" descr="Resultado de imagen para beer consumption trend">
          <a:extLst>
            <a:ext uri="{FF2B5EF4-FFF2-40B4-BE49-F238E27FC236}">
              <a16:creationId xmlns:a16="http://schemas.microsoft.com/office/drawing/2014/main" id="{DA2AC413-AF46-43FE-841D-3303E14C16B0}"/>
            </a:ext>
            <a:ext uri="{147F2762-F138-4A5C-976F-8EAC2B608ADB}">
              <a16:predDERef xmlns:a16="http://schemas.microsoft.com/office/drawing/2014/main" pred="{2359476C-1973-432D-9041-6F8D4CD24464}"/>
            </a:ext>
          </a:extLst>
        </xdr:cNvPr>
        <xdr:cNvSpPr>
          <a:spLocks noChangeAspect="1" noChangeArrowheads="1"/>
        </xdr:cNvSpPr>
      </xdr:nvSpPr>
      <xdr:spPr bwMode="auto">
        <a:xfrm>
          <a:off x="13058775" y="9124950"/>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31</xdr:row>
      <xdr:rowOff>0</xdr:rowOff>
    </xdr:from>
    <xdr:ext cx="304800" cy="308437"/>
    <xdr:sp macro="" textlink="">
      <xdr:nvSpPr>
        <xdr:cNvPr id="51" name="AutoShape 231" descr="Resultado de imagen para beer consumption trend">
          <a:extLst>
            <a:ext uri="{FF2B5EF4-FFF2-40B4-BE49-F238E27FC236}">
              <a16:creationId xmlns:a16="http://schemas.microsoft.com/office/drawing/2014/main" id="{523B0829-D9CC-482D-8017-A8F57555C9BF}"/>
            </a:ext>
            <a:ext uri="{147F2762-F138-4A5C-976F-8EAC2B608ADB}">
              <a16:predDERef xmlns:a16="http://schemas.microsoft.com/office/drawing/2014/main" pred="{DA2AC413-AF46-43FE-841D-3303E14C16B0}"/>
            </a:ext>
          </a:extLst>
        </xdr:cNvPr>
        <xdr:cNvSpPr>
          <a:spLocks noChangeAspect="1" noChangeArrowheads="1"/>
        </xdr:cNvSpPr>
      </xdr:nvSpPr>
      <xdr:spPr bwMode="auto">
        <a:xfrm>
          <a:off x="13058775" y="9296400"/>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31</xdr:row>
      <xdr:rowOff>0</xdr:rowOff>
    </xdr:from>
    <xdr:ext cx="304800" cy="305262"/>
    <xdr:sp macro="" textlink="">
      <xdr:nvSpPr>
        <xdr:cNvPr id="52" name="AutoShape 231" descr="Resultado de imagen para beer consumption trend">
          <a:extLst>
            <a:ext uri="{FF2B5EF4-FFF2-40B4-BE49-F238E27FC236}">
              <a16:creationId xmlns:a16="http://schemas.microsoft.com/office/drawing/2014/main" id="{ECE74CF8-EE44-4C73-9350-9FED10085A00}"/>
            </a:ext>
            <a:ext uri="{147F2762-F138-4A5C-976F-8EAC2B608ADB}">
              <a16:predDERef xmlns:a16="http://schemas.microsoft.com/office/drawing/2014/main" pred="{523B0829-D9CC-482D-8017-A8F57555C9BF}"/>
            </a:ext>
          </a:extLst>
        </xdr:cNvPr>
        <xdr:cNvSpPr>
          <a:spLocks noChangeAspect="1" noChangeArrowheads="1"/>
        </xdr:cNvSpPr>
      </xdr:nvSpPr>
      <xdr:spPr bwMode="auto">
        <a:xfrm>
          <a:off x="13058775" y="9296400"/>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31</xdr:row>
      <xdr:rowOff>0</xdr:rowOff>
    </xdr:from>
    <xdr:ext cx="304800" cy="308437"/>
    <xdr:sp macro="" textlink="">
      <xdr:nvSpPr>
        <xdr:cNvPr id="53" name="AutoShape 231" descr="Resultado de imagen para beer consumption trend">
          <a:extLst>
            <a:ext uri="{FF2B5EF4-FFF2-40B4-BE49-F238E27FC236}">
              <a16:creationId xmlns:a16="http://schemas.microsoft.com/office/drawing/2014/main" id="{A9952EB6-CF69-4BB7-8633-DA8C32B4174A}"/>
            </a:ext>
            <a:ext uri="{147F2762-F138-4A5C-976F-8EAC2B608ADB}">
              <a16:predDERef xmlns:a16="http://schemas.microsoft.com/office/drawing/2014/main" pred="{ECE74CF8-EE44-4C73-9350-9FED10085A00}"/>
            </a:ext>
          </a:extLst>
        </xdr:cNvPr>
        <xdr:cNvSpPr>
          <a:spLocks noChangeAspect="1" noChangeArrowheads="1"/>
        </xdr:cNvSpPr>
      </xdr:nvSpPr>
      <xdr:spPr bwMode="auto">
        <a:xfrm>
          <a:off x="13058775" y="9124950"/>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31</xdr:row>
      <xdr:rowOff>0</xdr:rowOff>
    </xdr:from>
    <xdr:ext cx="304800" cy="305262"/>
    <xdr:sp macro="" textlink="">
      <xdr:nvSpPr>
        <xdr:cNvPr id="54" name="AutoShape 231" descr="Resultado de imagen para beer consumption trend">
          <a:extLst>
            <a:ext uri="{FF2B5EF4-FFF2-40B4-BE49-F238E27FC236}">
              <a16:creationId xmlns:a16="http://schemas.microsoft.com/office/drawing/2014/main" id="{08E579B1-06F3-4EC8-B4D7-3D8C69A642D4}"/>
            </a:ext>
            <a:ext uri="{147F2762-F138-4A5C-976F-8EAC2B608ADB}">
              <a16:predDERef xmlns:a16="http://schemas.microsoft.com/office/drawing/2014/main" pred="{A9952EB6-CF69-4BB7-8633-DA8C32B4174A}"/>
            </a:ext>
          </a:extLst>
        </xdr:cNvPr>
        <xdr:cNvSpPr>
          <a:spLocks noChangeAspect="1" noChangeArrowheads="1"/>
        </xdr:cNvSpPr>
      </xdr:nvSpPr>
      <xdr:spPr bwMode="auto">
        <a:xfrm>
          <a:off x="13058775" y="9124950"/>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32</xdr:row>
      <xdr:rowOff>0</xdr:rowOff>
    </xdr:from>
    <xdr:ext cx="304800" cy="308437"/>
    <xdr:sp macro="" textlink="">
      <xdr:nvSpPr>
        <xdr:cNvPr id="55" name="AutoShape 231" descr="Resultado de imagen para beer consumption trend">
          <a:extLst>
            <a:ext uri="{FF2B5EF4-FFF2-40B4-BE49-F238E27FC236}">
              <a16:creationId xmlns:a16="http://schemas.microsoft.com/office/drawing/2014/main" id="{6958DEFE-AC1B-4415-BC8B-767C9E18F701}"/>
            </a:ext>
            <a:ext uri="{147F2762-F138-4A5C-976F-8EAC2B608ADB}">
              <a16:predDERef xmlns:a16="http://schemas.microsoft.com/office/drawing/2014/main" pred="{08E579B1-06F3-4EC8-B4D7-3D8C69A642D4}"/>
            </a:ext>
          </a:extLst>
        </xdr:cNvPr>
        <xdr:cNvSpPr>
          <a:spLocks noChangeAspect="1" noChangeArrowheads="1"/>
        </xdr:cNvSpPr>
      </xdr:nvSpPr>
      <xdr:spPr bwMode="auto">
        <a:xfrm>
          <a:off x="13058775" y="9296400"/>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32</xdr:row>
      <xdr:rowOff>0</xdr:rowOff>
    </xdr:from>
    <xdr:ext cx="304800" cy="305262"/>
    <xdr:sp macro="" textlink="">
      <xdr:nvSpPr>
        <xdr:cNvPr id="56" name="AutoShape 231" descr="Resultado de imagen para beer consumption trend">
          <a:extLst>
            <a:ext uri="{FF2B5EF4-FFF2-40B4-BE49-F238E27FC236}">
              <a16:creationId xmlns:a16="http://schemas.microsoft.com/office/drawing/2014/main" id="{A3683AF3-A18F-4862-87CF-91D509D07BAA}"/>
            </a:ext>
            <a:ext uri="{147F2762-F138-4A5C-976F-8EAC2B608ADB}">
              <a16:predDERef xmlns:a16="http://schemas.microsoft.com/office/drawing/2014/main" pred="{6958DEFE-AC1B-4415-BC8B-767C9E18F701}"/>
            </a:ext>
          </a:extLst>
        </xdr:cNvPr>
        <xdr:cNvSpPr>
          <a:spLocks noChangeAspect="1" noChangeArrowheads="1"/>
        </xdr:cNvSpPr>
      </xdr:nvSpPr>
      <xdr:spPr bwMode="auto">
        <a:xfrm>
          <a:off x="13058775" y="9296400"/>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32</xdr:row>
      <xdr:rowOff>0</xdr:rowOff>
    </xdr:from>
    <xdr:ext cx="304800" cy="308437"/>
    <xdr:sp macro="" textlink="">
      <xdr:nvSpPr>
        <xdr:cNvPr id="57" name="AutoShape 231" descr="Resultado de imagen para beer consumption trend">
          <a:extLst>
            <a:ext uri="{FF2B5EF4-FFF2-40B4-BE49-F238E27FC236}">
              <a16:creationId xmlns:a16="http://schemas.microsoft.com/office/drawing/2014/main" id="{46D2A742-D940-449C-9155-6A8CD2FC5BD1}"/>
            </a:ext>
            <a:ext uri="{147F2762-F138-4A5C-976F-8EAC2B608ADB}">
              <a16:predDERef xmlns:a16="http://schemas.microsoft.com/office/drawing/2014/main" pred="{A3683AF3-A18F-4862-87CF-91D509D07BAA}"/>
            </a:ext>
          </a:extLst>
        </xdr:cNvPr>
        <xdr:cNvSpPr>
          <a:spLocks noChangeAspect="1" noChangeArrowheads="1"/>
        </xdr:cNvSpPr>
      </xdr:nvSpPr>
      <xdr:spPr bwMode="auto">
        <a:xfrm>
          <a:off x="13058775" y="9124950"/>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32</xdr:row>
      <xdr:rowOff>0</xdr:rowOff>
    </xdr:from>
    <xdr:ext cx="304800" cy="305262"/>
    <xdr:sp macro="" textlink="">
      <xdr:nvSpPr>
        <xdr:cNvPr id="58" name="AutoShape 231" descr="Resultado de imagen para beer consumption trend">
          <a:extLst>
            <a:ext uri="{FF2B5EF4-FFF2-40B4-BE49-F238E27FC236}">
              <a16:creationId xmlns:a16="http://schemas.microsoft.com/office/drawing/2014/main" id="{6CDCE2E8-619C-4AA7-9069-9784214485D1}"/>
            </a:ext>
            <a:ext uri="{147F2762-F138-4A5C-976F-8EAC2B608ADB}">
              <a16:predDERef xmlns:a16="http://schemas.microsoft.com/office/drawing/2014/main" pred="{46D2A742-D940-449C-9155-6A8CD2FC5BD1}"/>
            </a:ext>
          </a:extLst>
        </xdr:cNvPr>
        <xdr:cNvSpPr>
          <a:spLocks noChangeAspect="1" noChangeArrowheads="1"/>
        </xdr:cNvSpPr>
      </xdr:nvSpPr>
      <xdr:spPr bwMode="auto">
        <a:xfrm>
          <a:off x="13058775" y="9124950"/>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33</xdr:row>
      <xdr:rowOff>0</xdr:rowOff>
    </xdr:from>
    <xdr:ext cx="304800" cy="308437"/>
    <xdr:sp macro="" textlink="">
      <xdr:nvSpPr>
        <xdr:cNvPr id="59" name="AutoShape 231" descr="Resultado de imagen para beer consumption trend">
          <a:extLst>
            <a:ext uri="{FF2B5EF4-FFF2-40B4-BE49-F238E27FC236}">
              <a16:creationId xmlns:a16="http://schemas.microsoft.com/office/drawing/2014/main" id="{70D943E2-AE1C-4CA2-B209-988017919EE0}"/>
            </a:ext>
            <a:ext uri="{147F2762-F138-4A5C-976F-8EAC2B608ADB}">
              <a16:predDERef xmlns:a16="http://schemas.microsoft.com/office/drawing/2014/main" pred="{6CDCE2E8-619C-4AA7-9069-9784214485D1}"/>
            </a:ext>
          </a:extLst>
        </xdr:cNvPr>
        <xdr:cNvSpPr>
          <a:spLocks noChangeAspect="1" noChangeArrowheads="1"/>
        </xdr:cNvSpPr>
      </xdr:nvSpPr>
      <xdr:spPr bwMode="auto">
        <a:xfrm>
          <a:off x="13058775" y="9296400"/>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33</xdr:row>
      <xdr:rowOff>0</xdr:rowOff>
    </xdr:from>
    <xdr:ext cx="304800" cy="305262"/>
    <xdr:sp macro="" textlink="">
      <xdr:nvSpPr>
        <xdr:cNvPr id="60" name="AutoShape 231" descr="Resultado de imagen para beer consumption trend">
          <a:extLst>
            <a:ext uri="{FF2B5EF4-FFF2-40B4-BE49-F238E27FC236}">
              <a16:creationId xmlns:a16="http://schemas.microsoft.com/office/drawing/2014/main" id="{5C4C8738-944F-4162-97D2-F59B0B1112B4}"/>
            </a:ext>
            <a:ext uri="{147F2762-F138-4A5C-976F-8EAC2B608ADB}">
              <a16:predDERef xmlns:a16="http://schemas.microsoft.com/office/drawing/2014/main" pred="{70D943E2-AE1C-4CA2-B209-988017919EE0}"/>
            </a:ext>
          </a:extLst>
        </xdr:cNvPr>
        <xdr:cNvSpPr>
          <a:spLocks noChangeAspect="1" noChangeArrowheads="1"/>
        </xdr:cNvSpPr>
      </xdr:nvSpPr>
      <xdr:spPr bwMode="auto">
        <a:xfrm>
          <a:off x="13058775" y="9296400"/>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33</xdr:row>
      <xdr:rowOff>0</xdr:rowOff>
    </xdr:from>
    <xdr:ext cx="304800" cy="308437"/>
    <xdr:sp macro="" textlink="">
      <xdr:nvSpPr>
        <xdr:cNvPr id="61" name="AutoShape 231" descr="Resultado de imagen para beer consumption trend">
          <a:extLst>
            <a:ext uri="{FF2B5EF4-FFF2-40B4-BE49-F238E27FC236}">
              <a16:creationId xmlns:a16="http://schemas.microsoft.com/office/drawing/2014/main" id="{38A9E30C-24CB-4EBD-B5FF-2B49B5EED694}"/>
            </a:ext>
            <a:ext uri="{147F2762-F138-4A5C-976F-8EAC2B608ADB}">
              <a16:predDERef xmlns:a16="http://schemas.microsoft.com/office/drawing/2014/main" pred="{5C4C8738-944F-4162-97D2-F59B0B1112B4}"/>
            </a:ext>
          </a:extLst>
        </xdr:cNvPr>
        <xdr:cNvSpPr>
          <a:spLocks noChangeAspect="1" noChangeArrowheads="1"/>
        </xdr:cNvSpPr>
      </xdr:nvSpPr>
      <xdr:spPr bwMode="auto">
        <a:xfrm>
          <a:off x="13058775" y="9124950"/>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33</xdr:row>
      <xdr:rowOff>0</xdr:rowOff>
    </xdr:from>
    <xdr:ext cx="304800" cy="305262"/>
    <xdr:sp macro="" textlink="">
      <xdr:nvSpPr>
        <xdr:cNvPr id="62" name="AutoShape 231" descr="Resultado de imagen para beer consumption trend">
          <a:extLst>
            <a:ext uri="{FF2B5EF4-FFF2-40B4-BE49-F238E27FC236}">
              <a16:creationId xmlns:a16="http://schemas.microsoft.com/office/drawing/2014/main" id="{51BD70BA-2359-4A50-B59F-5B0BEF0C392F}"/>
            </a:ext>
            <a:ext uri="{147F2762-F138-4A5C-976F-8EAC2B608ADB}">
              <a16:predDERef xmlns:a16="http://schemas.microsoft.com/office/drawing/2014/main" pred="{38A9E30C-24CB-4EBD-B5FF-2B49B5EED694}"/>
            </a:ext>
          </a:extLst>
        </xdr:cNvPr>
        <xdr:cNvSpPr>
          <a:spLocks noChangeAspect="1" noChangeArrowheads="1"/>
        </xdr:cNvSpPr>
      </xdr:nvSpPr>
      <xdr:spPr bwMode="auto">
        <a:xfrm>
          <a:off x="13058775" y="9124950"/>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34</xdr:row>
      <xdr:rowOff>0</xdr:rowOff>
    </xdr:from>
    <xdr:ext cx="304800" cy="308437"/>
    <xdr:sp macro="" textlink="">
      <xdr:nvSpPr>
        <xdr:cNvPr id="63" name="AutoShape 231" descr="Resultado de imagen para beer consumption trend">
          <a:extLst>
            <a:ext uri="{FF2B5EF4-FFF2-40B4-BE49-F238E27FC236}">
              <a16:creationId xmlns:a16="http://schemas.microsoft.com/office/drawing/2014/main" id="{5B487EE6-F432-448A-B61C-F9E2F93B3A4F}"/>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058775" y="9296400"/>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34</xdr:row>
      <xdr:rowOff>0</xdr:rowOff>
    </xdr:from>
    <xdr:ext cx="304800" cy="305262"/>
    <xdr:sp macro="" textlink="">
      <xdr:nvSpPr>
        <xdr:cNvPr id="4096" name="AutoShape 231" descr="Resultado de imagen para beer consumption trend">
          <a:extLst>
            <a:ext uri="{FF2B5EF4-FFF2-40B4-BE49-F238E27FC236}">
              <a16:creationId xmlns:a16="http://schemas.microsoft.com/office/drawing/2014/main" id="{1D1DCF27-8E58-4282-8A1B-D70BEBF8B864}"/>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058775" y="9296400"/>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34</xdr:row>
      <xdr:rowOff>0</xdr:rowOff>
    </xdr:from>
    <xdr:ext cx="304800" cy="308437"/>
    <xdr:sp macro="" textlink="">
      <xdr:nvSpPr>
        <xdr:cNvPr id="4098" name="AutoShape 231" descr="Resultado de imagen para beer consumption trend">
          <a:extLst>
            <a:ext uri="{FF2B5EF4-FFF2-40B4-BE49-F238E27FC236}">
              <a16:creationId xmlns:a16="http://schemas.microsoft.com/office/drawing/2014/main" id="{FC75DF74-0F93-4B9E-AE1B-340811263178}"/>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058775" y="9124950"/>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34</xdr:row>
      <xdr:rowOff>0</xdr:rowOff>
    </xdr:from>
    <xdr:ext cx="304800" cy="305262"/>
    <xdr:sp macro="" textlink="">
      <xdr:nvSpPr>
        <xdr:cNvPr id="4099" name="AutoShape 231" descr="Resultado de imagen para beer consumption trend">
          <a:extLst>
            <a:ext uri="{FF2B5EF4-FFF2-40B4-BE49-F238E27FC236}">
              <a16:creationId xmlns:a16="http://schemas.microsoft.com/office/drawing/2014/main" id="{3CF1F5AE-6861-41C2-9B30-AFAC3FBC7425}"/>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058775" y="9124950"/>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35</xdr:row>
      <xdr:rowOff>0</xdr:rowOff>
    </xdr:from>
    <xdr:ext cx="304800" cy="308437"/>
    <xdr:sp macro="" textlink="">
      <xdr:nvSpPr>
        <xdr:cNvPr id="4100" name="AutoShape 231" descr="Resultado de imagen para beer consumption trend">
          <a:extLst>
            <a:ext uri="{FF2B5EF4-FFF2-40B4-BE49-F238E27FC236}">
              <a16:creationId xmlns:a16="http://schemas.microsoft.com/office/drawing/2014/main" id="{8FFA8589-2420-431C-9BE3-91E92694234B}"/>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058775" y="9296400"/>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35</xdr:row>
      <xdr:rowOff>0</xdr:rowOff>
    </xdr:from>
    <xdr:ext cx="304800" cy="305262"/>
    <xdr:sp macro="" textlink="">
      <xdr:nvSpPr>
        <xdr:cNvPr id="4101" name="AutoShape 231" descr="Resultado de imagen para beer consumption trend">
          <a:extLst>
            <a:ext uri="{FF2B5EF4-FFF2-40B4-BE49-F238E27FC236}">
              <a16:creationId xmlns:a16="http://schemas.microsoft.com/office/drawing/2014/main" id="{6DF9D606-770C-4329-8E51-1E2395A56141}"/>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058775" y="9296400"/>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35</xdr:row>
      <xdr:rowOff>0</xdr:rowOff>
    </xdr:from>
    <xdr:ext cx="304800" cy="308437"/>
    <xdr:sp macro="" textlink="">
      <xdr:nvSpPr>
        <xdr:cNvPr id="4102" name="AutoShape 231" descr="Resultado de imagen para beer consumption trend">
          <a:extLst>
            <a:ext uri="{FF2B5EF4-FFF2-40B4-BE49-F238E27FC236}">
              <a16:creationId xmlns:a16="http://schemas.microsoft.com/office/drawing/2014/main" id="{3F10A6E3-2D23-4C4A-A1AC-9D315A517362}"/>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136842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35</xdr:row>
      <xdr:rowOff>0</xdr:rowOff>
    </xdr:from>
    <xdr:ext cx="304800" cy="305262"/>
    <xdr:sp macro="" textlink="">
      <xdr:nvSpPr>
        <xdr:cNvPr id="4103" name="AutoShape 231" descr="Resultado de imagen para beer consumption trend">
          <a:extLst>
            <a:ext uri="{FF2B5EF4-FFF2-40B4-BE49-F238E27FC236}">
              <a16:creationId xmlns:a16="http://schemas.microsoft.com/office/drawing/2014/main" id="{7AF99C71-FBA9-4017-8B5B-1BC399EA71D3}"/>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136842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35</xdr:row>
      <xdr:rowOff>0</xdr:rowOff>
    </xdr:from>
    <xdr:ext cx="304800" cy="308437"/>
    <xdr:sp macro="" textlink="">
      <xdr:nvSpPr>
        <xdr:cNvPr id="4104" name="AutoShape 231" descr="Resultado de imagen para beer consumption trend">
          <a:extLst>
            <a:ext uri="{FF2B5EF4-FFF2-40B4-BE49-F238E27FC236}">
              <a16:creationId xmlns:a16="http://schemas.microsoft.com/office/drawing/2014/main" id="{E513235D-8F32-4D69-8772-13A1F7A823EB}"/>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136842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35</xdr:row>
      <xdr:rowOff>0</xdr:rowOff>
    </xdr:from>
    <xdr:ext cx="304800" cy="305262"/>
    <xdr:sp macro="" textlink="">
      <xdr:nvSpPr>
        <xdr:cNvPr id="4105" name="AutoShape 231" descr="Resultado de imagen para beer consumption trend">
          <a:extLst>
            <a:ext uri="{FF2B5EF4-FFF2-40B4-BE49-F238E27FC236}">
              <a16:creationId xmlns:a16="http://schemas.microsoft.com/office/drawing/2014/main" id="{5794B473-26AA-4EEB-9EFE-BF8FD52FEF12}"/>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136842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36</xdr:row>
      <xdr:rowOff>0</xdr:rowOff>
    </xdr:from>
    <xdr:ext cx="304800" cy="308437"/>
    <xdr:sp macro="" textlink="">
      <xdr:nvSpPr>
        <xdr:cNvPr id="4106" name="AutoShape 231" descr="Resultado de imagen para beer consumption trend">
          <a:extLst>
            <a:ext uri="{FF2B5EF4-FFF2-40B4-BE49-F238E27FC236}">
              <a16:creationId xmlns:a16="http://schemas.microsoft.com/office/drawing/2014/main" id="{435F2FD3-B6FD-4143-832F-964E1F7A8147}"/>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154545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36</xdr:row>
      <xdr:rowOff>0</xdr:rowOff>
    </xdr:from>
    <xdr:ext cx="304800" cy="305262"/>
    <xdr:sp macro="" textlink="">
      <xdr:nvSpPr>
        <xdr:cNvPr id="4107" name="AutoShape 231" descr="Resultado de imagen para beer consumption trend">
          <a:extLst>
            <a:ext uri="{FF2B5EF4-FFF2-40B4-BE49-F238E27FC236}">
              <a16:creationId xmlns:a16="http://schemas.microsoft.com/office/drawing/2014/main" id="{5EFDF448-0699-4C84-99FD-1A63456A7C27}"/>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154545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36</xdr:row>
      <xdr:rowOff>0</xdr:rowOff>
    </xdr:from>
    <xdr:ext cx="304800" cy="308437"/>
    <xdr:sp macro="" textlink="">
      <xdr:nvSpPr>
        <xdr:cNvPr id="4108" name="AutoShape 231" descr="Resultado de imagen para beer consumption trend">
          <a:extLst>
            <a:ext uri="{FF2B5EF4-FFF2-40B4-BE49-F238E27FC236}">
              <a16:creationId xmlns:a16="http://schemas.microsoft.com/office/drawing/2014/main" id="{89C3FAA9-3207-43AD-845E-8BFFF57CD98B}"/>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136842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36</xdr:row>
      <xdr:rowOff>0</xdr:rowOff>
    </xdr:from>
    <xdr:ext cx="304800" cy="305262"/>
    <xdr:sp macro="" textlink="">
      <xdr:nvSpPr>
        <xdr:cNvPr id="4109" name="AutoShape 231" descr="Resultado de imagen para beer consumption trend">
          <a:extLst>
            <a:ext uri="{FF2B5EF4-FFF2-40B4-BE49-F238E27FC236}">
              <a16:creationId xmlns:a16="http://schemas.microsoft.com/office/drawing/2014/main" id="{3A70C785-EC2D-4A51-B817-44D991FB16A6}"/>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136842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36</xdr:row>
      <xdr:rowOff>0</xdr:rowOff>
    </xdr:from>
    <xdr:ext cx="304800" cy="308437"/>
    <xdr:sp macro="" textlink="">
      <xdr:nvSpPr>
        <xdr:cNvPr id="4110" name="AutoShape 231" descr="Resultado de imagen para beer consumption trend">
          <a:extLst>
            <a:ext uri="{FF2B5EF4-FFF2-40B4-BE49-F238E27FC236}">
              <a16:creationId xmlns:a16="http://schemas.microsoft.com/office/drawing/2014/main" id="{75DEE0EA-58E0-48B3-A1B8-BBE72044A2D9}"/>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136842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36</xdr:row>
      <xdr:rowOff>0</xdr:rowOff>
    </xdr:from>
    <xdr:ext cx="304800" cy="305262"/>
    <xdr:sp macro="" textlink="">
      <xdr:nvSpPr>
        <xdr:cNvPr id="4111" name="AutoShape 231" descr="Resultado de imagen para beer consumption trend">
          <a:extLst>
            <a:ext uri="{FF2B5EF4-FFF2-40B4-BE49-F238E27FC236}">
              <a16:creationId xmlns:a16="http://schemas.microsoft.com/office/drawing/2014/main" id="{0A46FA45-224B-4FAD-A54E-D0F019032E1A}"/>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136842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37</xdr:row>
      <xdr:rowOff>0</xdr:rowOff>
    </xdr:from>
    <xdr:ext cx="304800" cy="308437"/>
    <xdr:sp macro="" textlink="">
      <xdr:nvSpPr>
        <xdr:cNvPr id="4112" name="AutoShape 231" descr="Resultado de imagen para beer consumption trend">
          <a:extLst>
            <a:ext uri="{FF2B5EF4-FFF2-40B4-BE49-F238E27FC236}">
              <a16:creationId xmlns:a16="http://schemas.microsoft.com/office/drawing/2014/main" id="{79FCCB21-D2A1-481B-9744-2978E924B872}"/>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154545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37</xdr:row>
      <xdr:rowOff>0</xdr:rowOff>
    </xdr:from>
    <xdr:ext cx="304800" cy="305262"/>
    <xdr:sp macro="" textlink="">
      <xdr:nvSpPr>
        <xdr:cNvPr id="4113" name="AutoShape 231" descr="Resultado de imagen para beer consumption trend">
          <a:extLst>
            <a:ext uri="{FF2B5EF4-FFF2-40B4-BE49-F238E27FC236}">
              <a16:creationId xmlns:a16="http://schemas.microsoft.com/office/drawing/2014/main" id="{628A137A-142C-45DA-8E3D-F6E77626563F}"/>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154545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37</xdr:row>
      <xdr:rowOff>0</xdr:rowOff>
    </xdr:from>
    <xdr:ext cx="304800" cy="308437"/>
    <xdr:sp macro="" textlink="">
      <xdr:nvSpPr>
        <xdr:cNvPr id="4114" name="AutoShape 231" descr="Resultado de imagen para beer consumption trend">
          <a:extLst>
            <a:ext uri="{FF2B5EF4-FFF2-40B4-BE49-F238E27FC236}">
              <a16:creationId xmlns:a16="http://schemas.microsoft.com/office/drawing/2014/main" id="{B01C8EC9-76F8-4492-965E-3735EFE214B2}"/>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154545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37</xdr:row>
      <xdr:rowOff>0</xdr:rowOff>
    </xdr:from>
    <xdr:ext cx="304800" cy="305262"/>
    <xdr:sp macro="" textlink="">
      <xdr:nvSpPr>
        <xdr:cNvPr id="4115" name="AutoShape 231" descr="Resultado de imagen para beer consumption trend">
          <a:extLst>
            <a:ext uri="{FF2B5EF4-FFF2-40B4-BE49-F238E27FC236}">
              <a16:creationId xmlns:a16="http://schemas.microsoft.com/office/drawing/2014/main" id="{D13DB5D0-780D-46AD-820D-AE872FC5BB6C}"/>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154545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37</xdr:row>
      <xdr:rowOff>0</xdr:rowOff>
    </xdr:from>
    <xdr:ext cx="304800" cy="308437"/>
    <xdr:sp macro="" textlink="">
      <xdr:nvSpPr>
        <xdr:cNvPr id="4116" name="AutoShape 231" descr="Resultado de imagen para beer consumption trend">
          <a:extLst>
            <a:ext uri="{FF2B5EF4-FFF2-40B4-BE49-F238E27FC236}">
              <a16:creationId xmlns:a16="http://schemas.microsoft.com/office/drawing/2014/main" id="{D89F123F-0913-42F6-8035-7F3B21DF9820}"/>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154545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37</xdr:row>
      <xdr:rowOff>0</xdr:rowOff>
    </xdr:from>
    <xdr:ext cx="304800" cy="305262"/>
    <xdr:sp macro="" textlink="">
      <xdr:nvSpPr>
        <xdr:cNvPr id="4117" name="AutoShape 231" descr="Resultado de imagen para beer consumption trend">
          <a:extLst>
            <a:ext uri="{FF2B5EF4-FFF2-40B4-BE49-F238E27FC236}">
              <a16:creationId xmlns:a16="http://schemas.microsoft.com/office/drawing/2014/main" id="{9DA21F4F-D477-4D1D-A1B9-6B0057B5B3A1}"/>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154545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37</xdr:row>
      <xdr:rowOff>0</xdr:rowOff>
    </xdr:from>
    <xdr:ext cx="304800" cy="308437"/>
    <xdr:sp macro="" textlink="">
      <xdr:nvSpPr>
        <xdr:cNvPr id="4118" name="AutoShape 231" descr="Resultado de imagen para beer consumption trend">
          <a:extLst>
            <a:ext uri="{FF2B5EF4-FFF2-40B4-BE49-F238E27FC236}">
              <a16:creationId xmlns:a16="http://schemas.microsoft.com/office/drawing/2014/main" id="{2AD79AB7-FBDF-4114-9A9B-850C1F6C547C}"/>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136842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37</xdr:row>
      <xdr:rowOff>0</xdr:rowOff>
    </xdr:from>
    <xdr:ext cx="304800" cy="305262"/>
    <xdr:sp macro="" textlink="">
      <xdr:nvSpPr>
        <xdr:cNvPr id="4119" name="AutoShape 231" descr="Resultado de imagen para beer consumption trend">
          <a:extLst>
            <a:ext uri="{FF2B5EF4-FFF2-40B4-BE49-F238E27FC236}">
              <a16:creationId xmlns:a16="http://schemas.microsoft.com/office/drawing/2014/main" id="{EAD1EE00-637E-4471-B4F1-C264FB5C2514}"/>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136842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37</xdr:row>
      <xdr:rowOff>0</xdr:rowOff>
    </xdr:from>
    <xdr:ext cx="304800" cy="308437"/>
    <xdr:sp macro="" textlink="">
      <xdr:nvSpPr>
        <xdr:cNvPr id="4120" name="AutoShape 231" descr="Resultado de imagen para beer consumption trend">
          <a:extLst>
            <a:ext uri="{FF2B5EF4-FFF2-40B4-BE49-F238E27FC236}">
              <a16:creationId xmlns:a16="http://schemas.microsoft.com/office/drawing/2014/main" id="{421609AA-5075-4F4A-88CF-70ED97427F3F}"/>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136842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37</xdr:row>
      <xdr:rowOff>0</xdr:rowOff>
    </xdr:from>
    <xdr:ext cx="304800" cy="305262"/>
    <xdr:sp macro="" textlink="">
      <xdr:nvSpPr>
        <xdr:cNvPr id="4121" name="AutoShape 231" descr="Resultado de imagen para beer consumption trend">
          <a:extLst>
            <a:ext uri="{FF2B5EF4-FFF2-40B4-BE49-F238E27FC236}">
              <a16:creationId xmlns:a16="http://schemas.microsoft.com/office/drawing/2014/main" id="{0356994C-5650-4FD3-8849-E1FBC2A7C974}"/>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136842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38</xdr:row>
      <xdr:rowOff>0</xdr:rowOff>
    </xdr:from>
    <xdr:ext cx="304800" cy="308437"/>
    <xdr:sp macro="" textlink="">
      <xdr:nvSpPr>
        <xdr:cNvPr id="4122" name="AutoShape 231" descr="Resultado de imagen para beer consumption trend">
          <a:extLst>
            <a:ext uri="{FF2B5EF4-FFF2-40B4-BE49-F238E27FC236}">
              <a16:creationId xmlns:a16="http://schemas.microsoft.com/office/drawing/2014/main" id="{FD85FF35-5C09-4F73-9B7E-C388DC9974E7}"/>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154545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38</xdr:row>
      <xdr:rowOff>0</xdr:rowOff>
    </xdr:from>
    <xdr:ext cx="304800" cy="305262"/>
    <xdr:sp macro="" textlink="">
      <xdr:nvSpPr>
        <xdr:cNvPr id="4123" name="AutoShape 231" descr="Resultado de imagen para beer consumption trend">
          <a:extLst>
            <a:ext uri="{FF2B5EF4-FFF2-40B4-BE49-F238E27FC236}">
              <a16:creationId xmlns:a16="http://schemas.microsoft.com/office/drawing/2014/main" id="{FD68EFDC-2499-4F7C-A019-969B87B562F9}"/>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154545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38</xdr:row>
      <xdr:rowOff>0</xdr:rowOff>
    </xdr:from>
    <xdr:ext cx="304800" cy="308437"/>
    <xdr:sp macro="" textlink="">
      <xdr:nvSpPr>
        <xdr:cNvPr id="4124" name="AutoShape 231" descr="Resultado de imagen para beer consumption trend">
          <a:extLst>
            <a:ext uri="{FF2B5EF4-FFF2-40B4-BE49-F238E27FC236}">
              <a16:creationId xmlns:a16="http://schemas.microsoft.com/office/drawing/2014/main" id="{17F678D1-1E5D-47B4-84F4-26906433575D}"/>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154545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38</xdr:row>
      <xdr:rowOff>0</xdr:rowOff>
    </xdr:from>
    <xdr:ext cx="304800" cy="305262"/>
    <xdr:sp macro="" textlink="">
      <xdr:nvSpPr>
        <xdr:cNvPr id="4125" name="AutoShape 231" descr="Resultado de imagen para beer consumption trend">
          <a:extLst>
            <a:ext uri="{FF2B5EF4-FFF2-40B4-BE49-F238E27FC236}">
              <a16:creationId xmlns:a16="http://schemas.microsoft.com/office/drawing/2014/main" id="{2F0D5574-0E1A-49A5-86B1-EC23B987BA87}"/>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154545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38</xdr:row>
      <xdr:rowOff>0</xdr:rowOff>
    </xdr:from>
    <xdr:ext cx="304800" cy="308437"/>
    <xdr:sp macro="" textlink="">
      <xdr:nvSpPr>
        <xdr:cNvPr id="4126" name="AutoShape 231" descr="Resultado de imagen para beer consumption trend">
          <a:extLst>
            <a:ext uri="{FF2B5EF4-FFF2-40B4-BE49-F238E27FC236}">
              <a16:creationId xmlns:a16="http://schemas.microsoft.com/office/drawing/2014/main" id="{3CE9BE1D-4A06-4505-8596-B1690CA2F811}"/>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154545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38</xdr:row>
      <xdr:rowOff>0</xdr:rowOff>
    </xdr:from>
    <xdr:ext cx="304800" cy="305262"/>
    <xdr:sp macro="" textlink="">
      <xdr:nvSpPr>
        <xdr:cNvPr id="4127" name="AutoShape 231" descr="Resultado de imagen para beer consumption trend">
          <a:extLst>
            <a:ext uri="{FF2B5EF4-FFF2-40B4-BE49-F238E27FC236}">
              <a16:creationId xmlns:a16="http://schemas.microsoft.com/office/drawing/2014/main" id="{83426AB2-0B85-4BBE-B251-8E86CBD6A017}"/>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154545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38</xdr:row>
      <xdr:rowOff>0</xdr:rowOff>
    </xdr:from>
    <xdr:ext cx="304800" cy="308437"/>
    <xdr:sp macro="" textlink="">
      <xdr:nvSpPr>
        <xdr:cNvPr id="4128" name="AutoShape 231" descr="Resultado de imagen para beer consumption trend">
          <a:extLst>
            <a:ext uri="{FF2B5EF4-FFF2-40B4-BE49-F238E27FC236}">
              <a16:creationId xmlns:a16="http://schemas.microsoft.com/office/drawing/2014/main" id="{192ACCB0-114D-4574-86D2-5CE61D98D07D}"/>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136842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38</xdr:row>
      <xdr:rowOff>0</xdr:rowOff>
    </xdr:from>
    <xdr:ext cx="304800" cy="305262"/>
    <xdr:sp macro="" textlink="">
      <xdr:nvSpPr>
        <xdr:cNvPr id="4129" name="AutoShape 231" descr="Resultado de imagen para beer consumption trend">
          <a:extLst>
            <a:ext uri="{FF2B5EF4-FFF2-40B4-BE49-F238E27FC236}">
              <a16:creationId xmlns:a16="http://schemas.microsoft.com/office/drawing/2014/main" id="{E0EAFC11-F6AB-4BD9-A181-3E595374C04A}"/>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136842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38</xdr:row>
      <xdr:rowOff>0</xdr:rowOff>
    </xdr:from>
    <xdr:ext cx="304800" cy="308437"/>
    <xdr:sp macro="" textlink="">
      <xdr:nvSpPr>
        <xdr:cNvPr id="4130" name="AutoShape 231" descr="Resultado de imagen para beer consumption trend">
          <a:extLst>
            <a:ext uri="{FF2B5EF4-FFF2-40B4-BE49-F238E27FC236}">
              <a16:creationId xmlns:a16="http://schemas.microsoft.com/office/drawing/2014/main" id="{C32D8619-F47D-4C3D-85E9-E3654A75EB98}"/>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136842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38</xdr:row>
      <xdr:rowOff>0</xdr:rowOff>
    </xdr:from>
    <xdr:ext cx="304800" cy="305262"/>
    <xdr:sp macro="" textlink="">
      <xdr:nvSpPr>
        <xdr:cNvPr id="4131" name="AutoShape 231" descr="Resultado de imagen para beer consumption trend">
          <a:extLst>
            <a:ext uri="{FF2B5EF4-FFF2-40B4-BE49-F238E27FC236}">
              <a16:creationId xmlns:a16="http://schemas.microsoft.com/office/drawing/2014/main" id="{12868EE5-A0B3-4651-BF9F-4464D319349B}"/>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136842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39</xdr:row>
      <xdr:rowOff>0</xdr:rowOff>
    </xdr:from>
    <xdr:ext cx="304800" cy="308437"/>
    <xdr:sp macro="" textlink="">
      <xdr:nvSpPr>
        <xdr:cNvPr id="4132" name="AutoShape 231" descr="Resultado de imagen para beer consumption trend">
          <a:extLst>
            <a:ext uri="{FF2B5EF4-FFF2-40B4-BE49-F238E27FC236}">
              <a16:creationId xmlns:a16="http://schemas.microsoft.com/office/drawing/2014/main" id="{2B10D9B7-9915-4096-A334-362EB4E2D58B}"/>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154545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39</xdr:row>
      <xdr:rowOff>0</xdr:rowOff>
    </xdr:from>
    <xdr:ext cx="304800" cy="305262"/>
    <xdr:sp macro="" textlink="">
      <xdr:nvSpPr>
        <xdr:cNvPr id="4133" name="AutoShape 231" descr="Resultado de imagen para beer consumption trend">
          <a:extLst>
            <a:ext uri="{FF2B5EF4-FFF2-40B4-BE49-F238E27FC236}">
              <a16:creationId xmlns:a16="http://schemas.microsoft.com/office/drawing/2014/main" id="{DC82A8BD-4039-419A-96EC-3399C46A680F}"/>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154545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39</xdr:row>
      <xdr:rowOff>0</xdr:rowOff>
    </xdr:from>
    <xdr:ext cx="304800" cy="308437"/>
    <xdr:sp macro="" textlink="">
      <xdr:nvSpPr>
        <xdr:cNvPr id="4134" name="AutoShape 231" descr="Resultado de imagen para beer consumption trend">
          <a:extLst>
            <a:ext uri="{FF2B5EF4-FFF2-40B4-BE49-F238E27FC236}">
              <a16:creationId xmlns:a16="http://schemas.microsoft.com/office/drawing/2014/main" id="{9141E200-D972-47C7-B139-6C037DD1842B}"/>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154545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39</xdr:row>
      <xdr:rowOff>0</xdr:rowOff>
    </xdr:from>
    <xdr:ext cx="304800" cy="305262"/>
    <xdr:sp macro="" textlink="">
      <xdr:nvSpPr>
        <xdr:cNvPr id="4135" name="AutoShape 231" descr="Resultado de imagen para beer consumption trend">
          <a:extLst>
            <a:ext uri="{FF2B5EF4-FFF2-40B4-BE49-F238E27FC236}">
              <a16:creationId xmlns:a16="http://schemas.microsoft.com/office/drawing/2014/main" id="{8DA6B72F-DAD3-4917-9700-660030A01382}"/>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154545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39</xdr:row>
      <xdr:rowOff>0</xdr:rowOff>
    </xdr:from>
    <xdr:ext cx="304800" cy="308437"/>
    <xdr:sp macro="" textlink="">
      <xdr:nvSpPr>
        <xdr:cNvPr id="4136" name="AutoShape 231" descr="Resultado de imagen para beer consumption trend">
          <a:extLst>
            <a:ext uri="{FF2B5EF4-FFF2-40B4-BE49-F238E27FC236}">
              <a16:creationId xmlns:a16="http://schemas.microsoft.com/office/drawing/2014/main" id="{D435DCD3-925A-482A-B3E4-6FAFF81D7BD3}"/>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1545455"/>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39</xdr:row>
      <xdr:rowOff>0</xdr:rowOff>
    </xdr:from>
    <xdr:ext cx="304800" cy="305262"/>
    <xdr:sp macro="" textlink="">
      <xdr:nvSpPr>
        <xdr:cNvPr id="4137" name="AutoShape 231" descr="Resultado de imagen para beer consumption trend">
          <a:extLst>
            <a:ext uri="{FF2B5EF4-FFF2-40B4-BE49-F238E27FC236}">
              <a16:creationId xmlns:a16="http://schemas.microsoft.com/office/drawing/2014/main" id="{2F5BD836-7960-465E-8F03-249B96630F8E}"/>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1545455"/>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39</xdr:row>
      <xdr:rowOff>0</xdr:rowOff>
    </xdr:from>
    <xdr:ext cx="304800" cy="308437"/>
    <xdr:sp macro="" textlink="">
      <xdr:nvSpPr>
        <xdr:cNvPr id="4138" name="AutoShape 231" descr="Resultado de imagen para beer consumption trend">
          <a:extLst>
            <a:ext uri="{FF2B5EF4-FFF2-40B4-BE49-F238E27FC236}">
              <a16:creationId xmlns:a16="http://schemas.microsoft.com/office/drawing/2014/main" id="{ED1B926B-3397-4E5D-9293-36693C7441F0}"/>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210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39</xdr:row>
      <xdr:rowOff>0</xdr:rowOff>
    </xdr:from>
    <xdr:ext cx="304800" cy="305262"/>
    <xdr:sp macro="" textlink="">
      <xdr:nvSpPr>
        <xdr:cNvPr id="4139" name="AutoShape 231" descr="Resultado de imagen para beer consumption trend">
          <a:extLst>
            <a:ext uri="{FF2B5EF4-FFF2-40B4-BE49-F238E27FC236}">
              <a16:creationId xmlns:a16="http://schemas.microsoft.com/office/drawing/2014/main" id="{8AE87557-6482-47B9-8935-830C650C6AC5}"/>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210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39</xdr:row>
      <xdr:rowOff>0</xdr:rowOff>
    </xdr:from>
    <xdr:ext cx="304800" cy="308437"/>
    <xdr:sp macro="" textlink="">
      <xdr:nvSpPr>
        <xdr:cNvPr id="4140" name="AutoShape 231" descr="Resultado de imagen para beer consumption trend">
          <a:extLst>
            <a:ext uri="{FF2B5EF4-FFF2-40B4-BE49-F238E27FC236}">
              <a16:creationId xmlns:a16="http://schemas.microsoft.com/office/drawing/2014/main" id="{9D232C2C-0F0F-4769-9081-6B25A9BCCBC4}"/>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210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39</xdr:row>
      <xdr:rowOff>0</xdr:rowOff>
    </xdr:from>
    <xdr:ext cx="304800" cy="305262"/>
    <xdr:sp macro="" textlink="">
      <xdr:nvSpPr>
        <xdr:cNvPr id="4141" name="AutoShape 231" descr="Resultado de imagen para beer consumption trend">
          <a:extLst>
            <a:ext uri="{FF2B5EF4-FFF2-40B4-BE49-F238E27FC236}">
              <a16:creationId xmlns:a16="http://schemas.microsoft.com/office/drawing/2014/main" id="{09713B29-F9D5-4B34-B9B0-C5E699851EA7}"/>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210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39</xdr:row>
      <xdr:rowOff>0</xdr:rowOff>
    </xdr:from>
    <xdr:ext cx="304800" cy="308437"/>
    <xdr:sp macro="" textlink="">
      <xdr:nvSpPr>
        <xdr:cNvPr id="4142" name="AutoShape 231" descr="Resultado de imagen para beer consumption trend">
          <a:extLst>
            <a:ext uri="{FF2B5EF4-FFF2-40B4-BE49-F238E27FC236}">
              <a16:creationId xmlns:a16="http://schemas.microsoft.com/office/drawing/2014/main" id="{1489F535-2AE7-4155-ADDD-0CF8578587CB}"/>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210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39</xdr:row>
      <xdr:rowOff>0</xdr:rowOff>
    </xdr:from>
    <xdr:ext cx="304800" cy="305262"/>
    <xdr:sp macro="" textlink="">
      <xdr:nvSpPr>
        <xdr:cNvPr id="4143" name="AutoShape 231" descr="Resultado de imagen para beer consumption trend">
          <a:extLst>
            <a:ext uri="{FF2B5EF4-FFF2-40B4-BE49-F238E27FC236}">
              <a16:creationId xmlns:a16="http://schemas.microsoft.com/office/drawing/2014/main" id="{3BB76C48-EA9D-414F-B5BF-CB62E404147D}"/>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210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39</xdr:row>
      <xdr:rowOff>0</xdr:rowOff>
    </xdr:from>
    <xdr:ext cx="304800" cy="308437"/>
    <xdr:sp macro="" textlink="">
      <xdr:nvSpPr>
        <xdr:cNvPr id="4144" name="AutoShape 231" descr="Resultado de imagen para beer consumption trend">
          <a:extLst>
            <a:ext uri="{FF2B5EF4-FFF2-40B4-BE49-F238E27FC236}">
              <a16:creationId xmlns:a16="http://schemas.microsoft.com/office/drawing/2014/main" id="{02B71323-A1C4-4F63-B9B7-430036DEF1C1}"/>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210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39</xdr:row>
      <xdr:rowOff>0</xdr:rowOff>
    </xdr:from>
    <xdr:ext cx="304800" cy="305262"/>
    <xdr:sp macro="" textlink="">
      <xdr:nvSpPr>
        <xdr:cNvPr id="4145" name="AutoShape 231" descr="Resultado de imagen para beer consumption trend">
          <a:extLst>
            <a:ext uri="{FF2B5EF4-FFF2-40B4-BE49-F238E27FC236}">
              <a16:creationId xmlns:a16="http://schemas.microsoft.com/office/drawing/2014/main" id="{9ED53BA7-8ED5-46A5-A070-E26EFEEFDD9C}"/>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210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39</xdr:row>
      <xdr:rowOff>0</xdr:rowOff>
    </xdr:from>
    <xdr:ext cx="304800" cy="308437"/>
    <xdr:sp macro="" textlink="">
      <xdr:nvSpPr>
        <xdr:cNvPr id="4146" name="AutoShape 231" descr="Resultado de imagen para beer consumption trend">
          <a:extLst>
            <a:ext uri="{FF2B5EF4-FFF2-40B4-BE49-F238E27FC236}">
              <a16:creationId xmlns:a16="http://schemas.microsoft.com/office/drawing/2014/main" id="{D996C701-CA14-45F8-BDF1-F39EF29BC67B}"/>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210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39</xdr:row>
      <xdr:rowOff>0</xdr:rowOff>
    </xdr:from>
    <xdr:ext cx="304800" cy="305262"/>
    <xdr:sp macro="" textlink="">
      <xdr:nvSpPr>
        <xdr:cNvPr id="4147" name="AutoShape 231" descr="Resultado de imagen para beer consumption trend">
          <a:extLst>
            <a:ext uri="{FF2B5EF4-FFF2-40B4-BE49-F238E27FC236}">
              <a16:creationId xmlns:a16="http://schemas.microsoft.com/office/drawing/2014/main" id="{1E9BAD16-10C8-45D4-9B33-2F4345E64A59}"/>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210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40</xdr:row>
      <xdr:rowOff>0</xdr:rowOff>
    </xdr:from>
    <xdr:ext cx="304800" cy="308437"/>
    <xdr:sp macro="" textlink="">
      <xdr:nvSpPr>
        <xdr:cNvPr id="4148" name="AutoShape 231" descr="Resultado de imagen para beer consumption trend">
          <a:extLst>
            <a:ext uri="{FF2B5EF4-FFF2-40B4-BE49-F238E27FC236}">
              <a16:creationId xmlns:a16="http://schemas.microsoft.com/office/drawing/2014/main" id="{E0391D22-4343-4FAC-B0EA-470FCBAC3176}"/>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40</xdr:row>
      <xdr:rowOff>0</xdr:rowOff>
    </xdr:from>
    <xdr:ext cx="304800" cy="305262"/>
    <xdr:sp macro="" textlink="">
      <xdr:nvSpPr>
        <xdr:cNvPr id="4149" name="AutoShape 231" descr="Resultado de imagen para beer consumption trend">
          <a:extLst>
            <a:ext uri="{FF2B5EF4-FFF2-40B4-BE49-F238E27FC236}">
              <a16:creationId xmlns:a16="http://schemas.microsoft.com/office/drawing/2014/main" id="{8F1B7AE8-2F1D-4CC8-A4A1-F7FE0BCCE34E}"/>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40</xdr:row>
      <xdr:rowOff>0</xdr:rowOff>
    </xdr:from>
    <xdr:ext cx="304800" cy="308437"/>
    <xdr:sp macro="" textlink="">
      <xdr:nvSpPr>
        <xdr:cNvPr id="4150" name="AutoShape 231" descr="Resultado de imagen para beer consumption trend">
          <a:extLst>
            <a:ext uri="{FF2B5EF4-FFF2-40B4-BE49-F238E27FC236}">
              <a16:creationId xmlns:a16="http://schemas.microsoft.com/office/drawing/2014/main" id="{A5EAE5AD-3BB2-4803-83C0-560C52808FA3}"/>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40</xdr:row>
      <xdr:rowOff>0</xdr:rowOff>
    </xdr:from>
    <xdr:ext cx="304800" cy="305262"/>
    <xdr:sp macro="" textlink="">
      <xdr:nvSpPr>
        <xdr:cNvPr id="4151" name="AutoShape 231" descr="Resultado de imagen para beer consumption trend">
          <a:extLst>
            <a:ext uri="{FF2B5EF4-FFF2-40B4-BE49-F238E27FC236}">
              <a16:creationId xmlns:a16="http://schemas.microsoft.com/office/drawing/2014/main" id="{3B7C59A3-DE04-45B4-8355-AE03F212FBD0}"/>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40</xdr:row>
      <xdr:rowOff>0</xdr:rowOff>
    </xdr:from>
    <xdr:ext cx="304800" cy="308437"/>
    <xdr:sp macro="" textlink="">
      <xdr:nvSpPr>
        <xdr:cNvPr id="4152" name="AutoShape 231" descr="Resultado de imagen para beer consumption trend">
          <a:extLst>
            <a:ext uri="{FF2B5EF4-FFF2-40B4-BE49-F238E27FC236}">
              <a16:creationId xmlns:a16="http://schemas.microsoft.com/office/drawing/2014/main" id="{6A59FA8E-B8A6-4772-9F0F-95D543E21400}"/>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40</xdr:row>
      <xdr:rowOff>0</xdr:rowOff>
    </xdr:from>
    <xdr:ext cx="304800" cy="305262"/>
    <xdr:sp macro="" textlink="">
      <xdr:nvSpPr>
        <xdr:cNvPr id="4153" name="AutoShape 231" descr="Resultado de imagen para beer consumption trend">
          <a:extLst>
            <a:ext uri="{FF2B5EF4-FFF2-40B4-BE49-F238E27FC236}">
              <a16:creationId xmlns:a16="http://schemas.microsoft.com/office/drawing/2014/main" id="{FF2278CC-FA41-4064-9A6D-3F0B2828BC0A}"/>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40</xdr:row>
      <xdr:rowOff>0</xdr:rowOff>
    </xdr:from>
    <xdr:ext cx="304800" cy="308437"/>
    <xdr:sp macro="" textlink="">
      <xdr:nvSpPr>
        <xdr:cNvPr id="4154" name="AutoShape 231" descr="Resultado de imagen para beer consumption trend">
          <a:extLst>
            <a:ext uri="{FF2B5EF4-FFF2-40B4-BE49-F238E27FC236}">
              <a16:creationId xmlns:a16="http://schemas.microsoft.com/office/drawing/2014/main" id="{DBB9D64F-6F2F-43AC-B378-AD5888FB481C}"/>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210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40</xdr:row>
      <xdr:rowOff>0</xdr:rowOff>
    </xdr:from>
    <xdr:ext cx="304800" cy="305262"/>
    <xdr:sp macro="" textlink="">
      <xdr:nvSpPr>
        <xdr:cNvPr id="4155" name="AutoShape 231" descr="Resultado de imagen para beer consumption trend">
          <a:extLst>
            <a:ext uri="{FF2B5EF4-FFF2-40B4-BE49-F238E27FC236}">
              <a16:creationId xmlns:a16="http://schemas.microsoft.com/office/drawing/2014/main" id="{5945E53A-8423-4141-9611-9CD99D3FC5DE}"/>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210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40</xdr:row>
      <xdr:rowOff>0</xdr:rowOff>
    </xdr:from>
    <xdr:ext cx="304800" cy="308437"/>
    <xdr:sp macro="" textlink="">
      <xdr:nvSpPr>
        <xdr:cNvPr id="4156" name="AutoShape 231" descr="Resultado de imagen para beer consumption trend">
          <a:extLst>
            <a:ext uri="{FF2B5EF4-FFF2-40B4-BE49-F238E27FC236}">
              <a16:creationId xmlns:a16="http://schemas.microsoft.com/office/drawing/2014/main" id="{9E3A2948-0385-42B3-8172-C541215D1242}"/>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210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40</xdr:row>
      <xdr:rowOff>0</xdr:rowOff>
    </xdr:from>
    <xdr:ext cx="304800" cy="305262"/>
    <xdr:sp macro="" textlink="">
      <xdr:nvSpPr>
        <xdr:cNvPr id="4157" name="AutoShape 231" descr="Resultado de imagen para beer consumption trend">
          <a:extLst>
            <a:ext uri="{FF2B5EF4-FFF2-40B4-BE49-F238E27FC236}">
              <a16:creationId xmlns:a16="http://schemas.microsoft.com/office/drawing/2014/main" id="{1DBC3438-720F-4EA9-A65A-E31204454950}"/>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210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40</xdr:row>
      <xdr:rowOff>0</xdr:rowOff>
    </xdr:from>
    <xdr:ext cx="304800" cy="308437"/>
    <xdr:sp macro="" textlink="">
      <xdr:nvSpPr>
        <xdr:cNvPr id="4158" name="AutoShape 231" descr="Resultado de imagen para beer consumption trend">
          <a:extLst>
            <a:ext uri="{FF2B5EF4-FFF2-40B4-BE49-F238E27FC236}">
              <a16:creationId xmlns:a16="http://schemas.microsoft.com/office/drawing/2014/main" id="{B3E2ACEA-F0CC-4CEF-B149-4CCA5F8B68FD}"/>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210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40</xdr:row>
      <xdr:rowOff>0</xdr:rowOff>
    </xdr:from>
    <xdr:ext cx="304800" cy="305262"/>
    <xdr:sp macro="" textlink="">
      <xdr:nvSpPr>
        <xdr:cNvPr id="4159" name="AutoShape 231" descr="Resultado de imagen para beer consumption trend">
          <a:extLst>
            <a:ext uri="{FF2B5EF4-FFF2-40B4-BE49-F238E27FC236}">
              <a16:creationId xmlns:a16="http://schemas.microsoft.com/office/drawing/2014/main" id="{D87180BA-329F-4983-A6AC-03983EAD18D1}"/>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210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40</xdr:row>
      <xdr:rowOff>0</xdr:rowOff>
    </xdr:from>
    <xdr:ext cx="304800" cy="308437"/>
    <xdr:sp macro="" textlink="">
      <xdr:nvSpPr>
        <xdr:cNvPr id="4160" name="AutoShape 231" descr="Resultado de imagen para beer consumption trend">
          <a:extLst>
            <a:ext uri="{FF2B5EF4-FFF2-40B4-BE49-F238E27FC236}">
              <a16:creationId xmlns:a16="http://schemas.microsoft.com/office/drawing/2014/main" id="{21AAF0CB-6C69-4A40-B410-B71308122C27}"/>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210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40</xdr:row>
      <xdr:rowOff>0</xdr:rowOff>
    </xdr:from>
    <xdr:ext cx="304800" cy="305262"/>
    <xdr:sp macro="" textlink="">
      <xdr:nvSpPr>
        <xdr:cNvPr id="4161" name="AutoShape 231" descr="Resultado de imagen para beer consumption trend">
          <a:extLst>
            <a:ext uri="{FF2B5EF4-FFF2-40B4-BE49-F238E27FC236}">
              <a16:creationId xmlns:a16="http://schemas.microsoft.com/office/drawing/2014/main" id="{FA7E5919-8D16-4E4E-A105-890469FE2978}"/>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210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40</xdr:row>
      <xdr:rowOff>0</xdr:rowOff>
    </xdr:from>
    <xdr:ext cx="304800" cy="308437"/>
    <xdr:sp macro="" textlink="">
      <xdr:nvSpPr>
        <xdr:cNvPr id="4162" name="AutoShape 231" descr="Resultado de imagen para beer consumption trend">
          <a:extLst>
            <a:ext uri="{FF2B5EF4-FFF2-40B4-BE49-F238E27FC236}">
              <a16:creationId xmlns:a16="http://schemas.microsoft.com/office/drawing/2014/main" id="{78D60FA8-191E-4AC6-AAEC-DA572A9D55A9}"/>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210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40</xdr:row>
      <xdr:rowOff>0</xdr:rowOff>
    </xdr:from>
    <xdr:ext cx="304800" cy="305262"/>
    <xdr:sp macro="" textlink="">
      <xdr:nvSpPr>
        <xdr:cNvPr id="4163" name="AutoShape 231" descr="Resultado de imagen para beer consumption trend">
          <a:extLst>
            <a:ext uri="{FF2B5EF4-FFF2-40B4-BE49-F238E27FC236}">
              <a16:creationId xmlns:a16="http://schemas.microsoft.com/office/drawing/2014/main" id="{84D56997-4F1F-4AD1-A549-3F2FF000E875}"/>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210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41</xdr:row>
      <xdr:rowOff>0</xdr:rowOff>
    </xdr:from>
    <xdr:ext cx="304800" cy="308437"/>
    <xdr:sp macro="" textlink="">
      <xdr:nvSpPr>
        <xdr:cNvPr id="4164" name="AutoShape 231" descr="Resultado de imagen para beer consumption trend">
          <a:extLst>
            <a:ext uri="{FF2B5EF4-FFF2-40B4-BE49-F238E27FC236}">
              <a16:creationId xmlns:a16="http://schemas.microsoft.com/office/drawing/2014/main" id="{5B9A9CC9-6DCA-4A8C-A252-337C94FC1808}"/>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41</xdr:row>
      <xdr:rowOff>0</xdr:rowOff>
    </xdr:from>
    <xdr:ext cx="304800" cy="305262"/>
    <xdr:sp macro="" textlink="">
      <xdr:nvSpPr>
        <xdr:cNvPr id="4165" name="AutoShape 231" descr="Resultado de imagen para beer consumption trend">
          <a:extLst>
            <a:ext uri="{FF2B5EF4-FFF2-40B4-BE49-F238E27FC236}">
              <a16:creationId xmlns:a16="http://schemas.microsoft.com/office/drawing/2014/main" id="{26B65997-28A3-4B5C-95D9-445684A593C0}"/>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41</xdr:row>
      <xdr:rowOff>0</xdr:rowOff>
    </xdr:from>
    <xdr:ext cx="304800" cy="308437"/>
    <xdr:sp macro="" textlink="">
      <xdr:nvSpPr>
        <xdr:cNvPr id="4166" name="AutoShape 231" descr="Resultado de imagen para beer consumption trend">
          <a:extLst>
            <a:ext uri="{FF2B5EF4-FFF2-40B4-BE49-F238E27FC236}">
              <a16:creationId xmlns:a16="http://schemas.microsoft.com/office/drawing/2014/main" id="{3CDB1C04-5BF4-407C-90E3-E6B6FFDA8551}"/>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41</xdr:row>
      <xdr:rowOff>0</xdr:rowOff>
    </xdr:from>
    <xdr:ext cx="304800" cy="305262"/>
    <xdr:sp macro="" textlink="">
      <xdr:nvSpPr>
        <xdr:cNvPr id="4167" name="AutoShape 231" descr="Resultado de imagen para beer consumption trend">
          <a:extLst>
            <a:ext uri="{FF2B5EF4-FFF2-40B4-BE49-F238E27FC236}">
              <a16:creationId xmlns:a16="http://schemas.microsoft.com/office/drawing/2014/main" id="{1279A70D-1B04-4EC6-981F-723F7FA2B233}"/>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41</xdr:row>
      <xdr:rowOff>0</xdr:rowOff>
    </xdr:from>
    <xdr:ext cx="304800" cy="308437"/>
    <xdr:sp macro="" textlink="">
      <xdr:nvSpPr>
        <xdr:cNvPr id="4168" name="AutoShape 231" descr="Resultado de imagen para beer consumption trend">
          <a:extLst>
            <a:ext uri="{FF2B5EF4-FFF2-40B4-BE49-F238E27FC236}">
              <a16:creationId xmlns:a16="http://schemas.microsoft.com/office/drawing/2014/main" id="{2DA92D55-CAA5-49B6-AD5B-8F48429E6C93}"/>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41</xdr:row>
      <xdr:rowOff>0</xdr:rowOff>
    </xdr:from>
    <xdr:ext cx="304800" cy="305262"/>
    <xdr:sp macro="" textlink="">
      <xdr:nvSpPr>
        <xdr:cNvPr id="4169" name="AutoShape 231" descr="Resultado de imagen para beer consumption trend">
          <a:extLst>
            <a:ext uri="{FF2B5EF4-FFF2-40B4-BE49-F238E27FC236}">
              <a16:creationId xmlns:a16="http://schemas.microsoft.com/office/drawing/2014/main" id="{49BE5CEA-C098-467F-854B-5041243CE216}"/>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41</xdr:row>
      <xdr:rowOff>0</xdr:rowOff>
    </xdr:from>
    <xdr:ext cx="304800" cy="308437"/>
    <xdr:sp macro="" textlink="">
      <xdr:nvSpPr>
        <xdr:cNvPr id="4170" name="AutoShape 231" descr="Resultado de imagen para beer consumption trend">
          <a:extLst>
            <a:ext uri="{FF2B5EF4-FFF2-40B4-BE49-F238E27FC236}">
              <a16:creationId xmlns:a16="http://schemas.microsoft.com/office/drawing/2014/main" id="{C14A8847-A872-4AC1-A3B7-AF257FFBA523}"/>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41</xdr:row>
      <xdr:rowOff>0</xdr:rowOff>
    </xdr:from>
    <xdr:ext cx="304800" cy="305262"/>
    <xdr:sp macro="" textlink="">
      <xdr:nvSpPr>
        <xdr:cNvPr id="4171" name="AutoShape 231" descr="Resultado de imagen para beer consumption trend">
          <a:extLst>
            <a:ext uri="{FF2B5EF4-FFF2-40B4-BE49-F238E27FC236}">
              <a16:creationId xmlns:a16="http://schemas.microsoft.com/office/drawing/2014/main" id="{CA2658EB-D8AF-4F6C-A51D-9B75D7991773}"/>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41</xdr:row>
      <xdr:rowOff>0</xdr:rowOff>
    </xdr:from>
    <xdr:ext cx="304800" cy="308437"/>
    <xdr:sp macro="" textlink="">
      <xdr:nvSpPr>
        <xdr:cNvPr id="4172" name="AutoShape 231" descr="Resultado de imagen para beer consumption trend">
          <a:extLst>
            <a:ext uri="{FF2B5EF4-FFF2-40B4-BE49-F238E27FC236}">
              <a16:creationId xmlns:a16="http://schemas.microsoft.com/office/drawing/2014/main" id="{2CF085BF-A362-4CE7-BD7F-5F784C766D1A}"/>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41</xdr:row>
      <xdr:rowOff>0</xdr:rowOff>
    </xdr:from>
    <xdr:ext cx="304800" cy="305262"/>
    <xdr:sp macro="" textlink="">
      <xdr:nvSpPr>
        <xdr:cNvPr id="4173" name="AutoShape 231" descr="Resultado de imagen para beer consumption trend">
          <a:extLst>
            <a:ext uri="{FF2B5EF4-FFF2-40B4-BE49-F238E27FC236}">
              <a16:creationId xmlns:a16="http://schemas.microsoft.com/office/drawing/2014/main" id="{270482F6-E753-49A4-8170-D0280282EB6F}"/>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41</xdr:row>
      <xdr:rowOff>0</xdr:rowOff>
    </xdr:from>
    <xdr:ext cx="304800" cy="308437"/>
    <xdr:sp macro="" textlink="">
      <xdr:nvSpPr>
        <xdr:cNvPr id="4174" name="AutoShape 231" descr="Resultado de imagen para beer consumption trend">
          <a:extLst>
            <a:ext uri="{FF2B5EF4-FFF2-40B4-BE49-F238E27FC236}">
              <a16:creationId xmlns:a16="http://schemas.microsoft.com/office/drawing/2014/main" id="{3C54B34A-8873-4F03-BDAD-38CA782A2922}"/>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41</xdr:row>
      <xdr:rowOff>0</xdr:rowOff>
    </xdr:from>
    <xdr:ext cx="304800" cy="305262"/>
    <xdr:sp macro="" textlink="">
      <xdr:nvSpPr>
        <xdr:cNvPr id="4175" name="AutoShape 231" descr="Resultado de imagen para beer consumption trend">
          <a:extLst>
            <a:ext uri="{FF2B5EF4-FFF2-40B4-BE49-F238E27FC236}">
              <a16:creationId xmlns:a16="http://schemas.microsoft.com/office/drawing/2014/main" id="{15384C46-85D4-4BAE-8F1C-60CCF17F16B4}"/>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41</xdr:row>
      <xdr:rowOff>0</xdr:rowOff>
    </xdr:from>
    <xdr:ext cx="304800" cy="308437"/>
    <xdr:sp macro="" textlink="">
      <xdr:nvSpPr>
        <xdr:cNvPr id="4176" name="AutoShape 231" descr="Resultado de imagen para beer consumption trend">
          <a:extLst>
            <a:ext uri="{FF2B5EF4-FFF2-40B4-BE49-F238E27FC236}">
              <a16:creationId xmlns:a16="http://schemas.microsoft.com/office/drawing/2014/main" id="{D410EE84-7D13-4795-AEDD-08B2C0DA19C2}"/>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41</xdr:row>
      <xdr:rowOff>0</xdr:rowOff>
    </xdr:from>
    <xdr:ext cx="304800" cy="305262"/>
    <xdr:sp macro="" textlink="">
      <xdr:nvSpPr>
        <xdr:cNvPr id="4177" name="AutoShape 231" descr="Resultado de imagen para beer consumption trend">
          <a:extLst>
            <a:ext uri="{FF2B5EF4-FFF2-40B4-BE49-F238E27FC236}">
              <a16:creationId xmlns:a16="http://schemas.microsoft.com/office/drawing/2014/main" id="{F87D7335-C23A-4FF1-9375-AE7162B84067}"/>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41</xdr:row>
      <xdr:rowOff>0</xdr:rowOff>
    </xdr:from>
    <xdr:ext cx="304800" cy="308437"/>
    <xdr:sp macro="" textlink="">
      <xdr:nvSpPr>
        <xdr:cNvPr id="4178" name="AutoShape 231" descr="Resultado de imagen para beer consumption trend">
          <a:extLst>
            <a:ext uri="{FF2B5EF4-FFF2-40B4-BE49-F238E27FC236}">
              <a16:creationId xmlns:a16="http://schemas.microsoft.com/office/drawing/2014/main" id="{FD4FEA9F-F8F0-47D6-9FAE-6D985F8CE999}"/>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41</xdr:row>
      <xdr:rowOff>0</xdr:rowOff>
    </xdr:from>
    <xdr:ext cx="304800" cy="305262"/>
    <xdr:sp macro="" textlink="">
      <xdr:nvSpPr>
        <xdr:cNvPr id="4179" name="AutoShape 231" descr="Resultado de imagen para beer consumption trend">
          <a:extLst>
            <a:ext uri="{FF2B5EF4-FFF2-40B4-BE49-F238E27FC236}">
              <a16:creationId xmlns:a16="http://schemas.microsoft.com/office/drawing/2014/main" id="{E0BF6383-50C8-4270-A770-1C65753D8A2D}"/>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41</xdr:row>
      <xdr:rowOff>0</xdr:rowOff>
    </xdr:from>
    <xdr:ext cx="304800" cy="308437"/>
    <xdr:sp macro="" textlink="">
      <xdr:nvSpPr>
        <xdr:cNvPr id="4180" name="AutoShape 231" descr="Resultado de imagen para beer consumption trend">
          <a:extLst>
            <a:ext uri="{FF2B5EF4-FFF2-40B4-BE49-F238E27FC236}">
              <a16:creationId xmlns:a16="http://schemas.microsoft.com/office/drawing/2014/main" id="{29C2829F-B324-4C42-A0A5-6611F2583107}"/>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210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41</xdr:row>
      <xdr:rowOff>0</xdr:rowOff>
    </xdr:from>
    <xdr:ext cx="304800" cy="305262"/>
    <xdr:sp macro="" textlink="">
      <xdr:nvSpPr>
        <xdr:cNvPr id="4181" name="AutoShape 231" descr="Resultado de imagen para beer consumption trend">
          <a:extLst>
            <a:ext uri="{FF2B5EF4-FFF2-40B4-BE49-F238E27FC236}">
              <a16:creationId xmlns:a16="http://schemas.microsoft.com/office/drawing/2014/main" id="{ED72D399-A971-471F-915C-93B89B03AAC0}"/>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210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41</xdr:row>
      <xdr:rowOff>0</xdr:rowOff>
    </xdr:from>
    <xdr:ext cx="304800" cy="308437"/>
    <xdr:sp macro="" textlink="">
      <xdr:nvSpPr>
        <xdr:cNvPr id="4182" name="AutoShape 231" descr="Resultado de imagen para beer consumption trend">
          <a:extLst>
            <a:ext uri="{FF2B5EF4-FFF2-40B4-BE49-F238E27FC236}">
              <a16:creationId xmlns:a16="http://schemas.microsoft.com/office/drawing/2014/main" id="{4E1C1655-B5AD-4181-B499-6A4CF94CC497}"/>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210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41</xdr:row>
      <xdr:rowOff>0</xdr:rowOff>
    </xdr:from>
    <xdr:ext cx="304800" cy="305262"/>
    <xdr:sp macro="" textlink="">
      <xdr:nvSpPr>
        <xdr:cNvPr id="4183" name="AutoShape 231" descr="Resultado de imagen para beer consumption trend">
          <a:extLst>
            <a:ext uri="{FF2B5EF4-FFF2-40B4-BE49-F238E27FC236}">
              <a16:creationId xmlns:a16="http://schemas.microsoft.com/office/drawing/2014/main" id="{E6F3CB18-0340-4958-BAC9-7FEDF7DA4C62}"/>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210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41</xdr:row>
      <xdr:rowOff>0</xdr:rowOff>
    </xdr:from>
    <xdr:ext cx="304800" cy="308437"/>
    <xdr:sp macro="" textlink="">
      <xdr:nvSpPr>
        <xdr:cNvPr id="4184" name="AutoShape 231" descr="Resultado de imagen para beer consumption trend">
          <a:extLst>
            <a:ext uri="{FF2B5EF4-FFF2-40B4-BE49-F238E27FC236}">
              <a16:creationId xmlns:a16="http://schemas.microsoft.com/office/drawing/2014/main" id="{8284087D-5080-4000-9A01-9AAD59EAB746}"/>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210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41</xdr:row>
      <xdr:rowOff>0</xdr:rowOff>
    </xdr:from>
    <xdr:ext cx="304800" cy="305262"/>
    <xdr:sp macro="" textlink="">
      <xdr:nvSpPr>
        <xdr:cNvPr id="4185" name="AutoShape 231" descr="Resultado de imagen para beer consumption trend">
          <a:extLst>
            <a:ext uri="{FF2B5EF4-FFF2-40B4-BE49-F238E27FC236}">
              <a16:creationId xmlns:a16="http://schemas.microsoft.com/office/drawing/2014/main" id="{DECD7102-2A87-4468-A123-E499C8E1A44D}"/>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210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41</xdr:row>
      <xdr:rowOff>0</xdr:rowOff>
    </xdr:from>
    <xdr:ext cx="304800" cy="308437"/>
    <xdr:sp macro="" textlink="">
      <xdr:nvSpPr>
        <xdr:cNvPr id="4186" name="AutoShape 231" descr="Resultado de imagen para beer consumption trend">
          <a:extLst>
            <a:ext uri="{FF2B5EF4-FFF2-40B4-BE49-F238E27FC236}">
              <a16:creationId xmlns:a16="http://schemas.microsoft.com/office/drawing/2014/main" id="{66C5FE02-5A29-4F12-9663-5AD992BFD91F}"/>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210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41</xdr:row>
      <xdr:rowOff>0</xdr:rowOff>
    </xdr:from>
    <xdr:ext cx="304800" cy="305262"/>
    <xdr:sp macro="" textlink="">
      <xdr:nvSpPr>
        <xdr:cNvPr id="4187" name="AutoShape 231" descr="Resultado de imagen para beer consumption trend">
          <a:extLst>
            <a:ext uri="{FF2B5EF4-FFF2-40B4-BE49-F238E27FC236}">
              <a16:creationId xmlns:a16="http://schemas.microsoft.com/office/drawing/2014/main" id="{60555A2A-851E-4986-B413-9C0E894D847A}"/>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210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41</xdr:row>
      <xdr:rowOff>0</xdr:rowOff>
    </xdr:from>
    <xdr:ext cx="304800" cy="308437"/>
    <xdr:sp macro="" textlink="">
      <xdr:nvSpPr>
        <xdr:cNvPr id="4188" name="AutoShape 231" descr="Resultado de imagen para beer consumption trend">
          <a:extLst>
            <a:ext uri="{FF2B5EF4-FFF2-40B4-BE49-F238E27FC236}">
              <a16:creationId xmlns:a16="http://schemas.microsoft.com/office/drawing/2014/main" id="{C4A9A5EA-C3D1-4A14-9AFA-D186B9D3FB1D}"/>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210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41</xdr:row>
      <xdr:rowOff>0</xdr:rowOff>
    </xdr:from>
    <xdr:ext cx="304800" cy="305262"/>
    <xdr:sp macro="" textlink="">
      <xdr:nvSpPr>
        <xdr:cNvPr id="4189" name="AutoShape 231" descr="Resultado de imagen para beer consumption trend">
          <a:extLst>
            <a:ext uri="{FF2B5EF4-FFF2-40B4-BE49-F238E27FC236}">
              <a16:creationId xmlns:a16="http://schemas.microsoft.com/office/drawing/2014/main" id="{8BE444E2-58ED-496B-A9A3-BB47819409C8}"/>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210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42</xdr:row>
      <xdr:rowOff>0</xdr:rowOff>
    </xdr:from>
    <xdr:ext cx="304800" cy="308437"/>
    <xdr:sp macro="" textlink="">
      <xdr:nvSpPr>
        <xdr:cNvPr id="4190" name="AutoShape 231" descr="Resultado de imagen para beer consumption trend">
          <a:extLst>
            <a:ext uri="{FF2B5EF4-FFF2-40B4-BE49-F238E27FC236}">
              <a16:creationId xmlns:a16="http://schemas.microsoft.com/office/drawing/2014/main" id="{B6822EA8-545D-4DC4-B7E6-DD0678E8943C}"/>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42</xdr:row>
      <xdr:rowOff>0</xdr:rowOff>
    </xdr:from>
    <xdr:ext cx="304800" cy="305262"/>
    <xdr:sp macro="" textlink="">
      <xdr:nvSpPr>
        <xdr:cNvPr id="4191" name="AutoShape 231" descr="Resultado de imagen para beer consumption trend">
          <a:extLst>
            <a:ext uri="{FF2B5EF4-FFF2-40B4-BE49-F238E27FC236}">
              <a16:creationId xmlns:a16="http://schemas.microsoft.com/office/drawing/2014/main" id="{CA44579F-DC23-4248-A26E-03AC78F5A306}"/>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42</xdr:row>
      <xdr:rowOff>0</xdr:rowOff>
    </xdr:from>
    <xdr:ext cx="304800" cy="308437"/>
    <xdr:sp macro="" textlink="">
      <xdr:nvSpPr>
        <xdr:cNvPr id="4192" name="AutoShape 231" descr="Resultado de imagen para beer consumption trend">
          <a:extLst>
            <a:ext uri="{FF2B5EF4-FFF2-40B4-BE49-F238E27FC236}">
              <a16:creationId xmlns:a16="http://schemas.microsoft.com/office/drawing/2014/main" id="{9536C5F3-7AA7-49D5-9D71-63787D6595C3}"/>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42</xdr:row>
      <xdr:rowOff>0</xdr:rowOff>
    </xdr:from>
    <xdr:ext cx="304800" cy="305262"/>
    <xdr:sp macro="" textlink="">
      <xdr:nvSpPr>
        <xdr:cNvPr id="4193" name="AutoShape 231" descr="Resultado de imagen para beer consumption trend">
          <a:extLst>
            <a:ext uri="{FF2B5EF4-FFF2-40B4-BE49-F238E27FC236}">
              <a16:creationId xmlns:a16="http://schemas.microsoft.com/office/drawing/2014/main" id="{6207A0A9-E875-426F-9F63-A225267FAE04}"/>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42</xdr:row>
      <xdr:rowOff>0</xdr:rowOff>
    </xdr:from>
    <xdr:ext cx="304800" cy="308437"/>
    <xdr:sp macro="" textlink="">
      <xdr:nvSpPr>
        <xdr:cNvPr id="4194" name="AutoShape 231" descr="Resultado de imagen para beer consumption trend">
          <a:extLst>
            <a:ext uri="{FF2B5EF4-FFF2-40B4-BE49-F238E27FC236}">
              <a16:creationId xmlns:a16="http://schemas.microsoft.com/office/drawing/2014/main" id="{5EDC869F-DF60-4BF3-BE0E-166796421B56}"/>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42</xdr:row>
      <xdr:rowOff>0</xdr:rowOff>
    </xdr:from>
    <xdr:ext cx="304800" cy="305262"/>
    <xdr:sp macro="" textlink="">
      <xdr:nvSpPr>
        <xdr:cNvPr id="4195" name="AutoShape 231" descr="Resultado de imagen para beer consumption trend">
          <a:extLst>
            <a:ext uri="{FF2B5EF4-FFF2-40B4-BE49-F238E27FC236}">
              <a16:creationId xmlns:a16="http://schemas.microsoft.com/office/drawing/2014/main" id="{840B38F3-6BC3-4E3A-83FB-C8D5DD03907E}"/>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42</xdr:row>
      <xdr:rowOff>0</xdr:rowOff>
    </xdr:from>
    <xdr:ext cx="304800" cy="308437"/>
    <xdr:sp macro="" textlink="">
      <xdr:nvSpPr>
        <xdr:cNvPr id="4196" name="AutoShape 231" descr="Resultado de imagen para beer consumption trend">
          <a:extLst>
            <a:ext uri="{FF2B5EF4-FFF2-40B4-BE49-F238E27FC236}">
              <a16:creationId xmlns:a16="http://schemas.microsoft.com/office/drawing/2014/main" id="{AC29ECB1-2C76-4460-BCF1-4125CA462281}"/>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42</xdr:row>
      <xdr:rowOff>0</xdr:rowOff>
    </xdr:from>
    <xdr:ext cx="304800" cy="305262"/>
    <xdr:sp macro="" textlink="">
      <xdr:nvSpPr>
        <xdr:cNvPr id="4197" name="AutoShape 231" descr="Resultado de imagen para beer consumption trend">
          <a:extLst>
            <a:ext uri="{FF2B5EF4-FFF2-40B4-BE49-F238E27FC236}">
              <a16:creationId xmlns:a16="http://schemas.microsoft.com/office/drawing/2014/main" id="{EF83D202-4F54-4AED-8E1E-4AEAA6DC92AB}"/>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42</xdr:row>
      <xdr:rowOff>0</xdr:rowOff>
    </xdr:from>
    <xdr:ext cx="304800" cy="308437"/>
    <xdr:sp macro="" textlink="">
      <xdr:nvSpPr>
        <xdr:cNvPr id="4198" name="AutoShape 231" descr="Resultado de imagen para beer consumption trend">
          <a:extLst>
            <a:ext uri="{FF2B5EF4-FFF2-40B4-BE49-F238E27FC236}">
              <a16:creationId xmlns:a16="http://schemas.microsoft.com/office/drawing/2014/main" id="{D231CD7A-3096-4221-9331-132046340B55}"/>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42</xdr:row>
      <xdr:rowOff>0</xdr:rowOff>
    </xdr:from>
    <xdr:ext cx="304800" cy="305262"/>
    <xdr:sp macro="" textlink="">
      <xdr:nvSpPr>
        <xdr:cNvPr id="4199" name="AutoShape 231" descr="Resultado de imagen para beer consumption trend">
          <a:extLst>
            <a:ext uri="{FF2B5EF4-FFF2-40B4-BE49-F238E27FC236}">
              <a16:creationId xmlns:a16="http://schemas.microsoft.com/office/drawing/2014/main" id="{19E78E20-3F85-4540-89F9-3041A0FC1407}"/>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42</xdr:row>
      <xdr:rowOff>0</xdr:rowOff>
    </xdr:from>
    <xdr:ext cx="304800" cy="308437"/>
    <xdr:sp macro="" textlink="">
      <xdr:nvSpPr>
        <xdr:cNvPr id="4200" name="AutoShape 231" descr="Resultado de imagen para beer consumption trend">
          <a:extLst>
            <a:ext uri="{FF2B5EF4-FFF2-40B4-BE49-F238E27FC236}">
              <a16:creationId xmlns:a16="http://schemas.microsoft.com/office/drawing/2014/main" id="{A299024D-1EE5-40E3-9BC7-B954EF11BEF6}"/>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42</xdr:row>
      <xdr:rowOff>0</xdr:rowOff>
    </xdr:from>
    <xdr:ext cx="304800" cy="305262"/>
    <xdr:sp macro="" textlink="">
      <xdr:nvSpPr>
        <xdr:cNvPr id="4201" name="AutoShape 231" descr="Resultado de imagen para beer consumption trend">
          <a:extLst>
            <a:ext uri="{FF2B5EF4-FFF2-40B4-BE49-F238E27FC236}">
              <a16:creationId xmlns:a16="http://schemas.microsoft.com/office/drawing/2014/main" id="{F5666D99-43E4-4874-A16A-53E4FA02BA00}"/>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42</xdr:row>
      <xdr:rowOff>0</xdr:rowOff>
    </xdr:from>
    <xdr:ext cx="304800" cy="308437"/>
    <xdr:sp macro="" textlink="">
      <xdr:nvSpPr>
        <xdr:cNvPr id="4202" name="AutoShape 231" descr="Resultado de imagen para beer consumption trend">
          <a:extLst>
            <a:ext uri="{FF2B5EF4-FFF2-40B4-BE49-F238E27FC236}">
              <a16:creationId xmlns:a16="http://schemas.microsoft.com/office/drawing/2014/main" id="{34ECF936-A824-4D01-B595-07888CDBF180}"/>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42</xdr:row>
      <xdr:rowOff>0</xdr:rowOff>
    </xdr:from>
    <xdr:ext cx="304800" cy="305262"/>
    <xdr:sp macro="" textlink="">
      <xdr:nvSpPr>
        <xdr:cNvPr id="4203" name="AutoShape 231" descr="Resultado de imagen para beer consumption trend">
          <a:extLst>
            <a:ext uri="{FF2B5EF4-FFF2-40B4-BE49-F238E27FC236}">
              <a16:creationId xmlns:a16="http://schemas.microsoft.com/office/drawing/2014/main" id="{DE663914-3DEA-4F9D-A91D-87B2A7A5C3F0}"/>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42</xdr:row>
      <xdr:rowOff>0</xdr:rowOff>
    </xdr:from>
    <xdr:ext cx="304800" cy="308437"/>
    <xdr:sp macro="" textlink="">
      <xdr:nvSpPr>
        <xdr:cNvPr id="4204" name="AutoShape 231" descr="Resultado de imagen para beer consumption trend">
          <a:extLst>
            <a:ext uri="{FF2B5EF4-FFF2-40B4-BE49-F238E27FC236}">
              <a16:creationId xmlns:a16="http://schemas.microsoft.com/office/drawing/2014/main" id="{A17D1A35-BB35-4CD4-ACC6-41DAC55CCC83}"/>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42</xdr:row>
      <xdr:rowOff>0</xdr:rowOff>
    </xdr:from>
    <xdr:ext cx="304800" cy="305262"/>
    <xdr:sp macro="" textlink="">
      <xdr:nvSpPr>
        <xdr:cNvPr id="4205" name="AutoShape 231" descr="Resultado de imagen para beer consumption trend">
          <a:extLst>
            <a:ext uri="{FF2B5EF4-FFF2-40B4-BE49-F238E27FC236}">
              <a16:creationId xmlns:a16="http://schemas.microsoft.com/office/drawing/2014/main" id="{9A8FEA3B-098C-4778-8AFE-6B6287940949}"/>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42</xdr:row>
      <xdr:rowOff>0</xdr:rowOff>
    </xdr:from>
    <xdr:ext cx="304800" cy="308437"/>
    <xdr:sp macro="" textlink="">
      <xdr:nvSpPr>
        <xdr:cNvPr id="4206" name="AutoShape 231" descr="Resultado de imagen para beer consumption trend">
          <a:extLst>
            <a:ext uri="{FF2B5EF4-FFF2-40B4-BE49-F238E27FC236}">
              <a16:creationId xmlns:a16="http://schemas.microsoft.com/office/drawing/2014/main" id="{43901937-6BB2-4643-BB25-C1787AAA472B}"/>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210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42</xdr:row>
      <xdr:rowOff>0</xdr:rowOff>
    </xdr:from>
    <xdr:ext cx="304800" cy="305262"/>
    <xdr:sp macro="" textlink="">
      <xdr:nvSpPr>
        <xdr:cNvPr id="4207" name="AutoShape 231" descr="Resultado de imagen para beer consumption trend">
          <a:extLst>
            <a:ext uri="{FF2B5EF4-FFF2-40B4-BE49-F238E27FC236}">
              <a16:creationId xmlns:a16="http://schemas.microsoft.com/office/drawing/2014/main" id="{E4ABF1EC-65A0-41E8-801B-FA97C998014E}"/>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210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42</xdr:row>
      <xdr:rowOff>0</xdr:rowOff>
    </xdr:from>
    <xdr:ext cx="304800" cy="308437"/>
    <xdr:sp macro="" textlink="">
      <xdr:nvSpPr>
        <xdr:cNvPr id="4208" name="AutoShape 231" descr="Resultado de imagen para beer consumption trend">
          <a:extLst>
            <a:ext uri="{FF2B5EF4-FFF2-40B4-BE49-F238E27FC236}">
              <a16:creationId xmlns:a16="http://schemas.microsoft.com/office/drawing/2014/main" id="{FF0333C4-A7E6-4502-9D2F-554A0CD57FED}"/>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210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42</xdr:row>
      <xdr:rowOff>0</xdr:rowOff>
    </xdr:from>
    <xdr:ext cx="304800" cy="305262"/>
    <xdr:sp macro="" textlink="">
      <xdr:nvSpPr>
        <xdr:cNvPr id="4209" name="AutoShape 231" descr="Resultado de imagen para beer consumption trend">
          <a:extLst>
            <a:ext uri="{FF2B5EF4-FFF2-40B4-BE49-F238E27FC236}">
              <a16:creationId xmlns:a16="http://schemas.microsoft.com/office/drawing/2014/main" id="{A1C14CC5-FC48-413E-A3AE-8BA81AA117B8}"/>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210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42</xdr:row>
      <xdr:rowOff>0</xdr:rowOff>
    </xdr:from>
    <xdr:ext cx="304800" cy="308437"/>
    <xdr:sp macro="" textlink="">
      <xdr:nvSpPr>
        <xdr:cNvPr id="4210" name="AutoShape 231" descr="Resultado de imagen para beer consumption trend">
          <a:extLst>
            <a:ext uri="{FF2B5EF4-FFF2-40B4-BE49-F238E27FC236}">
              <a16:creationId xmlns:a16="http://schemas.microsoft.com/office/drawing/2014/main" id="{5F9BC762-9BDA-4D17-ACE8-D3ED6C0006F8}"/>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210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42</xdr:row>
      <xdr:rowOff>0</xdr:rowOff>
    </xdr:from>
    <xdr:ext cx="304800" cy="305262"/>
    <xdr:sp macro="" textlink="">
      <xdr:nvSpPr>
        <xdr:cNvPr id="4211" name="AutoShape 231" descr="Resultado de imagen para beer consumption trend">
          <a:extLst>
            <a:ext uri="{FF2B5EF4-FFF2-40B4-BE49-F238E27FC236}">
              <a16:creationId xmlns:a16="http://schemas.microsoft.com/office/drawing/2014/main" id="{F6441CE7-43C2-47CF-8E02-65DA10919B2E}"/>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210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42</xdr:row>
      <xdr:rowOff>0</xdr:rowOff>
    </xdr:from>
    <xdr:ext cx="304800" cy="308437"/>
    <xdr:sp macro="" textlink="">
      <xdr:nvSpPr>
        <xdr:cNvPr id="4212" name="AutoShape 231" descr="Resultado de imagen para beer consumption trend">
          <a:extLst>
            <a:ext uri="{FF2B5EF4-FFF2-40B4-BE49-F238E27FC236}">
              <a16:creationId xmlns:a16="http://schemas.microsoft.com/office/drawing/2014/main" id="{59B7B9B9-5314-40ED-B60F-C90564F90E47}"/>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210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42</xdr:row>
      <xdr:rowOff>0</xdr:rowOff>
    </xdr:from>
    <xdr:ext cx="304800" cy="305262"/>
    <xdr:sp macro="" textlink="">
      <xdr:nvSpPr>
        <xdr:cNvPr id="4213" name="AutoShape 231" descr="Resultado de imagen para beer consumption trend">
          <a:extLst>
            <a:ext uri="{FF2B5EF4-FFF2-40B4-BE49-F238E27FC236}">
              <a16:creationId xmlns:a16="http://schemas.microsoft.com/office/drawing/2014/main" id="{F29220AC-F161-46B3-B3A3-E57938FD589F}"/>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210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42</xdr:row>
      <xdr:rowOff>0</xdr:rowOff>
    </xdr:from>
    <xdr:ext cx="304800" cy="308437"/>
    <xdr:sp macro="" textlink="">
      <xdr:nvSpPr>
        <xdr:cNvPr id="4214" name="AutoShape 231" descr="Resultado de imagen para beer consumption trend">
          <a:extLst>
            <a:ext uri="{FF2B5EF4-FFF2-40B4-BE49-F238E27FC236}">
              <a16:creationId xmlns:a16="http://schemas.microsoft.com/office/drawing/2014/main" id="{6860AAC5-53D0-4614-8B84-AB4D84953337}"/>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210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42</xdr:row>
      <xdr:rowOff>0</xdr:rowOff>
    </xdr:from>
    <xdr:ext cx="304800" cy="305262"/>
    <xdr:sp macro="" textlink="">
      <xdr:nvSpPr>
        <xdr:cNvPr id="4215" name="AutoShape 231" descr="Resultado de imagen para beer consumption trend">
          <a:extLst>
            <a:ext uri="{FF2B5EF4-FFF2-40B4-BE49-F238E27FC236}">
              <a16:creationId xmlns:a16="http://schemas.microsoft.com/office/drawing/2014/main" id="{3EB15103-3EA0-4923-8074-DD6267C455BE}"/>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210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43</xdr:row>
      <xdr:rowOff>0</xdr:rowOff>
    </xdr:from>
    <xdr:ext cx="304800" cy="308437"/>
    <xdr:sp macro="" textlink="">
      <xdr:nvSpPr>
        <xdr:cNvPr id="4216" name="AutoShape 231" descr="Resultado de imagen para beer consumption trend">
          <a:extLst>
            <a:ext uri="{FF2B5EF4-FFF2-40B4-BE49-F238E27FC236}">
              <a16:creationId xmlns:a16="http://schemas.microsoft.com/office/drawing/2014/main" id="{42F7E55B-7A32-445D-A4FC-6C88CE230B5C}"/>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43</xdr:row>
      <xdr:rowOff>0</xdr:rowOff>
    </xdr:from>
    <xdr:ext cx="304800" cy="305262"/>
    <xdr:sp macro="" textlink="">
      <xdr:nvSpPr>
        <xdr:cNvPr id="4217" name="AutoShape 231" descr="Resultado de imagen para beer consumption trend">
          <a:extLst>
            <a:ext uri="{FF2B5EF4-FFF2-40B4-BE49-F238E27FC236}">
              <a16:creationId xmlns:a16="http://schemas.microsoft.com/office/drawing/2014/main" id="{7F4BBEBF-A3AA-4A23-803A-F53E287B7F56}"/>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43</xdr:row>
      <xdr:rowOff>0</xdr:rowOff>
    </xdr:from>
    <xdr:ext cx="304800" cy="308437"/>
    <xdr:sp macro="" textlink="">
      <xdr:nvSpPr>
        <xdr:cNvPr id="4218" name="AutoShape 231" descr="Resultado de imagen para beer consumption trend">
          <a:extLst>
            <a:ext uri="{FF2B5EF4-FFF2-40B4-BE49-F238E27FC236}">
              <a16:creationId xmlns:a16="http://schemas.microsoft.com/office/drawing/2014/main" id="{83D66672-2A28-49BF-99A1-F6065F1B3590}"/>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43</xdr:row>
      <xdr:rowOff>0</xdr:rowOff>
    </xdr:from>
    <xdr:ext cx="304800" cy="305262"/>
    <xdr:sp macro="" textlink="">
      <xdr:nvSpPr>
        <xdr:cNvPr id="4219" name="AutoShape 231" descr="Resultado de imagen para beer consumption trend">
          <a:extLst>
            <a:ext uri="{FF2B5EF4-FFF2-40B4-BE49-F238E27FC236}">
              <a16:creationId xmlns:a16="http://schemas.microsoft.com/office/drawing/2014/main" id="{FE1B8D5E-95FD-4BB9-A893-F923575D92DD}"/>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43</xdr:row>
      <xdr:rowOff>0</xdr:rowOff>
    </xdr:from>
    <xdr:ext cx="304800" cy="308437"/>
    <xdr:sp macro="" textlink="">
      <xdr:nvSpPr>
        <xdr:cNvPr id="4220" name="AutoShape 231" descr="Resultado de imagen para beer consumption trend">
          <a:extLst>
            <a:ext uri="{FF2B5EF4-FFF2-40B4-BE49-F238E27FC236}">
              <a16:creationId xmlns:a16="http://schemas.microsoft.com/office/drawing/2014/main" id="{83454555-50B4-4753-BCC9-A37C044DF624}"/>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43</xdr:row>
      <xdr:rowOff>0</xdr:rowOff>
    </xdr:from>
    <xdr:ext cx="304800" cy="305262"/>
    <xdr:sp macro="" textlink="">
      <xdr:nvSpPr>
        <xdr:cNvPr id="4221" name="AutoShape 231" descr="Resultado de imagen para beer consumption trend">
          <a:extLst>
            <a:ext uri="{FF2B5EF4-FFF2-40B4-BE49-F238E27FC236}">
              <a16:creationId xmlns:a16="http://schemas.microsoft.com/office/drawing/2014/main" id="{8732E864-66A5-49B9-8AA8-7F8E47462678}"/>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43</xdr:row>
      <xdr:rowOff>0</xdr:rowOff>
    </xdr:from>
    <xdr:ext cx="304800" cy="308437"/>
    <xdr:sp macro="" textlink="">
      <xdr:nvSpPr>
        <xdr:cNvPr id="4222" name="AutoShape 231" descr="Resultado de imagen para beer consumption trend">
          <a:extLst>
            <a:ext uri="{FF2B5EF4-FFF2-40B4-BE49-F238E27FC236}">
              <a16:creationId xmlns:a16="http://schemas.microsoft.com/office/drawing/2014/main" id="{B3FB4FF2-7CDF-4D1A-AA5F-0590CFF4C6B0}"/>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43</xdr:row>
      <xdr:rowOff>0</xdr:rowOff>
    </xdr:from>
    <xdr:ext cx="304800" cy="305262"/>
    <xdr:sp macro="" textlink="">
      <xdr:nvSpPr>
        <xdr:cNvPr id="4223" name="AutoShape 231" descr="Resultado de imagen para beer consumption trend">
          <a:extLst>
            <a:ext uri="{FF2B5EF4-FFF2-40B4-BE49-F238E27FC236}">
              <a16:creationId xmlns:a16="http://schemas.microsoft.com/office/drawing/2014/main" id="{8D2D4D92-D256-44E3-81CE-E64DB8FF8596}"/>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43</xdr:row>
      <xdr:rowOff>0</xdr:rowOff>
    </xdr:from>
    <xdr:ext cx="304800" cy="308437"/>
    <xdr:sp macro="" textlink="">
      <xdr:nvSpPr>
        <xdr:cNvPr id="4224" name="AutoShape 231" descr="Resultado de imagen para beer consumption trend">
          <a:extLst>
            <a:ext uri="{FF2B5EF4-FFF2-40B4-BE49-F238E27FC236}">
              <a16:creationId xmlns:a16="http://schemas.microsoft.com/office/drawing/2014/main" id="{2D038AB0-9010-4CB9-A65C-140C64CE6A76}"/>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43</xdr:row>
      <xdr:rowOff>0</xdr:rowOff>
    </xdr:from>
    <xdr:ext cx="304800" cy="305262"/>
    <xdr:sp macro="" textlink="">
      <xdr:nvSpPr>
        <xdr:cNvPr id="4225" name="AutoShape 231" descr="Resultado de imagen para beer consumption trend">
          <a:extLst>
            <a:ext uri="{FF2B5EF4-FFF2-40B4-BE49-F238E27FC236}">
              <a16:creationId xmlns:a16="http://schemas.microsoft.com/office/drawing/2014/main" id="{623A6DD6-6017-4207-9FE4-86411CD9D16F}"/>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43</xdr:row>
      <xdr:rowOff>0</xdr:rowOff>
    </xdr:from>
    <xdr:ext cx="304800" cy="308437"/>
    <xdr:sp macro="" textlink="">
      <xdr:nvSpPr>
        <xdr:cNvPr id="4226" name="AutoShape 231" descr="Resultado de imagen para beer consumption trend">
          <a:extLst>
            <a:ext uri="{FF2B5EF4-FFF2-40B4-BE49-F238E27FC236}">
              <a16:creationId xmlns:a16="http://schemas.microsoft.com/office/drawing/2014/main" id="{B5C86D1B-AAF7-4F58-AB9E-C8171A0EAC09}"/>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43</xdr:row>
      <xdr:rowOff>0</xdr:rowOff>
    </xdr:from>
    <xdr:ext cx="304800" cy="305262"/>
    <xdr:sp macro="" textlink="">
      <xdr:nvSpPr>
        <xdr:cNvPr id="4227" name="AutoShape 231" descr="Resultado de imagen para beer consumption trend">
          <a:extLst>
            <a:ext uri="{FF2B5EF4-FFF2-40B4-BE49-F238E27FC236}">
              <a16:creationId xmlns:a16="http://schemas.microsoft.com/office/drawing/2014/main" id="{6B8556C6-F369-40EF-8A02-E31A8F383FF6}"/>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43</xdr:row>
      <xdr:rowOff>0</xdr:rowOff>
    </xdr:from>
    <xdr:ext cx="304800" cy="308437"/>
    <xdr:sp macro="" textlink="">
      <xdr:nvSpPr>
        <xdr:cNvPr id="4228" name="AutoShape 231" descr="Resultado de imagen para beer consumption trend">
          <a:extLst>
            <a:ext uri="{FF2B5EF4-FFF2-40B4-BE49-F238E27FC236}">
              <a16:creationId xmlns:a16="http://schemas.microsoft.com/office/drawing/2014/main" id="{CCD39736-E336-443E-939C-00B23914FF76}"/>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43</xdr:row>
      <xdr:rowOff>0</xdr:rowOff>
    </xdr:from>
    <xdr:ext cx="304800" cy="305262"/>
    <xdr:sp macro="" textlink="">
      <xdr:nvSpPr>
        <xdr:cNvPr id="4229" name="AutoShape 231" descr="Resultado de imagen para beer consumption trend">
          <a:extLst>
            <a:ext uri="{FF2B5EF4-FFF2-40B4-BE49-F238E27FC236}">
              <a16:creationId xmlns:a16="http://schemas.microsoft.com/office/drawing/2014/main" id="{B6811050-A479-43B9-91AE-E1301B1F7E27}"/>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43</xdr:row>
      <xdr:rowOff>0</xdr:rowOff>
    </xdr:from>
    <xdr:ext cx="304800" cy="308437"/>
    <xdr:sp macro="" textlink="">
      <xdr:nvSpPr>
        <xdr:cNvPr id="4230" name="AutoShape 231" descr="Resultado de imagen para beer consumption trend">
          <a:extLst>
            <a:ext uri="{FF2B5EF4-FFF2-40B4-BE49-F238E27FC236}">
              <a16:creationId xmlns:a16="http://schemas.microsoft.com/office/drawing/2014/main" id="{5BE880AD-B91B-41A9-BE64-BDD5A7044DEE}"/>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43</xdr:row>
      <xdr:rowOff>0</xdr:rowOff>
    </xdr:from>
    <xdr:ext cx="304800" cy="305262"/>
    <xdr:sp macro="" textlink="">
      <xdr:nvSpPr>
        <xdr:cNvPr id="4231" name="AutoShape 231" descr="Resultado de imagen para beer consumption trend">
          <a:extLst>
            <a:ext uri="{FF2B5EF4-FFF2-40B4-BE49-F238E27FC236}">
              <a16:creationId xmlns:a16="http://schemas.microsoft.com/office/drawing/2014/main" id="{957C6C8B-9E38-47E0-9FB0-575CE72A22E2}"/>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43</xdr:row>
      <xdr:rowOff>0</xdr:rowOff>
    </xdr:from>
    <xdr:ext cx="304800" cy="308437"/>
    <xdr:sp macro="" textlink="">
      <xdr:nvSpPr>
        <xdr:cNvPr id="4232" name="AutoShape 231" descr="Resultado de imagen para beer consumption trend">
          <a:extLst>
            <a:ext uri="{FF2B5EF4-FFF2-40B4-BE49-F238E27FC236}">
              <a16:creationId xmlns:a16="http://schemas.microsoft.com/office/drawing/2014/main" id="{7D8A5AA4-67BA-4029-9FE9-35C556B86EDB}"/>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210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43</xdr:row>
      <xdr:rowOff>0</xdr:rowOff>
    </xdr:from>
    <xdr:ext cx="304800" cy="305262"/>
    <xdr:sp macro="" textlink="">
      <xdr:nvSpPr>
        <xdr:cNvPr id="4233" name="AutoShape 231" descr="Resultado de imagen para beer consumption trend">
          <a:extLst>
            <a:ext uri="{FF2B5EF4-FFF2-40B4-BE49-F238E27FC236}">
              <a16:creationId xmlns:a16="http://schemas.microsoft.com/office/drawing/2014/main" id="{D23442D4-C393-486D-AA3A-243ABE5CE92A}"/>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210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43</xdr:row>
      <xdr:rowOff>0</xdr:rowOff>
    </xdr:from>
    <xdr:ext cx="304800" cy="308437"/>
    <xdr:sp macro="" textlink="">
      <xdr:nvSpPr>
        <xdr:cNvPr id="4234" name="AutoShape 231" descr="Resultado de imagen para beer consumption trend">
          <a:extLst>
            <a:ext uri="{FF2B5EF4-FFF2-40B4-BE49-F238E27FC236}">
              <a16:creationId xmlns:a16="http://schemas.microsoft.com/office/drawing/2014/main" id="{4CADCB90-1846-4A92-87C8-5A5C16541E53}"/>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210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43</xdr:row>
      <xdr:rowOff>0</xdr:rowOff>
    </xdr:from>
    <xdr:ext cx="304800" cy="305262"/>
    <xdr:sp macro="" textlink="">
      <xdr:nvSpPr>
        <xdr:cNvPr id="4235" name="AutoShape 231" descr="Resultado de imagen para beer consumption trend">
          <a:extLst>
            <a:ext uri="{FF2B5EF4-FFF2-40B4-BE49-F238E27FC236}">
              <a16:creationId xmlns:a16="http://schemas.microsoft.com/office/drawing/2014/main" id="{BB0AACCE-ED6C-4C3A-B0F8-DEE4B2C0E72D}"/>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210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43</xdr:row>
      <xdr:rowOff>0</xdr:rowOff>
    </xdr:from>
    <xdr:ext cx="304800" cy="308437"/>
    <xdr:sp macro="" textlink="">
      <xdr:nvSpPr>
        <xdr:cNvPr id="4236" name="AutoShape 231" descr="Resultado de imagen para beer consumption trend">
          <a:extLst>
            <a:ext uri="{FF2B5EF4-FFF2-40B4-BE49-F238E27FC236}">
              <a16:creationId xmlns:a16="http://schemas.microsoft.com/office/drawing/2014/main" id="{55C195CE-2A46-41E8-AF5E-E0E9AFAC8AF1}"/>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210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43</xdr:row>
      <xdr:rowOff>0</xdr:rowOff>
    </xdr:from>
    <xdr:ext cx="304800" cy="305262"/>
    <xdr:sp macro="" textlink="">
      <xdr:nvSpPr>
        <xdr:cNvPr id="4237" name="AutoShape 231" descr="Resultado de imagen para beer consumption trend">
          <a:extLst>
            <a:ext uri="{FF2B5EF4-FFF2-40B4-BE49-F238E27FC236}">
              <a16:creationId xmlns:a16="http://schemas.microsoft.com/office/drawing/2014/main" id="{8E519DEE-CD49-453D-89DA-7818583FB1BC}"/>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210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43</xdr:row>
      <xdr:rowOff>0</xdr:rowOff>
    </xdr:from>
    <xdr:ext cx="304800" cy="308437"/>
    <xdr:sp macro="" textlink="">
      <xdr:nvSpPr>
        <xdr:cNvPr id="4238" name="AutoShape 231" descr="Resultado de imagen para beer consumption trend">
          <a:extLst>
            <a:ext uri="{FF2B5EF4-FFF2-40B4-BE49-F238E27FC236}">
              <a16:creationId xmlns:a16="http://schemas.microsoft.com/office/drawing/2014/main" id="{8092427C-FEE2-41BA-8673-AB867BA3AF7E}"/>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210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43</xdr:row>
      <xdr:rowOff>0</xdr:rowOff>
    </xdr:from>
    <xdr:ext cx="304800" cy="305262"/>
    <xdr:sp macro="" textlink="">
      <xdr:nvSpPr>
        <xdr:cNvPr id="4239" name="AutoShape 231" descr="Resultado de imagen para beer consumption trend">
          <a:extLst>
            <a:ext uri="{FF2B5EF4-FFF2-40B4-BE49-F238E27FC236}">
              <a16:creationId xmlns:a16="http://schemas.microsoft.com/office/drawing/2014/main" id="{2F40CC91-99ED-411D-8E52-C52E2740F4F6}"/>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210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43</xdr:row>
      <xdr:rowOff>0</xdr:rowOff>
    </xdr:from>
    <xdr:ext cx="304800" cy="308437"/>
    <xdr:sp macro="" textlink="">
      <xdr:nvSpPr>
        <xdr:cNvPr id="4240" name="AutoShape 231" descr="Resultado de imagen para beer consumption trend">
          <a:extLst>
            <a:ext uri="{FF2B5EF4-FFF2-40B4-BE49-F238E27FC236}">
              <a16:creationId xmlns:a16="http://schemas.microsoft.com/office/drawing/2014/main" id="{93CF3990-DBC4-46B5-AFA0-349CFA6BD915}"/>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210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43</xdr:row>
      <xdr:rowOff>0</xdr:rowOff>
    </xdr:from>
    <xdr:ext cx="304800" cy="305262"/>
    <xdr:sp macro="" textlink="">
      <xdr:nvSpPr>
        <xdr:cNvPr id="4241" name="AutoShape 231" descr="Resultado de imagen para beer consumption trend">
          <a:extLst>
            <a:ext uri="{FF2B5EF4-FFF2-40B4-BE49-F238E27FC236}">
              <a16:creationId xmlns:a16="http://schemas.microsoft.com/office/drawing/2014/main" id="{91912B56-AD8A-4572-9EE8-01067A22935C}"/>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210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44</xdr:row>
      <xdr:rowOff>0</xdr:rowOff>
    </xdr:from>
    <xdr:ext cx="304800" cy="308437"/>
    <xdr:sp macro="" textlink="">
      <xdr:nvSpPr>
        <xdr:cNvPr id="4242" name="AutoShape 231" descr="Resultado de imagen para beer consumption trend">
          <a:extLst>
            <a:ext uri="{FF2B5EF4-FFF2-40B4-BE49-F238E27FC236}">
              <a16:creationId xmlns:a16="http://schemas.microsoft.com/office/drawing/2014/main" id="{252F7C64-8689-449B-BDC3-8B0C14526AAD}"/>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44</xdr:row>
      <xdr:rowOff>0</xdr:rowOff>
    </xdr:from>
    <xdr:ext cx="304800" cy="305262"/>
    <xdr:sp macro="" textlink="">
      <xdr:nvSpPr>
        <xdr:cNvPr id="4243" name="AutoShape 231" descr="Resultado de imagen para beer consumption trend">
          <a:extLst>
            <a:ext uri="{FF2B5EF4-FFF2-40B4-BE49-F238E27FC236}">
              <a16:creationId xmlns:a16="http://schemas.microsoft.com/office/drawing/2014/main" id="{54B4FD5D-5032-4216-A3C6-A26696206405}"/>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44</xdr:row>
      <xdr:rowOff>0</xdr:rowOff>
    </xdr:from>
    <xdr:ext cx="304800" cy="308437"/>
    <xdr:sp macro="" textlink="">
      <xdr:nvSpPr>
        <xdr:cNvPr id="4244" name="AutoShape 231" descr="Resultado de imagen para beer consumption trend">
          <a:extLst>
            <a:ext uri="{FF2B5EF4-FFF2-40B4-BE49-F238E27FC236}">
              <a16:creationId xmlns:a16="http://schemas.microsoft.com/office/drawing/2014/main" id="{99F737CB-98BB-4E5F-BFF4-EDAE5103B9B9}"/>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44</xdr:row>
      <xdr:rowOff>0</xdr:rowOff>
    </xdr:from>
    <xdr:ext cx="304800" cy="305262"/>
    <xdr:sp macro="" textlink="">
      <xdr:nvSpPr>
        <xdr:cNvPr id="4245" name="AutoShape 231" descr="Resultado de imagen para beer consumption trend">
          <a:extLst>
            <a:ext uri="{FF2B5EF4-FFF2-40B4-BE49-F238E27FC236}">
              <a16:creationId xmlns:a16="http://schemas.microsoft.com/office/drawing/2014/main" id="{6AF6E3C7-F3E4-4346-9903-66F2B92034AC}"/>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44</xdr:row>
      <xdr:rowOff>0</xdr:rowOff>
    </xdr:from>
    <xdr:ext cx="304800" cy="308437"/>
    <xdr:sp macro="" textlink="">
      <xdr:nvSpPr>
        <xdr:cNvPr id="4246" name="AutoShape 231" descr="Resultado de imagen para beer consumption trend">
          <a:extLst>
            <a:ext uri="{FF2B5EF4-FFF2-40B4-BE49-F238E27FC236}">
              <a16:creationId xmlns:a16="http://schemas.microsoft.com/office/drawing/2014/main" id="{7DA309B0-DDC5-4D2E-875D-EDCB8B9D57CA}"/>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44</xdr:row>
      <xdr:rowOff>0</xdr:rowOff>
    </xdr:from>
    <xdr:ext cx="304800" cy="305262"/>
    <xdr:sp macro="" textlink="">
      <xdr:nvSpPr>
        <xdr:cNvPr id="4247" name="AutoShape 231" descr="Resultado de imagen para beer consumption trend">
          <a:extLst>
            <a:ext uri="{FF2B5EF4-FFF2-40B4-BE49-F238E27FC236}">
              <a16:creationId xmlns:a16="http://schemas.microsoft.com/office/drawing/2014/main" id="{DF4BA3CD-9EC5-4898-9F80-2DDA7F471888}"/>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44</xdr:row>
      <xdr:rowOff>0</xdr:rowOff>
    </xdr:from>
    <xdr:ext cx="304800" cy="308437"/>
    <xdr:sp macro="" textlink="">
      <xdr:nvSpPr>
        <xdr:cNvPr id="4248" name="AutoShape 231" descr="Resultado de imagen para beer consumption trend">
          <a:extLst>
            <a:ext uri="{FF2B5EF4-FFF2-40B4-BE49-F238E27FC236}">
              <a16:creationId xmlns:a16="http://schemas.microsoft.com/office/drawing/2014/main" id="{A3D278CE-6433-4393-BE4E-71B2A73142D4}"/>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44</xdr:row>
      <xdr:rowOff>0</xdr:rowOff>
    </xdr:from>
    <xdr:ext cx="304800" cy="305262"/>
    <xdr:sp macro="" textlink="">
      <xdr:nvSpPr>
        <xdr:cNvPr id="4249" name="AutoShape 231" descr="Resultado de imagen para beer consumption trend">
          <a:extLst>
            <a:ext uri="{FF2B5EF4-FFF2-40B4-BE49-F238E27FC236}">
              <a16:creationId xmlns:a16="http://schemas.microsoft.com/office/drawing/2014/main" id="{CDBCF8BF-A598-40DF-9E15-2E600D32894A}"/>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44</xdr:row>
      <xdr:rowOff>0</xdr:rowOff>
    </xdr:from>
    <xdr:ext cx="304800" cy="308437"/>
    <xdr:sp macro="" textlink="">
      <xdr:nvSpPr>
        <xdr:cNvPr id="4250" name="AutoShape 231" descr="Resultado de imagen para beer consumption trend">
          <a:extLst>
            <a:ext uri="{FF2B5EF4-FFF2-40B4-BE49-F238E27FC236}">
              <a16:creationId xmlns:a16="http://schemas.microsoft.com/office/drawing/2014/main" id="{3187E120-1E19-442D-8D4F-B0CFBBA84012}"/>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44</xdr:row>
      <xdr:rowOff>0</xdr:rowOff>
    </xdr:from>
    <xdr:ext cx="304800" cy="305262"/>
    <xdr:sp macro="" textlink="">
      <xdr:nvSpPr>
        <xdr:cNvPr id="4251" name="AutoShape 231" descr="Resultado de imagen para beer consumption trend">
          <a:extLst>
            <a:ext uri="{FF2B5EF4-FFF2-40B4-BE49-F238E27FC236}">
              <a16:creationId xmlns:a16="http://schemas.microsoft.com/office/drawing/2014/main" id="{FFD72760-290D-4827-A774-0AB45475F942}"/>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44</xdr:row>
      <xdr:rowOff>0</xdr:rowOff>
    </xdr:from>
    <xdr:ext cx="304800" cy="308437"/>
    <xdr:sp macro="" textlink="">
      <xdr:nvSpPr>
        <xdr:cNvPr id="4252" name="AutoShape 231" descr="Resultado de imagen para beer consumption trend">
          <a:extLst>
            <a:ext uri="{FF2B5EF4-FFF2-40B4-BE49-F238E27FC236}">
              <a16:creationId xmlns:a16="http://schemas.microsoft.com/office/drawing/2014/main" id="{A7EB9BD1-7CF8-402C-8A55-2A073D425D1C}"/>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44</xdr:row>
      <xdr:rowOff>0</xdr:rowOff>
    </xdr:from>
    <xdr:ext cx="304800" cy="305262"/>
    <xdr:sp macro="" textlink="">
      <xdr:nvSpPr>
        <xdr:cNvPr id="4253" name="AutoShape 231" descr="Resultado de imagen para beer consumption trend">
          <a:extLst>
            <a:ext uri="{FF2B5EF4-FFF2-40B4-BE49-F238E27FC236}">
              <a16:creationId xmlns:a16="http://schemas.microsoft.com/office/drawing/2014/main" id="{650500FF-FACC-4ED4-80FE-393A16024685}"/>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44</xdr:row>
      <xdr:rowOff>0</xdr:rowOff>
    </xdr:from>
    <xdr:ext cx="304800" cy="308437"/>
    <xdr:sp macro="" textlink="">
      <xdr:nvSpPr>
        <xdr:cNvPr id="4254" name="AutoShape 231" descr="Resultado de imagen para beer consumption trend">
          <a:extLst>
            <a:ext uri="{FF2B5EF4-FFF2-40B4-BE49-F238E27FC236}">
              <a16:creationId xmlns:a16="http://schemas.microsoft.com/office/drawing/2014/main" id="{0AA41AA5-8A47-4102-9B73-51993BB20A24}"/>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44</xdr:row>
      <xdr:rowOff>0</xdr:rowOff>
    </xdr:from>
    <xdr:ext cx="304800" cy="305262"/>
    <xdr:sp macro="" textlink="">
      <xdr:nvSpPr>
        <xdr:cNvPr id="4255" name="AutoShape 231" descr="Resultado de imagen para beer consumption trend">
          <a:extLst>
            <a:ext uri="{FF2B5EF4-FFF2-40B4-BE49-F238E27FC236}">
              <a16:creationId xmlns:a16="http://schemas.microsoft.com/office/drawing/2014/main" id="{12BD9B23-553D-46D6-9EEA-F8A92305C57F}"/>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44</xdr:row>
      <xdr:rowOff>0</xdr:rowOff>
    </xdr:from>
    <xdr:ext cx="304800" cy="308437"/>
    <xdr:sp macro="" textlink="">
      <xdr:nvSpPr>
        <xdr:cNvPr id="4256" name="AutoShape 231" descr="Resultado de imagen para beer consumption trend">
          <a:extLst>
            <a:ext uri="{FF2B5EF4-FFF2-40B4-BE49-F238E27FC236}">
              <a16:creationId xmlns:a16="http://schemas.microsoft.com/office/drawing/2014/main" id="{DD467329-14D4-477B-BE67-38158D181207}"/>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44</xdr:row>
      <xdr:rowOff>0</xdr:rowOff>
    </xdr:from>
    <xdr:ext cx="304800" cy="305262"/>
    <xdr:sp macro="" textlink="">
      <xdr:nvSpPr>
        <xdr:cNvPr id="4257" name="AutoShape 231" descr="Resultado de imagen para beer consumption trend">
          <a:extLst>
            <a:ext uri="{FF2B5EF4-FFF2-40B4-BE49-F238E27FC236}">
              <a16:creationId xmlns:a16="http://schemas.microsoft.com/office/drawing/2014/main" id="{FBE7E8E4-2DEC-4FC6-8DA5-E9FE6AB57DA9}"/>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44</xdr:row>
      <xdr:rowOff>0</xdr:rowOff>
    </xdr:from>
    <xdr:ext cx="304800" cy="308437"/>
    <xdr:sp macro="" textlink="">
      <xdr:nvSpPr>
        <xdr:cNvPr id="4258" name="AutoShape 231" descr="Resultado de imagen para beer consumption trend">
          <a:extLst>
            <a:ext uri="{FF2B5EF4-FFF2-40B4-BE49-F238E27FC236}">
              <a16:creationId xmlns:a16="http://schemas.microsoft.com/office/drawing/2014/main" id="{33D1308F-8D53-4EAD-9FF9-62151469E8DF}"/>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210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44</xdr:row>
      <xdr:rowOff>0</xdr:rowOff>
    </xdr:from>
    <xdr:ext cx="304800" cy="305262"/>
    <xdr:sp macro="" textlink="">
      <xdr:nvSpPr>
        <xdr:cNvPr id="4259" name="AutoShape 231" descr="Resultado de imagen para beer consumption trend">
          <a:extLst>
            <a:ext uri="{FF2B5EF4-FFF2-40B4-BE49-F238E27FC236}">
              <a16:creationId xmlns:a16="http://schemas.microsoft.com/office/drawing/2014/main" id="{227FE432-9A9D-4FE7-9BAC-E047DA578D7A}"/>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210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44</xdr:row>
      <xdr:rowOff>0</xdr:rowOff>
    </xdr:from>
    <xdr:ext cx="304800" cy="308437"/>
    <xdr:sp macro="" textlink="">
      <xdr:nvSpPr>
        <xdr:cNvPr id="4260" name="AutoShape 231" descr="Resultado de imagen para beer consumption trend">
          <a:extLst>
            <a:ext uri="{FF2B5EF4-FFF2-40B4-BE49-F238E27FC236}">
              <a16:creationId xmlns:a16="http://schemas.microsoft.com/office/drawing/2014/main" id="{C0C96C2A-2F8D-483F-9AD7-108BBA854DD0}"/>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210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44</xdr:row>
      <xdr:rowOff>0</xdr:rowOff>
    </xdr:from>
    <xdr:ext cx="304800" cy="305262"/>
    <xdr:sp macro="" textlink="">
      <xdr:nvSpPr>
        <xdr:cNvPr id="4261" name="AutoShape 231" descr="Resultado de imagen para beer consumption trend">
          <a:extLst>
            <a:ext uri="{FF2B5EF4-FFF2-40B4-BE49-F238E27FC236}">
              <a16:creationId xmlns:a16="http://schemas.microsoft.com/office/drawing/2014/main" id="{04A9F277-FB36-4604-8F3A-91C085C54A04}"/>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210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44</xdr:row>
      <xdr:rowOff>0</xdr:rowOff>
    </xdr:from>
    <xdr:ext cx="304800" cy="308437"/>
    <xdr:sp macro="" textlink="">
      <xdr:nvSpPr>
        <xdr:cNvPr id="4262" name="AutoShape 231" descr="Resultado de imagen para beer consumption trend">
          <a:extLst>
            <a:ext uri="{FF2B5EF4-FFF2-40B4-BE49-F238E27FC236}">
              <a16:creationId xmlns:a16="http://schemas.microsoft.com/office/drawing/2014/main" id="{C994076E-4BF5-4F15-BC32-1A7D53100893}"/>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210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44</xdr:row>
      <xdr:rowOff>0</xdr:rowOff>
    </xdr:from>
    <xdr:ext cx="304800" cy="305262"/>
    <xdr:sp macro="" textlink="">
      <xdr:nvSpPr>
        <xdr:cNvPr id="4263" name="AutoShape 231" descr="Resultado de imagen para beer consumption trend">
          <a:extLst>
            <a:ext uri="{FF2B5EF4-FFF2-40B4-BE49-F238E27FC236}">
              <a16:creationId xmlns:a16="http://schemas.microsoft.com/office/drawing/2014/main" id="{27ADC57B-5208-463D-B26E-FC60EA56A205}"/>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210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44</xdr:row>
      <xdr:rowOff>0</xdr:rowOff>
    </xdr:from>
    <xdr:ext cx="304800" cy="308437"/>
    <xdr:sp macro="" textlink="">
      <xdr:nvSpPr>
        <xdr:cNvPr id="4264" name="AutoShape 231" descr="Resultado de imagen para beer consumption trend">
          <a:extLst>
            <a:ext uri="{FF2B5EF4-FFF2-40B4-BE49-F238E27FC236}">
              <a16:creationId xmlns:a16="http://schemas.microsoft.com/office/drawing/2014/main" id="{6648259F-2872-4401-ADC1-0FA67A0FEC4C}"/>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210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44</xdr:row>
      <xdr:rowOff>0</xdr:rowOff>
    </xdr:from>
    <xdr:ext cx="304800" cy="305262"/>
    <xdr:sp macro="" textlink="">
      <xdr:nvSpPr>
        <xdr:cNvPr id="4265" name="AutoShape 231" descr="Resultado de imagen para beer consumption trend">
          <a:extLst>
            <a:ext uri="{FF2B5EF4-FFF2-40B4-BE49-F238E27FC236}">
              <a16:creationId xmlns:a16="http://schemas.microsoft.com/office/drawing/2014/main" id="{A0A0CC89-3C38-4CB4-84DE-A804114BA4FF}"/>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210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44</xdr:row>
      <xdr:rowOff>0</xdr:rowOff>
    </xdr:from>
    <xdr:ext cx="304800" cy="308437"/>
    <xdr:sp macro="" textlink="">
      <xdr:nvSpPr>
        <xdr:cNvPr id="4266" name="AutoShape 231" descr="Resultado de imagen para beer consumption trend">
          <a:extLst>
            <a:ext uri="{FF2B5EF4-FFF2-40B4-BE49-F238E27FC236}">
              <a16:creationId xmlns:a16="http://schemas.microsoft.com/office/drawing/2014/main" id="{6B5D4BD6-A569-4372-A4B6-5D09D1D96487}"/>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210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44</xdr:row>
      <xdr:rowOff>0</xdr:rowOff>
    </xdr:from>
    <xdr:ext cx="304800" cy="305262"/>
    <xdr:sp macro="" textlink="">
      <xdr:nvSpPr>
        <xdr:cNvPr id="4267" name="AutoShape 231" descr="Resultado de imagen para beer consumption trend">
          <a:extLst>
            <a:ext uri="{FF2B5EF4-FFF2-40B4-BE49-F238E27FC236}">
              <a16:creationId xmlns:a16="http://schemas.microsoft.com/office/drawing/2014/main" id="{8C0CCF6F-D5F5-424A-8094-F8CAE97AA70D}"/>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210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8437"/>
    <xdr:sp macro="" textlink="">
      <xdr:nvSpPr>
        <xdr:cNvPr id="4268" name="AutoShape 231" descr="Resultado de imagen para beer consumption trend">
          <a:extLst>
            <a:ext uri="{FF2B5EF4-FFF2-40B4-BE49-F238E27FC236}">
              <a16:creationId xmlns:a16="http://schemas.microsoft.com/office/drawing/2014/main" id="{5149F4C4-E115-4345-8DE6-2F36B5209156}"/>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5262"/>
    <xdr:sp macro="" textlink="">
      <xdr:nvSpPr>
        <xdr:cNvPr id="4269" name="AutoShape 231" descr="Resultado de imagen para beer consumption trend">
          <a:extLst>
            <a:ext uri="{FF2B5EF4-FFF2-40B4-BE49-F238E27FC236}">
              <a16:creationId xmlns:a16="http://schemas.microsoft.com/office/drawing/2014/main" id="{81840095-8103-4905-8684-ACFCB86B8A66}"/>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8437"/>
    <xdr:sp macro="" textlink="">
      <xdr:nvSpPr>
        <xdr:cNvPr id="4270" name="AutoShape 231" descr="Resultado de imagen para beer consumption trend">
          <a:extLst>
            <a:ext uri="{FF2B5EF4-FFF2-40B4-BE49-F238E27FC236}">
              <a16:creationId xmlns:a16="http://schemas.microsoft.com/office/drawing/2014/main" id="{EC20385C-268A-4A14-883E-593BC25A176F}"/>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5262"/>
    <xdr:sp macro="" textlink="">
      <xdr:nvSpPr>
        <xdr:cNvPr id="4271" name="AutoShape 231" descr="Resultado de imagen para beer consumption trend">
          <a:extLst>
            <a:ext uri="{FF2B5EF4-FFF2-40B4-BE49-F238E27FC236}">
              <a16:creationId xmlns:a16="http://schemas.microsoft.com/office/drawing/2014/main" id="{4F93352D-004C-4692-8EE2-7DBC3A351049}"/>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8437"/>
    <xdr:sp macro="" textlink="">
      <xdr:nvSpPr>
        <xdr:cNvPr id="4272" name="AutoShape 231" descr="Resultado de imagen para beer consumption trend">
          <a:extLst>
            <a:ext uri="{FF2B5EF4-FFF2-40B4-BE49-F238E27FC236}">
              <a16:creationId xmlns:a16="http://schemas.microsoft.com/office/drawing/2014/main" id="{A247CBA1-8BE5-4955-BA40-ED28568982F7}"/>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5262"/>
    <xdr:sp macro="" textlink="">
      <xdr:nvSpPr>
        <xdr:cNvPr id="4273" name="AutoShape 231" descr="Resultado de imagen para beer consumption trend">
          <a:extLst>
            <a:ext uri="{FF2B5EF4-FFF2-40B4-BE49-F238E27FC236}">
              <a16:creationId xmlns:a16="http://schemas.microsoft.com/office/drawing/2014/main" id="{4C64ABD0-8C12-409C-B475-54C610CF7DA1}"/>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8437"/>
    <xdr:sp macro="" textlink="">
      <xdr:nvSpPr>
        <xdr:cNvPr id="4274" name="AutoShape 231" descr="Resultado de imagen para beer consumption trend">
          <a:extLst>
            <a:ext uri="{FF2B5EF4-FFF2-40B4-BE49-F238E27FC236}">
              <a16:creationId xmlns:a16="http://schemas.microsoft.com/office/drawing/2014/main" id="{46D0428C-D152-45AE-ACAC-03F60815ACC0}"/>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5262"/>
    <xdr:sp macro="" textlink="">
      <xdr:nvSpPr>
        <xdr:cNvPr id="4275" name="AutoShape 231" descr="Resultado de imagen para beer consumption trend">
          <a:extLst>
            <a:ext uri="{FF2B5EF4-FFF2-40B4-BE49-F238E27FC236}">
              <a16:creationId xmlns:a16="http://schemas.microsoft.com/office/drawing/2014/main" id="{0858D0EB-1112-481C-B305-99F718364A52}"/>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8437"/>
    <xdr:sp macro="" textlink="">
      <xdr:nvSpPr>
        <xdr:cNvPr id="4276" name="AutoShape 231" descr="Resultado de imagen para beer consumption trend">
          <a:extLst>
            <a:ext uri="{FF2B5EF4-FFF2-40B4-BE49-F238E27FC236}">
              <a16:creationId xmlns:a16="http://schemas.microsoft.com/office/drawing/2014/main" id="{B7B4E172-9B5A-4E4C-966F-4AB3505AE109}"/>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5262"/>
    <xdr:sp macro="" textlink="">
      <xdr:nvSpPr>
        <xdr:cNvPr id="4277" name="AutoShape 231" descr="Resultado de imagen para beer consumption trend">
          <a:extLst>
            <a:ext uri="{FF2B5EF4-FFF2-40B4-BE49-F238E27FC236}">
              <a16:creationId xmlns:a16="http://schemas.microsoft.com/office/drawing/2014/main" id="{611659DC-DA94-4B41-AB82-1582E522333D}"/>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8437"/>
    <xdr:sp macro="" textlink="">
      <xdr:nvSpPr>
        <xdr:cNvPr id="4278" name="AutoShape 231" descr="Resultado de imagen para beer consumption trend">
          <a:extLst>
            <a:ext uri="{FF2B5EF4-FFF2-40B4-BE49-F238E27FC236}">
              <a16:creationId xmlns:a16="http://schemas.microsoft.com/office/drawing/2014/main" id="{246D6528-99CF-4D1D-9594-43390F1A4AC1}"/>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5262"/>
    <xdr:sp macro="" textlink="">
      <xdr:nvSpPr>
        <xdr:cNvPr id="4279" name="AutoShape 231" descr="Resultado de imagen para beer consumption trend">
          <a:extLst>
            <a:ext uri="{FF2B5EF4-FFF2-40B4-BE49-F238E27FC236}">
              <a16:creationId xmlns:a16="http://schemas.microsoft.com/office/drawing/2014/main" id="{43843342-2FA2-41D4-9987-95F07A24FF09}"/>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8437"/>
    <xdr:sp macro="" textlink="">
      <xdr:nvSpPr>
        <xdr:cNvPr id="4280" name="AutoShape 231" descr="Resultado de imagen para beer consumption trend">
          <a:extLst>
            <a:ext uri="{FF2B5EF4-FFF2-40B4-BE49-F238E27FC236}">
              <a16:creationId xmlns:a16="http://schemas.microsoft.com/office/drawing/2014/main" id="{96A92CD3-CCBD-438F-97DB-B68437EFC3AC}"/>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5262"/>
    <xdr:sp macro="" textlink="">
      <xdr:nvSpPr>
        <xdr:cNvPr id="4281" name="AutoShape 231" descr="Resultado de imagen para beer consumption trend">
          <a:extLst>
            <a:ext uri="{FF2B5EF4-FFF2-40B4-BE49-F238E27FC236}">
              <a16:creationId xmlns:a16="http://schemas.microsoft.com/office/drawing/2014/main" id="{3A8CFF25-1EED-4D82-A153-38ED350DD496}"/>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8437"/>
    <xdr:sp macro="" textlink="">
      <xdr:nvSpPr>
        <xdr:cNvPr id="4282" name="AutoShape 231" descr="Resultado de imagen para beer consumption trend">
          <a:extLst>
            <a:ext uri="{FF2B5EF4-FFF2-40B4-BE49-F238E27FC236}">
              <a16:creationId xmlns:a16="http://schemas.microsoft.com/office/drawing/2014/main" id="{1171BE61-DA9C-4C25-B126-EEACD39913DD}"/>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2284364"/>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5262"/>
    <xdr:sp macro="" textlink="">
      <xdr:nvSpPr>
        <xdr:cNvPr id="4283" name="AutoShape 231" descr="Resultado de imagen para beer consumption trend">
          <a:extLst>
            <a:ext uri="{FF2B5EF4-FFF2-40B4-BE49-F238E27FC236}">
              <a16:creationId xmlns:a16="http://schemas.microsoft.com/office/drawing/2014/main" id="{09181D85-0683-4F9E-AF81-C6F52F0A972F}"/>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2284364"/>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8437"/>
    <xdr:sp macro="" textlink="">
      <xdr:nvSpPr>
        <xdr:cNvPr id="4284" name="AutoShape 231" descr="Resultado de imagen para beer consumption trend">
          <a:extLst>
            <a:ext uri="{FF2B5EF4-FFF2-40B4-BE49-F238E27FC236}">
              <a16:creationId xmlns:a16="http://schemas.microsoft.com/office/drawing/2014/main" id="{47F7A253-65F2-4DF6-A3F9-9C2A1613E8A5}"/>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5262"/>
    <xdr:sp macro="" textlink="">
      <xdr:nvSpPr>
        <xdr:cNvPr id="4285" name="AutoShape 231" descr="Resultado de imagen para beer consumption trend">
          <a:extLst>
            <a:ext uri="{FF2B5EF4-FFF2-40B4-BE49-F238E27FC236}">
              <a16:creationId xmlns:a16="http://schemas.microsoft.com/office/drawing/2014/main" id="{8F746E71-BEE9-4BF0-A38B-91B573F2002C}"/>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8437"/>
    <xdr:sp macro="" textlink="">
      <xdr:nvSpPr>
        <xdr:cNvPr id="4286" name="AutoShape 231" descr="Resultado de imagen para beer consumption trend">
          <a:extLst>
            <a:ext uri="{FF2B5EF4-FFF2-40B4-BE49-F238E27FC236}">
              <a16:creationId xmlns:a16="http://schemas.microsoft.com/office/drawing/2014/main" id="{6DFFEB53-AB9B-4667-AED0-732B3AE9B5BD}"/>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5262"/>
    <xdr:sp macro="" textlink="">
      <xdr:nvSpPr>
        <xdr:cNvPr id="4287" name="AutoShape 231" descr="Resultado de imagen para beer consumption trend">
          <a:extLst>
            <a:ext uri="{FF2B5EF4-FFF2-40B4-BE49-F238E27FC236}">
              <a16:creationId xmlns:a16="http://schemas.microsoft.com/office/drawing/2014/main" id="{FD2F450E-EC23-43DB-AD12-FEDC4C0ED7E0}"/>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8437"/>
    <xdr:sp macro="" textlink="">
      <xdr:nvSpPr>
        <xdr:cNvPr id="4288" name="AutoShape 231" descr="Resultado de imagen para beer consumption trend">
          <a:extLst>
            <a:ext uri="{FF2B5EF4-FFF2-40B4-BE49-F238E27FC236}">
              <a16:creationId xmlns:a16="http://schemas.microsoft.com/office/drawing/2014/main" id="{B0B9CC7D-A88F-45DA-9361-2BE90DF99F98}"/>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5262"/>
    <xdr:sp macro="" textlink="">
      <xdr:nvSpPr>
        <xdr:cNvPr id="4289" name="AutoShape 231" descr="Resultado de imagen para beer consumption trend">
          <a:extLst>
            <a:ext uri="{FF2B5EF4-FFF2-40B4-BE49-F238E27FC236}">
              <a16:creationId xmlns:a16="http://schemas.microsoft.com/office/drawing/2014/main" id="{F906612E-DD48-4FF5-B4E3-AF804D930FDF}"/>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8437"/>
    <xdr:sp macro="" textlink="">
      <xdr:nvSpPr>
        <xdr:cNvPr id="4290" name="AutoShape 231" descr="Resultado de imagen para beer consumption trend">
          <a:extLst>
            <a:ext uri="{FF2B5EF4-FFF2-40B4-BE49-F238E27FC236}">
              <a16:creationId xmlns:a16="http://schemas.microsoft.com/office/drawing/2014/main" id="{B50E3B58-2621-4A72-A9D0-49A8BC140352}"/>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5262"/>
    <xdr:sp macro="" textlink="">
      <xdr:nvSpPr>
        <xdr:cNvPr id="4291" name="AutoShape 231" descr="Resultado de imagen para beer consumption trend">
          <a:extLst>
            <a:ext uri="{FF2B5EF4-FFF2-40B4-BE49-F238E27FC236}">
              <a16:creationId xmlns:a16="http://schemas.microsoft.com/office/drawing/2014/main" id="{BAC6B71C-ABF5-42F5-B84C-30182AA7573B}"/>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8437"/>
    <xdr:sp macro="" textlink="">
      <xdr:nvSpPr>
        <xdr:cNvPr id="4292" name="AutoShape 231" descr="Resultado de imagen para beer consumption trend">
          <a:extLst>
            <a:ext uri="{FF2B5EF4-FFF2-40B4-BE49-F238E27FC236}">
              <a16:creationId xmlns:a16="http://schemas.microsoft.com/office/drawing/2014/main" id="{233BB116-D051-401D-A9BD-19A4252A0844}"/>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5262"/>
    <xdr:sp macro="" textlink="">
      <xdr:nvSpPr>
        <xdr:cNvPr id="4293" name="AutoShape 231" descr="Resultado de imagen para beer consumption trend">
          <a:extLst>
            <a:ext uri="{FF2B5EF4-FFF2-40B4-BE49-F238E27FC236}">
              <a16:creationId xmlns:a16="http://schemas.microsoft.com/office/drawing/2014/main" id="{DEA4EE33-E519-4F63-8CE9-B7DEF21880ED}"/>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8437"/>
    <xdr:sp macro="" textlink="">
      <xdr:nvSpPr>
        <xdr:cNvPr id="4294" name="AutoShape 231" descr="Resultado de imagen para beer consumption trend">
          <a:extLst>
            <a:ext uri="{FF2B5EF4-FFF2-40B4-BE49-F238E27FC236}">
              <a16:creationId xmlns:a16="http://schemas.microsoft.com/office/drawing/2014/main" id="{4A6ABEFA-CFA2-46F3-92E3-BFB5BCCC0E02}"/>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5262"/>
    <xdr:sp macro="" textlink="">
      <xdr:nvSpPr>
        <xdr:cNvPr id="4295" name="AutoShape 231" descr="Resultado de imagen para beer consumption trend">
          <a:extLst>
            <a:ext uri="{FF2B5EF4-FFF2-40B4-BE49-F238E27FC236}">
              <a16:creationId xmlns:a16="http://schemas.microsoft.com/office/drawing/2014/main" id="{02F2FD56-9CF9-4879-85D8-D1880DF9EF8F}"/>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8437"/>
    <xdr:sp macro="" textlink="">
      <xdr:nvSpPr>
        <xdr:cNvPr id="4296" name="AutoShape 231" descr="Resultado de imagen para beer consumption trend">
          <a:extLst>
            <a:ext uri="{FF2B5EF4-FFF2-40B4-BE49-F238E27FC236}">
              <a16:creationId xmlns:a16="http://schemas.microsoft.com/office/drawing/2014/main" id="{B4F8DE54-EC86-4E3A-B846-8ED4E99C1F1B}"/>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5262"/>
    <xdr:sp macro="" textlink="">
      <xdr:nvSpPr>
        <xdr:cNvPr id="4297" name="AutoShape 231" descr="Resultado de imagen para beer consumption trend">
          <a:extLst>
            <a:ext uri="{FF2B5EF4-FFF2-40B4-BE49-F238E27FC236}">
              <a16:creationId xmlns:a16="http://schemas.microsoft.com/office/drawing/2014/main" id="{892F4405-5F03-47FC-B155-F27DF06CAEA5}"/>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8437"/>
    <xdr:sp macro="" textlink="">
      <xdr:nvSpPr>
        <xdr:cNvPr id="4298" name="AutoShape 231" descr="Resultado de imagen para beer consumption trend">
          <a:extLst>
            <a:ext uri="{FF2B5EF4-FFF2-40B4-BE49-F238E27FC236}">
              <a16:creationId xmlns:a16="http://schemas.microsoft.com/office/drawing/2014/main" id="{2FFB6745-8093-4625-B311-0B718FD6C7A0}"/>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5262"/>
    <xdr:sp macro="" textlink="">
      <xdr:nvSpPr>
        <xdr:cNvPr id="4299" name="AutoShape 231" descr="Resultado de imagen para beer consumption trend">
          <a:extLst>
            <a:ext uri="{FF2B5EF4-FFF2-40B4-BE49-F238E27FC236}">
              <a16:creationId xmlns:a16="http://schemas.microsoft.com/office/drawing/2014/main" id="{C3F766BB-6B34-46AA-A4C2-0E804CC763A1}"/>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8437"/>
    <xdr:sp macro="" textlink="">
      <xdr:nvSpPr>
        <xdr:cNvPr id="4300" name="AutoShape 231" descr="Resultado de imagen para beer consumption trend">
          <a:extLst>
            <a:ext uri="{FF2B5EF4-FFF2-40B4-BE49-F238E27FC236}">
              <a16:creationId xmlns:a16="http://schemas.microsoft.com/office/drawing/2014/main" id="{BEA718F1-B0CF-4C14-A545-CC5E9FFC58AB}"/>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5262"/>
    <xdr:sp macro="" textlink="">
      <xdr:nvSpPr>
        <xdr:cNvPr id="4301" name="AutoShape 231" descr="Resultado de imagen para beer consumption trend">
          <a:extLst>
            <a:ext uri="{FF2B5EF4-FFF2-40B4-BE49-F238E27FC236}">
              <a16:creationId xmlns:a16="http://schemas.microsoft.com/office/drawing/2014/main" id="{AB7E88C2-2E89-4D99-BFA6-F542E375DCFC}"/>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8437"/>
    <xdr:sp macro="" textlink="">
      <xdr:nvSpPr>
        <xdr:cNvPr id="4302" name="AutoShape 231" descr="Resultado de imagen para beer consumption trend">
          <a:extLst>
            <a:ext uri="{FF2B5EF4-FFF2-40B4-BE49-F238E27FC236}">
              <a16:creationId xmlns:a16="http://schemas.microsoft.com/office/drawing/2014/main" id="{54470A40-323E-4509-88D0-7CEFE7786E25}"/>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5262"/>
    <xdr:sp macro="" textlink="">
      <xdr:nvSpPr>
        <xdr:cNvPr id="4303" name="AutoShape 231" descr="Resultado de imagen para beer consumption trend">
          <a:extLst>
            <a:ext uri="{FF2B5EF4-FFF2-40B4-BE49-F238E27FC236}">
              <a16:creationId xmlns:a16="http://schemas.microsoft.com/office/drawing/2014/main" id="{A78E225F-FE0A-43DC-AF58-28D1082CCF87}"/>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8437"/>
    <xdr:sp macro="" textlink="">
      <xdr:nvSpPr>
        <xdr:cNvPr id="4304" name="AutoShape 231" descr="Resultado de imagen para beer consumption trend">
          <a:extLst>
            <a:ext uri="{FF2B5EF4-FFF2-40B4-BE49-F238E27FC236}">
              <a16:creationId xmlns:a16="http://schemas.microsoft.com/office/drawing/2014/main" id="{758DC695-D5F2-4B44-B3C4-32554DA04A9A}"/>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5262"/>
    <xdr:sp macro="" textlink="">
      <xdr:nvSpPr>
        <xdr:cNvPr id="4305" name="AutoShape 231" descr="Resultado de imagen para beer consumption trend">
          <a:extLst>
            <a:ext uri="{FF2B5EF4-FFF2-40B4-BE49-F238E27FC236}">
              <a16:creationId xmlns:a16="http://schemas.microsoft.com/office/drawing/2014/main" id="{1A3FC2A9-7EFC-4B9A-9FC4-FC88899693D8}"/>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8437"/>
    <xdr:sp macro="" textlink="">
      <xdr:nvSpPr>
        <xdr:cNvPr id="4306" name="AutoShape 231" descr="Resultado de imagen para beer consumption trend">
          <a:extLst>
            <a:ext uri="{FF2B5EF4-FFF2-40B4-BE49-F238E27FC236}">
              <a16:creationId xmlns:a16="http://schemas.microsoft.com/office/drawing/2014/main" id="{4112173B-2849-446D-B92D-CFE1311F2EDA}"/>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5262"/>
    <xdr:sp macro="" textlink="">
      <xdr:nvSpPr>
        <xdr:cNvPr id="4307" name="AutoShape 231" descr="Resultado de imagen para beer consumption trend">
          <a:extLst>
            <a:ext uri="{FF2B5EF4-FFF2-40B4-BE49-F238E27FC236}">
              <a16:creationId xmlns:a16="http://schemas.microsoft.com/office/drawing/2014/main" id="{FEE3CD36-C076-4846-A0DD-63B249507864}"/>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8437"/>
    <xdr:sp macro="" textlink="">
      <xdr:nvSpPr>
        <xdr:cNvPr id="4308" name="AutoShape 231" descr="Resultado de imagen para beer consumption trend">
          <a:extLst>
            <a:ext uri="{FF2B5EF4-FFF2-40B4-BE49-F238E27FC236}">
              <a16:creationId xmlns:a16="http://schemas.microsoft.com/office/drawing/2014/main" id="{CDC1F467-DAF6-4B01-8FC9-EC1DAB340561}"/>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45</xdr:row>
      <xdr:rowOff>0</xdr:rowOff>
    </xdr:from>
    <xdr:ext cx="304800" cy="305262"/>
    <xdr:sp macro="" textlink="">
      <xdr:nvSpPr>
        <xdr:cNvPr id="4309" name="AutoShape 231" descr="Resultado de imagen para beer consumption trend">
          <a:extLst>
            <a:ext uri="{FF2B5EF4-FFF2-40B4-BE49-F238E27FC236}">
              <a16:creationId xmlns:a16="http://schemas.microsoft.com/office/drawing/2014/main" id="{B9679D8B-971C-4A6A-A646-41DC0BB35334}"/>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8437"/>
    <xdr:sp macro="" textlink="">
      <xdr:nvSpPr>
        <xdr:cNvPr id="4310" name="AutoShape 231" descr="Resultado de imagen para beer consumption trend">
          <a:extLst>
            <a:ext uri="{FF2B5EF4-FFF2-40B4-BE49-F238E27FC236}">
              <a16:creationId xmlns:a16="http://schemas.microsoft.com/office/drawing/2014/main" id="{F51E87E0-3A93-4541-AD63-1DD01A2B5D7E}"/>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5262"/>
    <xdr:sp macro="" textlink="">
      <xdr:nvSpPr>
        <xdr:cNvPr id="4311" name="AutoShape 231" descr="Resultado de imagen para beer consumption trend">
          <a:extLst>
            <a:ext uri="{FF2B5EF4-FFF2-40B4-BE49-F238E27FC236}">
              <a16:creationId xmlns:a16="http://schemas.microsoft.com/office/drawing/2014/main" id="{DE4CF702-A3A4-45E5-9EF1-5302366B35CE}"/>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8437"/>
    <xdr:sp macro="" textlink="">
      <xdr:nvSpPr>
        <xdr:cNvPr id="4312" name="AutoShape 231" descr="Resultado de imagen para beer consumption trend">
          <a:extLst>
            <a:ext uri="{FF2B5EF4-FFF2-40B4-BE49-F238E27FC236}">
              <a16:creationId xmlns:a16="http://schemas.microsoft.com/office/drawing/2014/main" id="{CC030114-45A3-49C6-AD80-55BBCD9808E3}"/>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5262"/>
    <xdr:sp macro="" textlink="">
      <xdr:nvSpPr>
        <xdr:cNvPr id="4313" name="AutoShape 231" descr="Resultado de imagen para beer consumption trend">
          <a:extLst>
            <a:ext uri="{FF2B5EF4-FFF2-40B4-BE49-F238E27FC236}">
              <a16:creationId xmlns:a16="http://schemas.microsoft.com/office/drawing/2014/main" id="{5E932489-12BB-451C-B628-F4406014C9CA}"/>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8437"/>
    <xdr:sp macro="" textlink="">
      <xdr:nvSpPr>
        <xdr:cNvPr id="4314" name="AutoShape 231" descr="Resultado de imagen para beer consumption trend">
          <a:extLst>
            <a:ext uri="{FF2B5EF4-FFF2-40B4-BE49-F238E27FC236}">
              <a16:creationId xmlns:a16="http://schemas.microsoft.com/office/drawing/2014/main" id="{28A9F382-124A-44D5-A33E-B71F023BDFD1}"/>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5262"/>
    <xdr:sp macro="" textlink="">
      <xdr:nvSpPr>
        <xdr:cNvPr id="4315" name="AutoShape 231" descr="Resultado de imagen para beer consumption trend">
          <a:extLst>
            <a:ext uri="{FF2B5EF4-FFF2-40B4-BE49-F238E27FC236}">
              <a16:creationId xmlns:a16="http://schemas.microsoft.com/office/drawing/2014/main" id="{9D8F2B13-B208-482B-B8AD-DEE319A719C2}"/>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8437"/>
    <xdr:sp macro="" textlink="">
      <xdr:nvSpPr>
        <xdr:cNvPr id="4316" name="AutoShape 231" descr="Resultado de imagen para beer consumption trend">
          <a:extLst>
            <a:ext uri="{FF2B5EF4-FFF2-40B4-BE49-F238E27FC236}">
              <a16:creationId xmlns:a16="http://schemas.microsoft.com/office/drawing/2014/main" id="{0311BF54-36FC-490C-928A-B59254C02F35}"/>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5262"/>
    <xdr:sp macro="" textlink="">
      <xdr:nvSpPr>
        <xdr:cNvPr id="4317" name="AutoShape 231" descr="Resultado de imagen para beer consumption trend">
          <a:extLst>
            <a:ext uri="{FF2B5EF4-FFF2-40B4-BE49-F238E27FC236}">
              <a16:creationId xmlns:a16="http://schemas.microsoft.com/office/drawing/2014/main" id="{74291872-977B-4F10-9EBA-8D65B9CC413F}"/>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8437"/>
    <xdr:sp macro="" textlink="">
      <xdr:nvSpPr>
        <xdr:cNvPr id="4318" name="AutoShape 231" descr="Resultado de imagen para beer consumption trend">
          <a:extLst>
            <a:ext uri="{FF2B5EF4-FFF2-40B4-BE49-F238E27FC236}">
              <a16:creationId xmlns:a16="http://schemas.microsoft.com/office/drawing/2014/main" id="{5E71E0F3-97FD-4BE0-BDDC-A589DDD22CB4}"/>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5262"/>
    <xdr:sp macro="" textlink="">
      <xdr:nvSpPr>
        <xdr:cNvPr id="4319" name="AutoShape 231" descr="Resultado de imagen para beer consumption trend">
          <a:extLst>
            <a:ext uri="{FF2B5EF4-FFF2-40B4-BE49-F238E27FC236}">
              <a16:creationId xmlns:a16="http://schemas.microsoft.com/office/drawing/2014/main" id="{4A431C88-0C4A-422E-98AE-DE495A884E59}"/>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8437"/>
    <xdr:sp macro="" textlink="">
      <xdr:nvSpPr>
        <xdr:cNvPr id="4320" name="AutoShape 231" descr="Resultado de imagen para beer consumption trend">
          <a:extLst>
            <a:ext uri="{FF2B5EF4-FFF2-40B4-BE49-F238E27FC236}">
              <a16:creationId xmlns:a16="http://schemas.microsoft.com/office/drawing/2014/main" id="{67CC1044-7994-46FD-8868-26A1D5375B48}"/>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5262"/>
    <xdr:sp macro="" textlink="">
      <xdr:nvSpPr>
        <xdr:cNvPr id="4321" name="AutoShape 231" descr="Resultado de imagen para beer consumption trend">
          <a:extLst>
            <a:ext uri="{FF2B5EF4-FFF2-40B4-BE49-F238E27FC236}">
              <a16:creationId xmlns:a16="http://schemas.microsoft.com/office/drawing/2014/main" id="{1ED396E9-5EF2-412A-96C6-E530113657F3}"/>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8437"/>
    <xdr:sp macro="" textlink="">
      <xdr:nvSpPr>
        <xdr:cNvPr id="4322" name="AutoShape 231" descr="Resultado de imagen para beer consumption trend">
          <a:extLst>
            <a:ext uri="{FF2B5EF4-FFF2-40B4-BE49-F238E27FC236}">
              <a16:creationId xmlns:a16="http://schemas.microsoft.com/office/drawing/2014/main" id="{3FDBDABE-E77F-4957-9A37-599121406FD1}"/>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5262"/>
    <xdr:sp macro="" textlink="">
      <xdr:nvSpPr>
        <xdr:cNvPr id="4323" name="AutoShape 231" descr="Resultado de imagen para beer consumption trend">
          <a:extLst>
            <a:ext uri="{FF2B5EF4-FFF2-40B4-BE49-F238E27FC236}">
              <a16:creationId xmlns:a16="http://schemas.microsoft.com/office/drawing/2014/main" id="{3A6FF2C1-E85E-462C-8389-02515BE55134}"/>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8437"/>
    <xdr:sp macro="" textlink="">
      <xdr:nvSpPr>
        <xdr:cNvPr id="4324" name="AutoShape 231" descr="Resultado de imagen para beer consumption trend">
          <a:extLst>
            <a:ext uri="{FF2B5EF4-FFF2-40B4-BE49-F238E27FC236}">
              <a16:creationId xmlns:a16="http://schemas.microsoft.com/office/drawing/2014/main" id="{02D3FA98-ECBF-4B9C-BC11-4DF143287163}"/>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5262"/>
    <xdr:sp macro="" textlink="">
      <xdr:nvSpPr>
        <xdr:cNvPr id="4325" name="AutoShape 231" descr="Resultado de imagen para beer consumption trend">
          <a:extLst>
            <a:ext uri="{FF2B5EF4-FFF2-40B4-BE49-F238E27FC236}">
              <a16:creationId xmlns:a16="http://schemas.microsoft.com/office/drawing/2014/main" id="{DF77E8CA-4F8C-466E-A593-5EFAF457B746}"/>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8437"/>
    <xdr:sp macro="" textlink="">
      <xdr:nvSpPr>
        <xdr:cNvPr id="4326" name="AutoShape 231" descr="Resultado de imagen para beer consumption trend">
          <a:extLst>
            <a:ext uri="{FF2B5EF4-FFF2-40B4-BE49-F238E27FC236}">
              <a16:creationId xmlns:a16="http://schemas.microsoft.com/office/drawing/2014/main" id="{915D3FD6-38BD-4168-8125-9FBB60C43F9C}"/>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5262"/>
    <xdr:sp macro="" textlink="">
      <xdr:nvSpPr>
        <xdr:cNvPr id="4327" name="AutoShape 231" descr="Resultado de imagen para beer consumption trend">
          <a:extLst>
            <a:ext uri="{FF2B5EF4-FFF2-40B4-BE49-F238E27FC236}">
              <a16:creationId xmlns:a16="http://schemas.microsoft.com/office/drawing/2014/main" id="{51CF9238-3098-41EF-89F8-6E63705E2841}"/>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8437"/>
    <xdr:sp macro="" textlink="">
      <xdr:nvSpPr>
        <xdr:cNvPr id="4328" name="AutoShape 231" descr="Resultado de imagen para beer consumption trend">
          <a:extLst>
            <a:ext uri="{FF2B5EF4-FFF2-40B4-BE49-F238E27FC236}">
              <a16:creationId xmlns:a16="http://schemas.microsoft.com/office/drawing/2014/main" id="{BE34CBA3-0D2D-4B8E-9F3B-EE0AFF60461F}"/>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5262"/>
    <xdr:sp macro="" textlink="">
      <xdr:nvSpPr>
        <xdr:cNvPr id="4329" name="AutoShape 231" descr="Resultado de imagen para beer consumption trend">
          <a:extLst>
            <a:ext uri="{FF2B5EF4-FFF2-40B4-BE49-F238E27FC236}">
              <a16:creationId xmlns:a16="http://schemas.microsoft.com/office/drawing/2014/main" id="{8402F875-5F92-49B1-BB70-0B250FFE02A7}"/>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8437"/>
    <xdr:sp macro="" textlink="">
      <xdr:nvSpPr>
        <xdr:cNvPr id="4330" name="AutoShape 231" descr="Resultado de imagen para beer consumption trend">
          <a:extLst>
            <a:ext uri="{FF2B5EF4-FFF2-40B4-BE49-F238E27FC236}">
              <a16:creationId xmlns:a16="http://schemas.microsoft.com/office/drawing/2014/main" id="{AC3DC2F0-38E4-4602-9083-A89915F8B1B9}"/>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5262"/>
    <xdr:sp macro="" textlink="">
      <xdr:nvSpPr>
        <xdr:cNvPr id="4331" name="AutoShape 231" descr="Resultado de imagen para beer consumption trend">
          <a:extLst>
            <a:ext uri="{FF2B5EF4-FFF2-40B4-BE49-F238E27FC236}">
              <a16:creationId xmlns:a16="http://schemas.microsoft.com/office/drawing/2014/main" id="{A38DC3E9-0DAF-4689-9F3E-8F2ABA1FD18C}"/>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8437"/>
    <xdr:sp macro="" textlink="">
      <xdr:nvSpPr>
        <xdr:cNvPr id="4332" name="AutoShape 231" descr="Resultado de imagen para beer consumption trend">
          <a:extLst>
            <a:ext uri="{FF2B5EF4-FFF2-40B4-BE49-F238E27FC236}">
              <a16:creationId xmlns:a16="http://schemas.microsoft.com/office/drawing/2014/main" id="{26C4B225-6C21-424E-9636-DC0FE15A5272}"/>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5262"/>
    <xdr:sp macro="" textlink="">
      <xdr:nvSpPr>
        <xdr:cNvPr id="4333" name="AutoShape 231" descr="Resultado de imagen para beer consumption trend">
          <a:extLst>
            <a:ext uri="{FF2B5EF4-FFF2-40B4-BE49-F238E27FC236}">
              <a16:creationId xmlns:a16="http://schemas.microsoft.com/office/drawing/2014/main" id="{4DEAB2D4-A7AC-45CB-A3FD-7B36DA71BF6D}"/>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8437"/>
    <xdr:sp macro="" textlink="">
      <xdr:nvSpPr>
        <xdr:cNvPr id="4334" name="AutoShape 231" descr="Resultado de imagen para beer consumption trend">
          <a:extLst>
            <a:ext uri="{FF2B5EF4-FFF2-40B4-BE49-F238E27FC236}">
              <a16:creationId xmlns:a16="http://schemas.microsoft.com/office/drawing/2014/main" id="{A18B1892-2649-4F1C-8694-741F5057ACD7}"/>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5262"/>
    <xdr:sp macro="" textlink="">
      <xdr:nvSpPr>
        <xdr:cNvPr id="4335" name="AutoShape 231" descr="Resultado de imagen para beer consumption trend">
          <a:extLst>
            <a:ext uri="{FF2B5EF4-FFF2-40B4-BE49-F238E27FC236}">
              <a16:creationId xmlns:a16="http://schemas.microsoft.com/office/drawing/2014/main" id="{6F7C43C2-75FD-4532-97CF-408F3E63569E}"/>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8437"/>
    <xdr:sp macro="" textlink="">
      <xdr:nvSpPr>
        <xdr:cNvPr id="4336" name="AutoShape 231" descr="Resultado de imagen para beer consumption trend">
          <a:extLst>
            <a:ext uri="{FF2B5EF4-FFF2-40B4-BE49-F238E27FC236}">
              <a16:creationId xmlns:a16="http://schemas.microsoft.com/office/drawing/2014/main" id="{03A2AF70-12C1-47DA-87DE-5A7347CD1BDE}"/>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5262"/>
    <xdr:sp macro="" textlink="">
      <xdr:nvSpPr>
        <xdr:cNvPr id="4337" name="AutoShape 231" descr="Resultado de imagen para beer consumption trend">
          <a:extLst>
            <a:ext uri="{FF2B5EF4-FFF2-40B4-BE49-F238E27FC236}">
              <a16:creationId xmlns:a16="http://schemas.microsoft.com/office/drawing/2014/main" id="{7AC0943E-355C-491A-92D5-6571BD73F688}"/>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8437"/>
    <xdr:sp macro="" textlink="">
      <xdr:nvSpPr>
        <xdr:cNvPr id="4338" name="AutoShape 231" descr="Resultado de imagen para beer consumption trend">
          <a:extLst>
            <a:ext uri="{FF2B5EF4-FFF2-40B4-BE49-F238E27FC236}">
              <a16:creationId xmlns:a16="http://schemas.microsoft.com/office/drawing/2014/main" id="{67E32A80-ADE1-4DF6-A3E0-71AEFA64B849}"/>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5262"/>
    <xdr:sp macro="" textlink="">
      <xdr:nvSpPr>
        <xdr:cNvPr id="4339" name="AutoShape 231" descr="Resultado de imagen para beer consumption trend">
          <a:extLst>
            <a:ext uri="{FF2B5EF4-FFF2-40B4-BE49-F238E27FC236}">
              <a16:creationId xmlns:a16="http://schemas.microsoft.com/office/drawing/2014/main" id="{FBF6A529-AD69-4FF9-95E8-AAA23FF2C237}"/>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8437"/>
    <xdr:sp macro="" textlink="">
      <xdr:nvSpPr>
        <xdr:cNvPr id="4340" name="AutoShape 231" descr="Resultado de imagen para beer consumption trend">
          <a:extLst>
            <a:ext uri="{FF2B5EF4-FFF2-40B4-BE49-F238E27FC236}">
              <a16:creationId xmlns:a16="http://schemas.microsoft.com/office/drawing/2014/main" id="{AAC92D88-DA57-46CF-92A8-02564197D81D}"/>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5262"/>
    <xdr:sp macro="" textlink="">
      <xdr:nvSpPr>
        <xdr:cNvPr id="4341" name="AutoShape 231" descr="Resultado de imagen para beer consumption trend">
          <a:extLst>
            <a:ext uri="{FF2B5EF4-FFF2-40B4-BE49-F238E27FC236}">
              <a16:creationId xmlns:a16="http://schemas.microsoft.com/office/drawing/2014/main" id="{AD3640AA-93B1-4026-AC4B-D309A71A9BBA}"/>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8437"/>
    <xdr:sp macro="" textlink="">
      <xdr:nvSpPr>
        <xdr:cNvPr id="4342" name="AutoShape 231" descr="Resultado de imagen para beer consumption trend">
          <a:extLst>
            <a:ext uri="{FF2B5EF4-FFF2-40B4-BE49-F238E27FC236}">
              <a16:creationId xmlns:a16="http://schemas.microsoft.com/office/drawing/2014/main" id="{97743B1D-B300-42FF-BBC6-1C319E9D46B0}"/>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5262"/>
    <xdr:sp macro="" textlink="">
      <xdr:nvSpPr>
        <xdr:cNvPr id="4343" name="AutoShape 231" descr="Resultado de imagen para beer consumption trend">
          <a:extLst>
            <a:ext uri="{FF2B5EF4-FFF2-40B4-BE49-F238E27FC236}">
              <a16:creationId xmlns:a16="http://schemas.microsoft.com/office/drawing/2014/main" id="{0A2A34E4-2F15-4D0C-9F93-8E963C9680C9}"/>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8437"/>
    <xdr:sp macro="" textlink="">
      <xdr:nvSpPr>
        <xdr:cNvPr id="4344" name="AutoShape 231" descr="Resultado de imagen para beer consumption trend">
          <a:extLst>
            <a:ext uri="{FF2B5EF4-FFF2-40B4-BE49-F238E27FC236}">
              <a16:creationId xmlns:a16="http://schemas.microsoft.com/office/drawing/2014/main" id="{F2911A92-DC20-4BA0-A47F-29F900E92889}"/>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5262"/>
    <xdr:sp macro="" textlink="">
      <xdr:nvSpPr>
        <xdr:cNvPr id="4345" name="AutoShape 231" descr="Resultado de imagen para beer consumption trend">
          <a:extLst>
            <a:ext uri="{FF2B5EF4-FFF2-40B4-BE49-F238E27FC236}">
              <a16:creationId xmlns:a16="http://schemas.microsoft.com/office/drawing/2014/main" id="{6E6F0F70-C969-4437-97A2-EDB468624955}"/>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8437"/>
    <xdr:sp macro="" textlink="">
      <xdr:nvSpPr>
        <xdr:cNvPr id="4346" name="AutoShape 231" descr="Resultado de imagen para beer consumption trend">
          <a:extLst>
            <a:ext uri="{FF2B5EF4-FFF2-40B4-BE49-F238E27FC236}">
              <a16:creationId xmlns:a16="http://schemas.microsoft.com/office/drawing/2014/main" id="{A6A9DC19-5346-46E0-9C78-E2E72FCD177B}"/>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5262"/>
    <xdr:sp macro="" textlink="">
      <xdr:nvSpPr>
        <xdr:cNvPr id="4347" name="AutoShape 231" descr="Resultado de imagen para beer consumption trend">
          <a:extLst>
            <a:ext uri="{FF2B5EF4-FFF2-40B4-BE49-F238E27FC236}">
              <a16:creationId xmlns:a16="http://schemas.microsoft.com/office/drawing/2014/main" id="{1A7EE3AF-7A7F-41B2-B023-A17A47FA22D4}"/>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8437"/>
    <xdr:sp macro="" textlink="">
      <xdr:nvSpPr>
        <xdr:cNvPr id="4348" name="AutoShape 231" descr="Resultado de imagen para beer consumption trend">
          <a:extLst>
            <a:ext uri="{FF2B5EF4-FFF2-40B4-BE49-F238E27FC236}">
              <a16:creationId xmlns:a16="http://schemas.microsoft.com/office/drawing/2014/main" id="{245ED56F-5B23-494C-A66D-6C58E0A3BC85}"/>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5262"/>
    <xdr:sp macro="" textlink="">
      <xdr:nvSpPr>
        <xdr:cNvPr id="4349" name="AutoShape 231" descr="Resultado de imagen para beer consumption trend">
          <a:extLst>
            <a:ext uri="{FF2B5EF4-FFF2-40B4-BE49-F238E27FC236}">
              <a16:creationId xmlns:a16="http://schemas.microsoft.com/office/drawing/2014/main" id="{86B8F2D8-058E-4FF8-A409-7FE978BC78E6}"/>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8437"/>
    <xdr:sp macro="" textlink="">
      <xdr:nvSpPr>
        <xdr:cNvPr id="4350" name="AutoShape 231" descr="Resultado de imagen para beer consumption trend">
          <a:extLst>
            <a:ext uri="{FF2B5EF4-FFF2-40B4-BE49-F238E27FC236}">
              <a16:creationId xmlns:a16="http://schemas.microsoft.com/office/drawing/2014/main" id="{2BD4DFA3-E49E-4567-A192-58E90CAA2AED}"/>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46</xdr:row>
      <xdr:rowOff>0</xdr:rowOff>
    </xdr:from>
    <xdr:ext cx="304800" cy="305262"/>
    <xdr:sp macro="" textlink="">
      <xdr:nvSpPr>
        <xdr:cNvPr id="4351" name="AutoShape 231" descr="Resultado de imagen para beer consumption trend">
          <a:extLst>
            <a:ext uri="{FF2B5EF4-FFF2-40B4-BE49-F238E27FC236}">
              <a16:creationId xmlns:a16="http://schemas.microsoft.com/office/drawing/2014/main" id="{A08D9EEB-32F4-4B74-A94B-79AE5E1C3913}"/>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8437"/>
    <xdr:sp macro="" textlink="">
      <xdr:nvSpPr>
        <xdr:cNvPr id="4352" name="AutoShape 231" descr="Resultado de imagen para beer consumption trend">
          <a:extLst>
            <a:ext uri="{FF2B5EF4-FFF2-40B4-BE49-F238E27FC236}">
              <a16:creationId xmlns:a16="http://schemas.microsoft.com/office/drawing/2014/main" id="{D2A9472B-D63B-4B40-A90B-A12E28E89191}"/>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5262"/>
    <xdr:sp macro="" textlink="">
      <xdr:nvSpPr>
        <xdr:cNvPr id="4353" name="AutoShape 231" descr="Resultado de imagen para beer consumption trend">
          <a:extLst>
            <a:ext uri="{FF2B5EF4-FFF2-40B4-BE49-F238E27FC236}">
              <a16:creationId xmlns:a16="http://schemas.microsoft.com/office/drawing/2014/main" id="{EFA47746-C325-4AFB-887E-56927B3B5FBB}"/>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8437"/>
    <xdr:sp macro="" textlink="">
      <xdr:nvSpPr>
        <xdr:cNvPr id="4354" name="AutoShape 231" descr="Resultado de imagen para beer consumption trend">
          <a:extLst>
            <a:ext uri="{FF2B5EF4-FFF2-40B4-BE49-F238E27FC236}">
              <a16:creationId xmlns:a16="http://schemas.microsoft.com/office/drawing/2014/main" id="{DFE08B98-D5FD-468D-A116-EE4CC76193E6}"/>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5262"/>
    <xdr:sp macro="" textlink="">
      <xdr:nvSpPr>
        <xdr:cNvPr id="4355" name="AutoShape 231" descr="Resultado de imagen para beer consumption trend">
          <a:extLst>
            <a:ext uri="{FF2B5EF4-FFF2-40B4-BE49-F238E27FC236}">
              <a16:creationId xmlns:a16="http://schemas.microsoft.com/office/drawing/2014/main" id="{18414D99-FA70-4027-AF19-0A061FE32AE0}"/>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8437"/>
    <xdr:sp macro="" textlink="">
      <xdr:nvSpPr>
        <xdr:cNvPr id="4356" name="AutoShape 231" descr="Resultado de imagen para beer consumption trend">
          <a:extLst>
            <a:ext uri="{FF2B5EF4-FFF2-40B4-BE49-F238E27FC236}">
              <a16:creationId xmlns:a16="http://schemas.microsoft.com/office/drawing/2014/main" id="{A856B84D-48E7-4B06-9F3D-F33D6A2A1AEC}"/>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5262"/>
    <xdr:sp macro="" textlink="">
      <xdr:nvSpPr>
        <xdr:cNvPr id="4357" name="AutoShape 231" descr="Resultado de imagen para beer consumption trend">
          <a:extLst>
            <a:ext uri="{FF2B5EF4-FFF2-40B4-BE49-F238E27FC236}">
              <a16:creationId xmlns:a16="http://schemas.microsoft.com/office/drawing/2014/main" id="{1B373BFC-A5A2-4A24-BEAA-BE3EBB9CD1B0}"/>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8437"/>
    <xdr:sp macro="" textlink="">
      <xdr:nvSpPr>
        <xdr:cNvPr id="4358" name="AutoShape 231" descr="Resultado de imagen para beer consumption trend">
          <a:extLst>
            <a:ext uri="{FF2B5EF4-FFF2-40B4-BE49-F238E27FC236}">
              <a16:creationId xmlns:a16="http://schemas.microsoft.com/office/drawing/2014/main" id="{E5BC6CC1-DBB3-4672-A637-ED34D2F1B61E}"/>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5262"/>
    <xdr:sp macro="" textlink="">
      <xdr:nvSpPr>
        <xdr:cNvPr id="4359" name="AutoShape 231" descr="Resultado de imagen para beer consumption trend">
          <a:extLst>
            <a:ext uri="{FF2B5EF4-FFF2-40B4-BE49-F238E27FC236}">
              <a16:creationId xmlns:a16="http://schemas.microsoft.com/office/drawing/2014/main" id="{7CED60E5-F977-4C6A-A7F3-C95FC8048A8E}"/>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8437"/>
    <xdr:sp macro="" textlink="">
      <xdr:nvSpPr>
        <xdr:cNvPr id="4360" name="AutoShape 231" descr="Resultado de imagen para beer consumption trend">
          <a:extLst>
            <a:ext uri="{FF2B5EF4-FFF2-40B4-BE49-F238E27FC236}">
              <a16:creationId xmlns:a16="http://schemas.microsoft.com/office/drawing/2014/main" id="{9CD9CA2E-BF06-4673-8035-5A14A1092E41}"/>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5262"/>
    <xdr:sp macro="" textlink="">
      <xdr:nvSpPr>
        <xdr:cNvPr id="4361" name="AutoShape 231" descr="Resultado de imagen para beer consumption trend">
          <a:extLst>
            <a:ext uri="{FF2B5EF4-FFF2-40B4-BE49-F238E27FC236}">
              <a16:creationId xmlns:a16="http://schemas.microsoft.com/office/drawing/2014/main" id="{90C8C63D-CB2F-463C-A14E-4CDF715E24F9}"/>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8437"/>
    <xdr:sp macro="" textlink="">
      <xdr:nvSpPr>
        <xdr:cNvPr id="4362" name="AutoShape 231" descr="Resultado de imagen para beer consumption trend">
          <a:extLst>
            <a:ext uri="{FF2B5EF4-FFF2-40B4-BE49-F238E27FC236}">
              <a16:creationId xmlns:a16="http://schemas.microsoft.com/office/drawing/2014/main" id="{58BF6277-2F2C-43E6-8944-64BA00742D8A}"/>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5262"/>
    <xdr:sp macro="" textlink="">
      <xdr:nvSpPr>
        <xdr:cNvPr id="4363" name="AutoShape 231" descr="Resultado de imagen para beer consumption trend">
          <a:extLst>
            <a:ext uri="{FF2B5EF4-FFF2-40B4-BE49-F238E27FC236}">
              <a16:creationId xmlns:a16="http://schemas.microsoft.com/office/drawing/2014/main" id="{E9A95B86-748A-4221-AA06-618DF93A1E93}"/>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8437"/>
    <xdr:sp macro="" textlink="">
      <xdr:nvSpPr>
        <xdr:cNvPr id="4364" name="AutoShape 231" descr="Resultado de imagen para beer consumption trend">
          <a:extLst>
            <a:ext uri="{FF2B5EF4-FFF2-40B4-BE49-F238E27FC236}">
              <a16:creationId xmlns:a16="http://schemas.microsoft.com/office/drawing/2014/main" id="{53CAF16D-34EC-48E0-BA53-C5BD0877B439}"/>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5262"/>
    <xdr:sp macro="" textlink="">
      <xdr:nvSpPr>
        <xdr:cNvPr id="4365" name="AutoShape 231" descr="Resultado de imagen para beer consumption trend">
          <a:extLst>
            <a:ext uri="{FF2B5EF4-FFF2-40B4-BE49-F238E27FC236}">
              <a16:creationId xmlns:a16="http://schemas.microsoft.com/office/drawing/2014/main" id="{997BCA0F-8C78-4CC7-9084-AEDB52C16325}"/>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8437"/>
    <xdr:sp macro="" textlink="">
      <xdr:nvSpPr>
        <xdr:cNvPr id="4366" name="AutoShape 231" descr="Resultado de imagen para beer consumption trend">
          <a:extLst>
            <a:ext uri="{FF2B5EF4-FFF2-40B4-BE49-F238E27FC236}">
              <a16:creationId xmlns:a16="http://schemas.microsoft.com/office/drawing/2014/main" id="{B3C95184-52B0-471B-8FC7-3F03A4FAF4D4}"/>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5262"/>
    <xdr:sp macro="" textlink="">
      <xdr:nvSpPr>
        <xdr:cNvPr id="4367" name="AutoShape 231" descr="Resultado de imagen para beer consumption trend">
          <a:extLst>
            <a:ext uri="{FF2B5EF4-FFF2-40B4-BE49-F238E27FC236}">
              <a16:creationId xmlns:a16="http://schemas.microsoft.com/office/drawing/2014/main" id="{2A3FB327-8CAE-47A0-8B55-46569291873B}"/>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8437"/>
    <xdr:sp macro="" textlink="">
      <xdr:nvSpPr>
        <xdr:cNvPr id="4368" name="AutoShape 231" descr="Resultado de imagen para beer consumption trend">
          <a:extLst>
            <a:ext uri="{FF2B5EF4-FFF2-40B4-BE49-F238E27FC236}">
              <a16:creationId xmlns:a16="http://schemas.microsoft.com/office/drawing/2014/main" id="{90BD1F0B-7DC0-4BD2-B3BD-AEAF0C78DE6F}"/>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5262"/>
    <xdr:sp macro="" textlink="">
      <xdr:nvSpPr>
        <xdr:cNvPr id="4369" name="AutoShape 231" descr="Resultado de imagen para beer consumption trend">
          <a:extLst>
            <a:ext uri="{FF2B5EF4-FFF2-40B4-BE49-F238E27FC236}">
              <a16:creationId xmlns:a16="http://schemas.microsoft.com/office/drawing/2014/main" id="{90C4AA6A-7818-44EF-B378-74C9D22B92B6}"/>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8437"/>
    <xdr:sp macro="" textlink="">
      <xdr:nvSpPr>
        <xdr:cNvPr id="4370" name="AutoShape 231" descr="Resultado de imagen para beer consumption trend">
          <a:extLst>
            <a:ext uri="{FF2B5EF4-FFF2-40B4-BE49-F238E27FC236}">
              <a16:creationId xmlns:a16="http://schemas.microsoft.com/office/drawing/2014/main" id="{024A4882-6973-4E9B-A811-5077BCC8CB69}"/>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5262"/>
    <xdr:sp macro="" textlink="">
      <xdr:nvSpPr>
        <xdr:cNvPr id="4371" name="AutoShape 231" descr="Resultado de imagen para beer consumption trend">
          <a:extLst>
            <a:ext uri="{FF2B5EF4-FFF2-40B4-BE49-F238E27FC236}">
              <a16:creationId xmlns:a16="http://schemas.microsoft.com/office/drawing/2014/main" id="{F71EC002-CCB5-42B6-8B1C-CD0A858EFE95}"/>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8437"/>
    <xdr:sp macro="" textlink="">
      <xdr:nvSpPr>
        <xdr:cNvPr id="4372" name="AutoShape 231" descr="Resultado de imagen para beer consumption trend">
          <a:extLst>
            <a:ext uri="{FF2B5EF4-FFF2-40B4-BE49-F238E27FC236}">
              <a16:creationId xmlns:a16="http://schemas.microsoft.com/office/drawing/2014/main" id="{F85451F5-78B2-4484-9D4D-0B52369EFFE3}"/>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5262"/>
    <xdr:sp macro="" textlink="">
      <xdr:nvSpPr>
        <xdr:cNvPr id="4373" name="AutoShape 231" descr="Resultado de imagen para beer consumption trend">
          <a:extLst>
            <a:ext uri="{FF2B5EF4-FFF2-40B4-BE49-F238E27FC236}">
              <a16:creationId xmlns:a16="http://schemas.microsoft.com/office/drawing/2014/main" id="{CC3DAF24-9E31-4111-93D2-2E23B7F8A478}"/>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8437"/>
    <xdr:sp macro="" textlink="">
      <xdr:nvSpPr>
        <xdr:cNvPr id="4374" name="AutoShape 231" descr="Resultado de imagen para beer consumption trend">
          <a:extLst>
            <a:ext uri="{FF2B5EF4-FFF2-40B4-BE49-F238E27FC236}">
              <a16:creationId xmlns:a16="http://schemas.microsoft.com/office/drawing/2014/main" id="{8FF15DF7-8914-43C4-A7CC-182C2AEF015D}"/>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5262"/>
    <xdr:sp macro="" textlink="">
      <xdr:nvSpPr>
        <xdr:cNvPr id="4375" name="AutoShape 231" descr="Resultado de imagen para beer consumption trend">
          <a:extLst>
            <a:ext uri="{FF2B5EF4-FFF2-40B4-BE49-F238E27FC236}">
              <a16:creationId xmlns:a16="http://schemas.microsoft.com/office/drawing/2014/main" id="{02A6E65C-0282-4E05-B3C2-585234F5FC59}"/>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8437"/>
    <xdr:sp macro="" textlink="">
      <xdr:nvSpPr>
        <xdr:cNvPr id="4376" name="AutoShape 231" descr="Resultado de imagen para beer consumption trend">
          <a:extLst>
            <a:ext uri="{FF2B5EF4-FFF2-40B4-BE49-F238E27FC236}">
              <a16:creationId xmlns:a16="http://schemas.microsoft.com/office/drawing/2014/main" id="{260E5A64-5E73-401D-80DC-667AC0D8E905}"/>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5262"/>
    <xdr:sp macro="" textlink="">
      <xdr:nvSpPr>
        <xdr:cNvPr id="4377" name="AutoShape 231" descr="Resultado de imagen para beer consumption trend">
          <a:extLst>
            <a:ext uri="{FF2B5EF4-FFF2-40B4-BE49-F238E27FC236}">
              <a16:creationId xmlns:a16="http://schemas.microsoft.com/office/drawing/2014/main" id="{C14BA9DB-7687-41E5-B7ED-C631BA4C3614}"/>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8437"/>
    <xdr:sp macro="" textlink="">
      <xdr:nvSpPr>
        <xdr:cNvPr id="4378" name="AutoShape 231" descr="Resultado de imagen para beer consumption trend">
          <a:extLst>
            <a:ext uri="{FF2B5EF4-FFF2-40B4-BE49-F238E27FC236}">
              <a16:creationId xmlns:a16="http://schemas.microsoft.com/office/drawing/2014/main" id="{5EF5EF3A-FA26-47BD-8EB2-4529806C71D9}"/>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5262"/>
    <xdr:sp macro="" textlink="">
      <xdr:nvSpPr>
        <xdr:cNvPr id="4379" name="AutoShape 231" descr="Resultado de imagen para beer consumption trend">
          <a:extLst>
            <a:ext uri="{FF2B5EF4-FFF2-40B4-BE49-F238E27FC236}">
              <a16:creationId xmlns:a16="http://schemas.microsoft.com/office/drawing/2014/main" id="{26155A21-7920-4826-B3F1-4CA65D0F1C3F}"/>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8437"/>
    <xdr:sp macro="" textlink="">
      <xdr:nvSpPr>
        <xdr:cNvPr id="4380" name="AutoShape 231" descr="Resultado de imagen para beer consumption trend">
          <a:extLst>
            <a:ext uri="{FF2B5EF4-FFF2-40B4-BE49-F238E27FC236}">
              <a16:creationId xmlns:a16="http://schemas.microsoft.com/office/drawing/2014/main" id="{FBD732E6-73B7-47C5-83D2-BE4C8754AB02}"/>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5262"/>
    <xdr:sp macro="" textlink="">
      <xdr:nvSpPr>
        <xdr:cNvPr id="4381" name="AutoShape 231" descr="Resultado de imagen para beer consumption trend">
          <a:extLst>
            <a:ext uri="{FF2B5EF4-FFF2-40B4-BE49-F238E27FC236}">
              <a16:creationId xmlns:a16="http://schemas.microsoft.com/office/drawing/2014/main" id="{61D3C237-3732-446B-821D-66359E5770FF}"/>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8437"/>
    <xdr:sp macro="" textlink="">
      <xdr:nvSpPr>
        <xdr:cNvPr id="4382" name="AutoShape 231" descr="Resultado de imagen para beer consumption trend">
          <a:extLst>
            <a:ext uri="{FF2B5EF4-FFF2-40B4-BE49-F238E27FC236}">
              <a16:creationId xmlns:a16="http://schemas.microsoft.com/office/drawing/2014/main" id="{E0BEF3B1-B15C-4243-8F4D-BB2013010E4C}"/>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5262"/>
    <xdr:sp macro="" textlink="">
      <xdr:nvSpPr>
        <xdr:cNvPr id="4383" name="AutoShape 231" descr="Resultado de imagen para beer consumption trend">
          <a:extLst>
            <a:ext uri="{FF2B5EF4-FFF2-40B4-BE49-F238E27FC236}">
              <a16:creationId xmlns:a16="http://schemas.microsoft.com/office/drawing/2014/main" id="{0F6A6C82-C785-4B1A-B34F-D5EEE46FCBE6}"/>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8437"/>
    <xdr:sp macro="" textlink="">
      <xdr:nvSpPr>
        <xdr:cNvPr id="4384" name="AutoShape 231" descr="Resultado de imagen para beer consumption trend">
          <a:extLst>
            <a:ext uri="{FF2B5EF4-FFF2-40B4-BE49-F238E27FC236}">
              <a16:creationId xmlns:a16="http://schemas.microsoft.com/office/drawing/2014/main" id="{4323B2FF-94A7-469B-9110-01E4C45BAA02}"/>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5262"/>
    <xdr:sp macro="" textlink="">
      <xdr:nvSpPr>
        <xdr:cNvPr id="4385" name="AutoShape 231" descr="Resultado de imagen para beer consumption trend">
          <a:extLst>
            <a:ext uri="{FF2B5EF4-FFF2-40B4-BE49-F238E27FC236}">
              <a16:creationId xmlns:a16="http://schemas.microsoft.com/office/drawing/2014/main" id="{ED1A7C2A-51F6-4621-8778-B5C18FD23424}"/>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8437"/>
    <xdr:sp macro="" textlink="">
      <xdr:nvSpPr>
        <xdr:cNvPr id="4386" name="AutoShape 231" descr="Resultado de imagen para beer consumption trend">
          <a:extLst>
            <a:ext uri="{FF2B5EF4-FFF2-40B4-BE49-F238E27FC236}">
              <a16:creationId xmlns:a16="http://schemas.microsoft.com/office/drawing/2014/main" id="{D35DCD19-2CCE-4555-9298-48BB5DB1F15B}"/>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5262"/>
    <xdr:sp macro="" textlink="">
      <xdr:nvSpPr>
        <xdr:cNvPr id="4387" name="AutoShape 231" descr="Resultado de imagen para beer consumption trend">
          <a:extLst>
            <a:ext uri="{FF2B5EF4-FFF2-40B4-BE49-F238E27FC236}">
              <a16:creationId xmlns:a16="http://schemas.microsoft.com/office/drawing/2014/main" id="{598AFBFE-4937-4BAC-9B9D-954DF334D9D5}"/>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8437"/>
    <xdr:sp macro="" textlink="">
      <xdr:nvSpPr>
        <xdr:cNvPr id="4388" name="AutoShape 231" descr="Resultado de imagen para beer consumption trend">
          <a:extLst>
            <a:ext uri="{FF2B5EF4-FFF2-40B4-BE49-F238E27FC236}">
              <a16:creationId xmlns:a16="http://schemas.microsoft.com/office/drawing/2014/main" id="{F8F3B1AF-AE31-4CEB-8ECD-73BF04A538CB}"/>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5262"/>
    <xdr:sp macro="" textlink="">
      <xdr:nvSpPr>
        <xdr:cNvPr id="4389" name="AutoShape 231" descr="Resultado de imagen para beer consumption trend">
          <a:extLst>
            <a:ext uri="{FF2B5EF4-FFF2-40B4-BE49-F238E27FC236}">
              <a16:creationId xmlns:a16="http://schemas.microsoft.com/office/drawing/2014/main" id="{5E674BA8-6BEF-46B9-918B-E79A593175EF}"/>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8437"/>
    <xdr:sp macro="" textlink="">
      <xdr:nvSpPr>
        <xdr:cNvPr id="4390" name="AutoShape 231" descr="Resultado de imagen para beer consumption trend">
          <a:extLst>
            <a:ext uri="{FF2B5EF4-FFF2-40B4-BE49-F238E27FC236}">
              <a16:creationId xmlns:a16="http://schemas.microsoft.com/office/drawing/2014/main" id="{930C3C2C-67C8-4BE5-A0C7-A3DAFC1F6843}"/>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5262"/>
    <xdr:sp macro="" textlink="">
      <xdr:nvSpPr>
        <xdr:cNvPr id="4391" name="AutoShape 231" descr="Resultado de imagen para beer consumption trend">
          <a:extLst>
            <a:ext uri="{FF2B5EF4-FFF2-40B4-BE49-F238E27FC236}">
              <a16:creationId xmlns:a16="http://schemas.microsoft.com/office/drawing/2014/main" id="{2ECBA42F-CAF4-4260-B0CE-06C560FB69EA}"/>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8437"/>
    <xdr:sp macro="" textlink="">
      <xdr:nvSpPr>
        <xdr:cNvPr id="4392" name="AutoShape 231" descr="Resultado de imagen para beer consumption trend">
          <a:extLst>
            <a:ext uri="{FF2B5EF4-FFF2-40B4-BE49-F238E27FC236}">
              <a16:creationId xmlns:a16="http://schemas.microsoft.com/office/drawing/2014/main" id="{C43754E1-E363-4A64-8A37-0EAAF76CC0E4}"/>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5262"/>
    <xdr:sp macro="" textlink="">
      <xdr:nvSpPr>
        <xdr:cNvPr id="4393" name="AutoShape 231" descr="Resultado de imagen para beer consumption trend">
          <a:extLst>
            <a:ext uri="{FF2B5EF4-FFF2-40B4-BE49-F238E27FC236}">
              <a16:creationId xmlns:a16="http://schemas.microsoft.com/office/drawing/2014/main" id="{B6E9EA87-3F80-4375-9D9E-7889DADE95E5}"/>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8437"/>
    <xdr:sp macro="" textlink="">
      <xdr:nvSpPr>
        <xdr:cNvPr id="4394" name="AutoShape 231" descr="Resultado de imagen para beer consumption trend">
          <a:extLst>
            <a:ext uri="{FF2B5EF4-FFF2-40B4-BE49-F238E27FC236}">
              <a16:creationId xmlns:a16="http://schemas.microsoft.com/office/drawing/2014/main" id="{F949D17C-5F05-4FDC-86B9-6DF5E7763185}"/>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5262"/>
    <xdr:sp macro="" textlink="">
      <xdr:nvSpPr>
        <xdr:cNvPr id="4395" name="AutoShape 231" descr="Resultado de imagen para beer consumption trend">
          <a:extLst>
            <a:ext uri="{FF2B5EF4-FFF2-40B4-BE49-F238E27FC236}">
              <a16:creationId xmlns:a16="http://schemas.microsoft.com/office/drawing/2014/main" id="{67C08BC5-12FA-44A7-9580-798935BE9213}"/>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8437"/>
    <xdr:sp macro="" textlink="">
      <xdr:nvSpPr>
        <xdr:cNvPr id="4396" name="AutoShape 231" descr="Resultado de imagen para beer consumption trend">
          <a:extLst>
            <a:ext uri="{FF2B5EF4-FFF2-40B4-BE49-F238E27FC236}">
              <a16:creationId xmlns:a16="http://schemas.microsoft.com/office/drawing/2014/main" id="{43AF65A7-4720-41D4-BF3E-1F2BF42E8AE3}"/>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5262"/>
    <xdr:sp macro="" textlink="">
      <xdr:nvSpPr>
        <xdr:cNvPr id="4397" name="AutoShape 231" descr="Resultado de imagen para beer consumption trend">
          <a:extLst>
            <a:ext uri="{FF2B5EF4-FFF2-40B4-BE49-F238E27FC236}">
              <a16:creationId xmlns:a16="http://schemas.microsoft.com/office/drawing/2014/main" id="{DFF4C7EB-B8CC-472D-8F86-E458F16B20D8}"/>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8437"/>
    <xdr:sp macro="" textlink="">
      <xdr:nvSpPr>
        <xdr:cNvPr id="4398" name="AutoShape 231" descr="Resultado de imagen para beer consumption trend">
          <a:extLst>
            <a:ext uri="{FF2B5EF4-FFF2-40B4-BE49-F238E27FC236}">
              <a16:creationId xmlns:a16="http://schemas.microsoft.com/office/drawing/2014/main" id="{5C41C3AD-DBB0-46B2-AB0F-9996DDEF0733}"/>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5262"/>
    <xdr:sp macro="" textlink="">
      <xdr:nvSpPr>
        <xdr:cNvPr id="4399" name="AutoShape 231" descr="Resultado de imagen para beer consumption trend">
          <a:extLst>
            <a:ext uri="{FF2B5EF4-FFF2-40B4-BE49-F238E27FC236}">
              <a16:creationId xmlns:a16="http://schemas.microsoft.com/office/drawing/2014/main" id="{34AEE6B9-9FEE-47CA-90D4-1BCAEB8AC004}"/>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8437"/>
    <xdr:sp macro="" textlink="">
      <xdr:nvSpPr>
        <xdr:cNvPr id="4400" name="AutoShape 231" descr="Resultado de imagen para beer consumption trend">
          <a:extLst>
            <a:ext uri="{FF2B5EF4-FFF2-40B4-BE49-F238E27FC236}">
              <a16:creationId xmlns:a16="http://schemas.microsoft.com/office/drawing/2014/main" id="{5E3F4F3F-1DDF-48A3-8405-AE5EED688162}"/>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5262"/>
    <xdr:sp macro="" textlink="">
      <xdr:nvSpPr>
        <xdr:cNvPr id="4401" name="AutoShape 231" descr="Resultado de imagen para beer consumption trend">
          <a:extLst>
            <a:ext uri="{FF2B5EF4-FFF2-40B4-BE49-F238E27FC236}">
              <a16:creationId xmlns:a16="http://schemas.microsoft.com/office/drawing/2014/main" id="{6CFDBEF9-7F78-4E91-BFF3-5E523116F9FE}"/>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8437"/>
    <xdr:sp macro="" textlink="">
      <xdr:nvSpPr>
        <xdr:cNvPr id="4402" name="AutoShape 231" descr="Resultado de imagen para beer consumption trend">
          <a:extLst>
            <a:ext uri="{FF2B5EF4-FFF2-40B4-BE49-F238E27FC236}">
              <a16:creationId xmlns:a16="http://schemas.microsoft.com/office/drawing/2014/main" id="{195A1EDE-B678-4CF0-B92D-6415C5E80E9E}"/>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5262"/>
    <xdr:sp macro="" textlink="">
      <xdr:nvSpPr>
        <xdr:cNvPr id="4403" name="AutoShape 231" descr="Resultado de imagen para beer consumption trend">
          <a:extLst>
            <a:ext uri="{FF2B5EF4-FFF2-40B4-BE49-F238E27FC236}">
              <a16:creationId xmlns:a16="http://schemas.microsoft.com/office/drawing/2014/main" id="{E1598E5E-D274-4CEC-8982-11ADB066F05C}"/>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8437"/>
    <xdr:sp macro="" textlink="">
      <xdr:nvSpPr>
        <xdr:cNvPr id="4404" name="AutoShape 231" descr="Resultado de imagen para beer consumption trend">
          <a:extLst>
            <a:ext uri="{FF2B5EF4-FFF2-40B4-BE49-F238E27FC236}">
              <a16:creationId xmlns:a16="http://schemas.microsoft.com/office/drawing/2014/main" id="{7CF3F141-C8E5-41CF-ABCC-D322147944DC}"/>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5262"/>
    <xdr:sp macro="" textlink="">
      <xdr:nvSpPr>
        <xdr:cNvPr id="4405" name="AutoShape 231" descr="Resultado de imagen para beer consumption trend">
          <a:extLst>
            <a:ext uri="{FF2B5EF4-FFF2-40B4-BE49-F238E27FC236}">
              <a16:creationId xmlns:a16="http://schemas.microsoft.com/office/drawing/2014/main" id="{31032B36-0627-40B5-BE2C-27208FD3D5A2}"/>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8437"/>
    <xdr:sp macro="" textlink="">
      <xdr:nvSpPr>
        <xdr:cNvPr id="4406" name="AutoShape 231" descr="Resultado de imagen para beer consumption trend">
          <a:extLst>
            <a:ext uri="{FF2B5EF4-FFF2-40B4-BE49-F238E27FC236}">
              <a16:creationId xmlns:a16="http://schemas.microsoft.com/office/drawing/2014/main" id="{ABB452E6-719E-487B-9253-2FF53D6BBA52}"/>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5262"/>
    <xdr:sp macro="" textlink="">
      <xdr:nvSpPr>
        <xdr:cNvPr id="4407" name="AutoShape 231" descr="Resultado de imagen para beer consumption trend">
          <a:extLst>
            <a:ext uri="{FF2B5EF4-FFF2-40B4-BE49-F238E27FC236}">
              <a16:creationId xmlns:a16="http://schemas.microsoft.com/office/drawing/2014/main" id="{1B71F995-E026-472F-B30A-82F069E6AEB4}"/>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8437"/>
    <xdr:sp macro="" textlink="">
      <xdr:nvSpPr>
        <xdr:cNvPr id="4408" name="AutoShape 231" descr="Resultado de imagen para beer consumption trend">
          <a:extLst>
            <a:ext uri="{FF2B5EF4-FFF2-40B4-BE49-F238E27FC236}">
              <a16:creationId xmlns:a16="http://schemas.microsoft.com/office/drawing/2014/main" id="{8ACE8CCF-F3F2-4D19-993F-8BC682551C53}"/>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5262"/>
    <xdr:sp macro="" textlink="">
      <xdr:nvSpPr>
        <xdr:cNvPr id="4409" name="AutoShape 231" descr="Resultado de imagen para beer consumption trend">
          <a:extLst>
            <a:ext uri="{FF2B5EF4-FFF2-40B4-BE49-F238E27FC236}">
              <a16:creationId xmlns:a16="http://schemas.microsoft.com/office/drawing/2014/main" id="{144FFA59-9C09-410A-B037-9BC6E1BAB832}"/>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8437"/>
    <xdr:sp macro="" textlink="">
      <xdr:nvSpPr>
        <xdr:cNvPr id="4410" name="AutoShape 231" descr="Resultado de imagen para beer consumption trend">
          <a:extLst>
            <a:ext uri="{FF2B5EF4-FFF2-40B4-BE49-F238E27FC236}">
              <a16:creationId xmlns:a16="http://schemas.microsoft.com/office/drawing/2014/main" id="{0D059C5A-D2F6-4780-BA10-D9AB2598D9C9}"/>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5262"/>
    <xdr:sp macro="" textlink="">
      <xdr:nvSpPr>
        <xdr:cNvPr id="4411" name="AutoShape 231" descr="Resultado de imagen para beer consumption trend">
          <a:extLst>
            <a:ext uri="{FF2B5EF4-FFF2-40B4-BE49-F238E27FC236}">
              <a16:creationId xmlns:a16="http://schemas.microsoft.com/office/drawing/2014/main" id="{1FA64412-75A9-46F4-A9A9-B6F3BE726414}"/>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8437"/>
    <xdr:sp macro="" textlink="">
      <xdr:nvSpPr>
        <xdr:cNvPr id="4412" name="AutoShape 231" descr="Resultado de imagen para beer consumption trend">
          <a:extLst>
            <a:ext uri="{FF2B5EF4-FFF2-40B4-BE49-F238E27FC236}">
              <a16:creationId xmlns:a16="http://schemas.microsoft.com/office/drawing/2014/main" id="{F7D851A6-EF17-4AC6-82C8-2BD5DD6926A3}"/>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5262"/>
    <xdr:sp macro="" textlink="">
      <xdr:nvSpPr>
        <xdr:cNvPr id="4413" name="AutoShape 231" descr="Resultado de imagen para beer consumption trend">
          <a:extLst>
            <a:ext uri="{FF2B5EF4-FFF2-40B4-BE49-F238E27FC236}">
              <a16:creationId xmlns:a16="http://schemas.microsoft.com/office/drawing/2014/main" id="{D685E3FD-5284-434B-9A93-743DA8F40837}"/>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8437"/>
    <xdr:sp macro="" textlink="">
      <xdr:nvSpPr>
        <xdr:cNvPr id="4414" name="AutoShape 231" descr="Resultado de imagen para beer consumption trend">
          <a:extLst>
            <a:ext uri="{FF2B5EF4-FFF2-40B4-BE49-F238E27FC236}">
              <a16:creationId xmlns:a16="http://schemas.microsoft.com/office/drawing/2014/main" id="{3F082F2C-F690-40F3-8BB3-00732BDB332A}"/>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5262"/>
    <xdr:sp macro="" textlink="">
      <xdr:nvSpPr>
        <xdr:cNvPr id="4415" name="AutoShape 231" descr="Resultado de imagen para beer consumption trend">
          <a:extLst>
            <a:ext uri="{FF2B5EF4-FFF2-40B4-BE49-F238E27FC236}">
              <a16:creationId xmlns:a16="http://schemas.microsoft.com/office/drawing/2014/main" id="{CFC58951-A1FE-4CF6-9B93-3E44AA889F7C}"/>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8437"/>
    <xdr:sp macro="" textlink="">
      <xdr:nvSpPr>
        <xdr:cNvPr id="4416" name="AutoShape 231" descr="Resultado de imagen para beer consumption trend">
          <a:extLst>
            <a:ext uri="{FF2B5EF4-FFF2-40B4-BE49-F238E27FC236}">
              <a16:creationId xmlns:a16="http://schemas.microsoft.com/office/drawing/2014/main" id="{40C574E9-0F85-4A24-8A7B-339232F693DA}"/>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5262"/>
    <xdr:sp macro="" textlink="">
      <xdr:nvSpPr>
        <xdr:cNvPr id="4417" name="AutoShape 231" descr="Resultado de imagen para beer consumption trend">
          <a:extLst>
            <a:ext uri="{FF2B5EF4-FFF2-40B4-BE49-F238E27FC236}">
              <a16:creationId xmlns:a16="http://schemas.microsoft.com/office/drawing/2014/main" id="{1E0256BD-2660-4A43-A03C-EC723513B0AD}"/>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8437"/>
    <xdr:sp macro="" textlink="">
      <xdr:nvSpPr>
        <xdr:cNvPr id="4418" name="AutoShape 231" descr="Resultado de imagen para beer consumption trend">
          <a:extLst>
            <a:ext uri="{FF2B5EF4-FFF2-40B4-BE49-F238E27FC236}">
              <a16:creationId xmlns:a16="http://schemas.microsoft.com/office/drawing/2014/main" id="{085EA585-A42C-4C17-8599-D06A34FC8B11}"/>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320030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47</xdr:row>
      <xdr:rowOff>0</xdr:rowOff>
    </xdr:from>
    <xdr:ext cx="304800" cy="305262"/>
    <xdr:sp macro="" textlink="">
      <xdr:nvSpPr>
        <xdr:cNvPr id="4419" name="AutoShape 231" descr="Resultado de imagen para beer consumption trend">
          <a:extLst>
            <a:ext uri="{FF2B5EF4-FFF2-40B4-BE49-F238E27FC236}">
              <a16:creationId xmlns:a16="http://schemas.microsoft.com/office/drawing/2014/main" id="{E7B1FDB2-AE48-4734-AA20-E2AD910AD92E}"/>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320030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8437"/>
    <xdr:sp macro="" textlink="">
      <xdr:nvSpPr>
        <xdr:cNvPr id="4420" name="AutoShape 231" descr="Resultado de imagen para beer consumption trend">
          <a:extLst>
            <a:ext uri="{FF2B5EF4-FFF2-40B4-BE49-F238E27FC236}">
              <a16:creationId xmlns:a16="http://schemas.microsoft.com/office/drawing/2014/main" id="{9B60FD70-1E87-4F0A-BFC1-46DE0E3A15B0}"/>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5262"/>
    <xdr:sp macro="" textlink="">
      <xdr:nvSpPr>
        <xdr:cNvPr id="4421" name="AutoShape 231" descr="Resultado de imagen para beer consumption trend">
          <a:extLst>
            <a:ext uri="{FF2B5EF4-FFF2-40B4-BE49-F238E27FC236}">
              <a16:creationId xmlns:a16="http://schemas.microsoft.com/office/drawing/2014/main" id="{A6F22E10-4994-4C35-BD93-1EF6206FC414}"/>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8437"/>
    <xdr:sp macro="" textlink="">
      <xdr:nvSpPr>
        <xdr:cNvPr id="4422" name="AutoShape 231" descr="Resultado de imagen para beer consumption trend">
          <a:extLst>
            <a:ext uri="{FF2B5EF4-FFF2-40B4-BE49-F238E27FC236}">
              <a16:creationId xmlns:a16="http://schemas.microsoft.com/office/drawing/2014/main" id="{06153E33-1611-4CDF-8953-229B0F96F691}"/>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5262"/>
    <xdr:sp macro="" textlink="">
      <xdr:nvSpPr>
        <xdr:cNvPr id="4423" name="AutoShape 231" descr="Resultado de imagen para beer consumption trend">
          <a:extLst>
            <a:ext uri="{FF2B5EF4-FFF2-40B4-BE49-F238E27FC236}">
              <a16:creationId xmlns:a16="http://schemas.microsoft.com/office/drawing/2014/main" id="{6DC7A81B-752C-4C7B-BC87-A74FAD03E847}"/>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8437"/>
    <xdr:sp macro="" textlink="">
      <xdr:nvSpPr>
        <xdr:cNvPr id="4424" name="AutoShape 231" descr="Resultado de imagen para beer consumption trend">
          <a:extLst>
            <a:ext uri="{FF2B5EF4-FFF2-40B4-BE49-F238E27FC236}">
              <a16:creationId xmlns:a16="http://schemas.microsoft.com/office/drawing/2014/main" id="{2BDF82F3-6315-4607-BDAA-ED8672BC49ED}"/>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5262"/>
    <xdr:sp macro="" textlink="">
      <xdr:nvSpPr>
        <xdr:cNvPr id="4425" name="AutoShape 231" descr="Resultado de imagen para beer consumption trend">
          <a:extLst>
            <a:ext uri="{FF2B5EF4-FFF2-40B4-BE49-F238E27FC236}">
              <a16:creationId xmlns:a16="http://schemas.microsoft.com/office/drawing/2014/main" id="{8656335B-AF5F-4BDF-9748-A64210AF1640}"/>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8437"/>
    <xdr:sp macro="" textlink="">
      <xdr:nvSpPr>
        <xdr:cNvPr id="4426" name="AutoShape 231" descr="Resultado de imagen para beer consumption trend">
          <a:extLst>
            <a:ext uri="{FF2B5EF4-FFF2-40B4-BE49-F238E27FC236}">
              <a16:creationId xmlns:a16="http://schemas.microsoft.com/office/drawing/2014/main" id="{B60B358D-4C79-4FA8-BB73-DDF66F8AF560}"/>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5262"/>
    <xdr:sp macro="" textlink="">
      <xdr:nvSpPr>
        <xdr:cNvPr id="4427" name="AutoShape 231" descr="Resultado de imagen para beer consumption trend">
          <a:extLst>
            <a:ext uri="{FF2B5EF4-FFF2-40B4-BE49-F238E27FC236}">
              <a16:creationId xmlns:a16="http://schemas.microsoft.com/office/drawing/2014/main" id="{522727EB-DAD8-4DDD-A62B-0CCA8E227065}"/>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8437"/>
    <xdr:sp macro="" textlink="">
      <xdr:nvSpPr>
        <xdr:cNvPr id="4428" name="AutoShape 231" descr="Resultado de imagen para beer consumption trend">
          <a:extLst>
            <a:ext uri="{FF2B5EF4-FFF2-40B4-BE49-F238E27FC236}">
              <a16:creationId xmlns:a16="http://schemas.microsoft.com/office/drawing/2014/main" id="{4F4BF60C-BE71-47E0-9193-48B5A5ABC31A}"/>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5262"/>
    <xdr:sp macro="" textlink="">
      <xdr:nvSpPr>
        <xdr:cNvPr id="4429" name="AutoShape 231" descr="Resultado de imagen para beer consumption trend">
          <a:extLst>
            <a:ext uri="{FF2B5EF4-FFF2-40B4-BE49-F238E27FC236}">
              <a16:creationId xmlns:a16="http://schemas.microsoft.com/office/drawing/2014/main" id="{C426B9ED-B726-4C0D-9422-2B5B9CAE098C}"/>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8437"/>
    <xdr:sp macro="" textlink="">
      <xdr:nvSpPr>
        <xdr:cNvPr id="4430" name="AutoShape 231" descr="Resultado de imagen para beer consumption trend">
          <a:extLst>
            <a:ext uri="{FF2B5EF4-FFF2-40B4-BE49-F238E27FC236}">
              <a16:creationId xmlns:a16="http://schemas.microsoft.com/office/drawing/2014/main" id="{360558E3-4B58-46CC-8FEC-1CF651C3D2CC}"/>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5262"/>
    <xdr:sp macro="" textlink="">
      <xdr:nvSpPr>
        <xdr:cNvPr id="4431" name="AutoShape 231" descr="Resultado de imagen para beer consumption trend">
          <a:extLst>
            <a:ext uri="{FF2B5EF4-FFF2-40B4-BE49-F238E27FC236}">
              <a16:creationId xmlns:a16="http://schemas.microsoft.com/office/drawing/2014/main" id="{9472EC25-8FBF-45CA-8FC4-DFE4BE3AAA29}"/>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8437"/>
    <xdr:sp macro="" textlink="">
      <xdr:nvSpPr>
        <xdr:cNvPr id="4432" name="AutoShape 231" descr="Resultado de imagen para beer consumption trend">
          <a:extLst>
            <a:ext uri="{FF2B5EF4-FFF2-40B4-BE49-F238E27FC236}">
              <a16:creationId xmlns:a16="http://schemas.microsoft.com/office/drawing/2014/main" id="{85962208-8E3F-4A7B-BA20-791F6A289EB6}"/>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5262"/>
    <xdr:sp macro="" textlink="">
      <xdr:nvSpPr>
        <xdr:cNvPr id="4433" name="AutoShape 231" descr="Resultado de imagen para beer consumption trend">
          <a:extLst>
            <a:ext uri="{FF2B5EF4-FFF2-40B4-BE49-F238E27FC236}">
              <a16:creationId xmlns:a16="http://schemas.microsoft.com/office/drawing/2014/main" id="{2A503236-CCCE-48D8-8923-2D242443084D}"/>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8437"/>
    <xdr:sp macro="" textlink="">
      <xdr:nvSpPr>
        <xdr:cNvPr id="4434" name="AutoShape 231" descr="Resultado de imagen para beer consumption trend">
          <a:extLst>
            <a:ext uri="{FF2B5EF4-FFF2-40B4-BE49-F238E27FC236}">
              <a16:creationId xmlns:a16="http://schemas.microsoft.com/office/drawing/2014/main" id="{94FBB4F9-B6BB-4721-ABB1-B0C1E6141AEC}"/>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5262"/>
    <xdr:sp macro="" textlink="">
      <xdr:nvSpPr>
        <xdr:cNvPr id="4435" name="AutoShape 231" descr="Resultado de imagen para beer consumption trend">
          <a:extLst>
            <a:ext uri="{FF2B5EF4-FFF2-40B4-BE49-F238E27FC236}">
              <a16:creationId xmlns:a16="http://schemas.microsoft.com/office/drawing/2014/main" id="{5AB33BF8-F2D9-40AD-8F12-DE0492A87610}"/>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8437"/>
    <xdr:sp macro="" textlink="">
      <xdr:nvSpPr>
        <xdr:cNvPr id="4436" name="AutoShape 231" descr="Resultado de imagen para beer consumption trend">
          <a:extLst>
            <a:ext uri="{FF2B5EF4-FFF2-40B4-BE49-F238E27FC236}">
              <a16:creationId xmlns:a16="http://schemas.microsoft.com/office/drawing/2014/main" id="{5D46A7EF-A4FF-44C8-9185-1B2027339FB4}"/>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5262"/>
    <xdr:sp macro="" textlink="">
      <xdr:nvSpPr>
        <xdr:cNvPr id="4437" name="AutoShape 231" descr="Resultado de imagen para beer consumption trend">
          <a:extLst>
            <a:ext uri="{FF2B5EF4-FFF2-40B4-BE49-F238E27FC236}">
              <a16:creationId xmlns:a16="http://schemas.microsoft.com/office/drawing/2014/main" id="{52FAE1E6-A552-40C9-B8FA-DF01B91F4AE7}"/>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8437"/>
    <xdr:sp macro="" textlink="">
      <xdr:nvSpPr>
        <xdr:cNvPr id="4438" name="AutoShape 231" descr="Resultado de imagen para beer consumption trend">
          <a:extLst>
            <a:ext uri="{FF2B5EF4-FFF2-40B4-BE49-F238E27FC236}">
              <a16:creationId xmlns:a16="http://schemas.microsoft.com/office/drawing/2014/main" id="{CEF427C8-9DD8-49F4-83C9-942586B605F8}"/>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5262"/>
    <xdr:sp macro="" textlink="">
      <xdr:nvSpPr>
        <xdr:cNvPr id="4439" name="AutoShape 231" descr="Resultado de imagen para beer consumption trend">
          <a:extLst>
            <a:ext uri="{FF2B5EF4-FFF2-40B4-BE49-F238E27FC236}">
              <a16:creationId xmlns:a16="http://schemas.microsoft.com/office/drawing/2014/main" id="{79302B23-C11B-4F30-ADE9-9719374B10D6}"/>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8437"/>
    <xdr:sp macro="" textlink="">
      <xdr:nvSpPr>
        <xdr:cNvPr id="4440" name="AutoShape 231" descr="Resultado de imagen para beer consumption trend">
          <a:extLst>
            <a:ext uri="{FF2B5EF4-FFF2-40B4-BE49-F238E27FC236}">
              <a16:creationId xmlns:a16="http://schemas.microsoft.com/office/drawing/2014/main" id="{5EECCB30-C5C0-4F7C-9264-9DFE90F9E351}"/>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5262"/>
    <xdr:sp macro="" textlink="">
      <xdr:nvSpPr>
        <xdr:cNvPr id="4441" name="AutoShape 231" descr="Resultado de imagen para beer consumption trend">
          <a:extLst>
            <a:ext uri="{FF2B5EF4-FFF2-40B4-BE49-F238E27FC236}">
              <a16:creationId xmlns:a16="http://schemas.microsoft.com/office/drawing/2014/main" id="{A13A0B4F-5783-4589-AD26-17ED9CBEFD75}"/>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8437"/>
    <xdr:sp macro="" textlink="">
      <xdr:nvSpPr>
        <xdr:cNvPr id="4442" name="AutoShape 231" descr="Resultado de imagen para beer consumption trend">
          <a:extLst>
            <a:ext uri="{FF2B5EF4-FFF2-40B4-BE49-F238E27FC236}">
              <a16:creationId xmlns:a16="http://schemas.microsoft.com/office/drawing/2014/main" id="{4947ABCF-2C7A-42AF-AB38-A3A26A14119B}"/>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5262"/>
    <xdr:sp macro="" textlink="">
      <xdr:nvSpPr>
        <xdr:cNvPr id="4443" name="AutoShape 231" descr="Resultado de imagen para beer consumption trend">
          <a:extLst>
            <a:ext uri="{FF2B5EF4-FFF2-40B4-BE49-F238E27FC236}">
              <a16:creationId xmlns:a16="http://schemas.microsoft.com/office/drawing/2014/main" id="{3D030D3A-445D-4D4E-BA20-4F0AFC0B5A7F}"/>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8437"/>
    <xdr:sp macro="" textlink="">
      <xdr:nvSpPr>
        <xdr:cNvPr id="4444" name="AutoShape 231" descr="Resultado de imagen para beer consumption trend">
          <a:extLst>
            <a:ext uri="{FF2B5EF4-FFF2-40B4-BE49-F238E27FC236}">
              <a16:creationId xmlns:a16="http://schemas.microsoft.com/office/drawing/2014/main" id="{1197609B-E1FB-4FE4-BCC2-21142AE636F2}"/>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5262"/>
    <xdr:sp macro="" textlink="">
      <xdr:nvSpPr>
        <xdr:cNvPr id="4445" name="AutoShape 231" descr="Resultado de imagen para beer consumption trend">
          <a:extLst>
            <a:ext uri="{FF2B5EF4-FFF2-40B4-BE49-F238E27FC236}">
              <a16:creationId xmlns:a16="http://schemas.microsoft.com/office/drawing/2014/main" id="{E06E8D65-44F2-4EF5-A708-8507827FBE99}"/>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8437"/>
    <xdr:sp macro="" textlink="">
      <xdr:nvSpPr>
        <xdr:cNvPr id="4446" name="AutoShape 231" descr="Resultado de imagen para beer consumption trend">
          <a:extLst>
            <a:ext uri="{FF2B5EF4-FFF2-40B4-BE49-F238E27FC236}">
              <a16:creationId xmlns:a16="http://schemas.microsoft.com/office/drawing/2014/main" id="{56CAE8B1-63D2-4BC7-8273-3EB41B6D01BB}"/>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5262"/>
    <xdr:sp macro="" textlink="">
      <xdr:nvSpPr>
        <xdr:cNvPr id="4447" name="AutoShape 231" descr="Resultado de imagen para beer consumption trend">
          <a:extLst>
            <a:ext uri="{FF2B5EF4-FFF2-40B4-BE49-F238E27FC236}">
              <a16:creationId xmlns:a16="http://schemas.microsoft.com/office/drawing/2014/main" id="{BF140C17-2AC5-475A-BDED-265C7E957617}"/>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8437"/>
    <xdr:sp macro="" textlink="">
      <xdr:nvSpPr>
        <xdr:cNvPr id="4448" name="AutoShape 231" descr="Resultado de imagen para beer consumption trend">
          <a:extLst>
            <a:ext uri="{FF2B5EF4-FFF2-40B4-BE49-F238E27FC236}">
              <a16:creationId xmlns:a16="http://schemas.microsoft.com/office/drawing/2014/main" id="{45445B4F-1E5D-41C7-8473-B07073C5806C}"/>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5262"/>
    <xdr:sp macro="" textlink="">
      <xdr:nvSpPr>
        <xdr:cNvPr id="4449" name="AutoShape 231" descr="Resultado de imagen para beer consumption trend">
          <a:extLst>
            <a:ext uri="{FF2B5EF4-FFF2-40B4-BE49-F238E27FC236}">
              <a16:creationId xmlns:a16="http://schemas.microsoft.com/office/drawing/2014/main" id="{EFD39EC9-EC15-41E6-B03E-D7A57F7D4A6C}"/>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8437"/>
    <xdr:sp macro="" textlink="">
      <xdr:nvSpPr>
        <xdr:cNvPr id="4450" name="AutoShape 231" descr="Resultado de imagen para beer consumption trend">
          <a:extLst>
            <a:ext uri="{FF2B5EF4-FFF2-40B4-BE49-F238E27FC236}">
              <a16:creationId xmlns:a16="http://schemas.microsoft.com/office/drawing/2014/main" id="{84A0F87F-9864-40DD-A96A-510FCE5A4651}"/>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5262"/>
    <xdr:sp macro="" textlink="">
      <xdr:nvSpPr>
        <xdr:cNvPr id="4451" name="AutoShape 231" descr="Resultado de imagen para beer consumption trend">
          <a:extLst>
            <a:ext uri="{FF2B5EF4-FFF2-40B4-BE49-F238E27FC236}">
              <a16:creationId xmlns:a16="http://schemas.microsoft.com/office/drawing/2014/main" id="{9C1D81A6-4C88-452C-B07F-90F50404064B}"/>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8437"/>
    <xdr:sp macro="" textlink="">
      <xdr:nvSpPr>
        <xdr:cNvPr id="4452" name="AutoShape 231" descr="Resultado de imagen para beer consumption trend">
          <a:extLst>
            <a:ext uri="{FF2B5EF4-FFF2-40B4-BE49-F238E27FC236}">
              <a16:creationId xmlns:a16="http://schemas.microsoft.com/office/drawing/2014/main" id="{8C9BDF50-F972-403F-BD2A-7995AF431711}"/>
            </a:ext>
            <a:ext uri="{147F2762-F138-4A5C-976F-8EAC2B608ADB}">
              <a16:predDERef xmlns:a16="http://schemas.microsoft.com/office/drawing/2014/main" pred="{3CF1F5AE-6861-41C2-9B30-AFAC3FBC7425}"/>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5262"/>
    <xdr:sp macro="" textlink="">
      <xdr:nvSpPr>
        <xdr:cNvPr id="4453" name="AutoShape 231" descr="Resultado de imagen para beer consumption trend">
          <a:extLst>
            <a:ext uri="{FF2B5EF4-FFF2-40B4-BE49-F238E27FC236}">
              <a16:creationId xmlns:a16="http://schemas.microsoft.com/office/drawing/2014/main" id="{05EB43A9-E4DA-4009-A8C0-B37B885277BD}"/>
            </a:ext>
            <a:ext uri="{147F2762-F138-4A5C-976F-8EAC2B608ADB}">
              <a16:predDERef xmlns:a16="http://schemas.microsoft.com/office/drawing/2014/main" pred="{8FFA8589-2420-431C-9BE3-91E92694234B}"/>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8437"/>
    <xdr:sp macro="" textlink="">
      <xdr:nvSpPr>
        <xdr:cNvPr id="4454" name="AutoShape 231" descr="Resultado de imagen para beer consumption trend">
          <a:extLst>
            <a:ext uri="{FF2B5EF4-FFF2-40B4-BE49-F238E27FC236}">
              <a16:creationId xmlns:a16="http://schemas.microsoft.com/office/drawing/2014/main" id="{7C3A1B65-1F92-437C-9829-1812045D7DA4}"/>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5262"/>
    <xdr:sp macro="" textlink="">
      <xdr:nvSpPr>
        <xdr:cNvPr id="4455" name="AutoShape 231" descr="Resultado de imagen para beer consumption trend">
          <a:extLst>
            <a:ext uri="{FF2B5EF4-FFF2-40B4-BE49-F238E27FC236}">
              <a16:creationId xmlns:a16="http://schemas.microsoft.com/office/drawing/2014/main" id="{BF7E1CF1-A183-4F79-BBD8-1FEE623E3C50}"/>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8437"/>
    <xdr:sp macro="" textlink="">
      <xdr:nvSpPr>
        <xdr:cNvPr id="4456" name="AutoShape 231" descr="Resultado de imagen para beer consumption trend">
          <a:extLst>
            <a:ext uri="{FF2B5EF4-FFF2-40B4-BE49-F238E27FC236}">
              <a16:creationId xmlns:a16="http://schemas.microsoft.com/office/drawing/2014/main" id="{C0B1E70E-00EC-4FC8-B13F-F48A0C550E35}"/>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5262"/>
    <xdr:sp macro="" textlink="">
      <xdr:nvSpPr>
        <xdr:cNvPr id="4457" name="AutoShape 231" descr="Resultado de imagen para beer consumption trend">
          <a:extLst>
            <a:ext uri="{FF2B5EF4-FFF2-40B4-BE49-F238E27FC236}">
              <a16:creationId xmlns:a16="http://schemas.microsoft.com/office/drawing/2014/main" id="{1A7E5EFC-ACCF-425A-A6F4-D75CEC3D5394}"/>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8437"/>
    <xdr:sp macro="" textlink="">
      <xdr:nvSpPr>
        <xdr:cNvPr id="4458" name="AutoShape 231" descr="Resultado de imagen para beer consumption trend">
          <a:extLst>
            <a:ext uri="{FF2B5EF4-FFF2-40B4-BE49-F238E27FC236}">
              <a16:creationId xmlns:a16="http://schemas.microsoft.com/office/drawing/2014/main" id="{EF1FB662-9830-43D1-B919-6627F4A07AF6}"/>
            </a:ext>
            <a:ext uri="{147F2762-F138-4A5C-976F-8EAC2B608ADB}">
              <a16:predDERef xmlns:a16="http://schemas.microsoft.com/office/drawing/2014/main" pred="{51BD70BA-2359-4A50-B59F-5B0BEF0C392F}"/>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5262"/>
    <xdr:sp macro="" textlink="">
      <xdr:nvSpPr>
        <xdr:cNvPr id="4459" name="AutoShape 231" descr="Resultado de imagen para beer consumption trend">
          <a:extLst>
            <a:ext uri="{FF2B5EF4-FFF2-40B4-BE49-F238E27FC236}">
              <a16:creationId xmlns:a16="http://schemas.microsoft.com/office/drawing/2014/main" id="{3AD4AB1A-573C-4A15-A518-0CA4CE637C4B}"/>
            </a:ext>
            <a:ext uri="{147F2762-F138-4A5C-976F-8EAC2B608ADB}">
              <a16:predDERef xmlns:a16="http://schemas.microsoft.com/office/drawing/2014/main" pred="{5B487EE6-F432-448A-B61C-F9E2F93B3A4F}"/>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8437"/>
    <xdr:sp macro="" textlink="">
      <xdr:nvSpPr>
        <xdr:cNvPr id="4460" name="AutoShape 231" descr="Resultado de imagen para beer consumption trend">
          <a:extLst>
            <a:ext uri="{FF2B5EF4-FFF2-40B4-BE49-F238E27FC236}">
              <a16:creationId xmlns:a16="http://schemas.microsoft.com/office/drawing/2014/main" id="{B75B3F0A-45CF-4336-A74B-2FF8217E3059}"/>
            </a:ext>
            <a:ext uri="{147F2762-F138-4A5C-976F-8EAC2B608ADB}">
              <a16:predDERef xmlns:a16="http://schemas.microsoft.com/office/drawing/2014/main" pred="{1D1DCF27-8E58-4282-8A1B-D70BEBF8B864}"/>
            </a:ext>
          </a:extLst>
        </xdr:cNvPr>
        <xdr:cNvSpPr>
          <a:spLocks noChangeAspect="1" noChangeArrowheads="1"/>
        </xdr:cNvSpPr>
      </xdr:nvSpPr>
      <xdr:spPr bwMode="auto">
        <a:xfrm>
          <a:off x="13423515" y="13377333"/>
          <a:ext cx="304800" cy="3084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48</xdr:row>
      <xdr:rowOff>0</xdr:rowOff>
    </xdr:from>
    <xdr:ext cx="304800" cy="305262"/>
    <xdr:sp macro="" textlink="">
      <xdr:nvSpPr>
        <xdr:cNvPr id="4461" name="AutoShape 231" descr="Resultado de imagen para beer consumption trend">
          <a:extLst>
            <a:ext uri="{FF2B5EF4-FFF2-40B4-BE49-F238E27FC236}">
              <a16:creationId xmlns:a16="http://schemas.microsoft.com/office/drawing/2014/main" id="{21554D34-2784-49D9-8C9A-60B79B452748}"/>
            </a:ext>
            <a:ext uri="{147F2762-F138-4A5C-976F-8EAC2B608ADB}">
              <a16:predDERef xmlns:a16="http://schemas.microsoft.com/office/drawing/2014/main" pred="{FC75DF74-0F93-4B9E-AE1B-340811263178}"/>
            </a:ext>
          </a:extLst>
        </xdr:cNvPr>
        <xdr:cNvSpPr>
          <a:spLocks noChangeAspect="1" noChangeArrowheads="1"/>
        </xdr:cNvSpPr>
      </xdr:nvSpPr>
      <xdr:spPr bwMode="auto">
        <a:xfrm>
          <a:off x="13423515" y="13377333"/>
          <a:ext cx="304800" cy="305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4.xml><?xml version="1.0" encoding="utf-8"?>
<xdr:wsDr xmlns:xdr="http://schemas.openxmlformats.org/drawingml/2006/spreadsheetDrawing" xmlns:a="http://schemas.openxmlformats.org/drawingml/2006/main">
  <xdr:twoCellAnchor>
    <xdr:from>
      <xdr:col>18</xdr:col>
      <xdr:colOff>262618</xdr:colOff>
      <xdr:row>1</xdr:row>
      <xdr:rowOff>112145</xdr:rowOff>
    </xdr:from>
    <xdr:to>
      <xdr:col>22</xdr:col>
      <xdr:colOff>953521</xdr:colOff>
      <xdr:row>7</xdr:row>
      <xdr:rowOff>204220</xdr:rowOff>
    </xdr:to>
    <xdr:graphicFrame macro="">
      <xdr:nvGraphicFramePr>
        <xdr:cNvPr id="310" name="Gráfico 8">
          <a:extLst>
            <a:ext uri="{FF2B5EF4-FFF2-40B4-BE49-F238E27FC236}">
              <a16:creationId xmlns:a16="http://schemas.microsoft.com/office/drawing/2014/main" id="{834A8E00-B31D-EC7A-4166-66F40E6412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281667</xdr:colOff>
      <xdr:row>8</xdr:row>
      <xdr:rowOff>95703</xdr:rowOff>
    </xdr:from>
    <xdr:to>
      <xdr:col>22</xdr:col>
      <xdr:colOff>967127</xdr:colOff>
      <xdr:row>13</xdr:row>
      <xdr:rowOff>87766</xdr:rowOff>
    </xdr:to>
    <xdr:graphicFrame macro="">
      <xdr:nvGraphicFramePr>
        <xdr:cNvPr id="301" name="Gráfico 9">
          <a:extLst>
            <a:ext uri="{FF2B5EF4-FFF2-40B4-BE49-F238E27FC236}">
              <a16:creationId xmlns:a16="http://schemas.microsoft.com/office/drawing/2014/main" id="{CF12CB32-795F-7528-355F-ABE1EF8A57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294254</xdr:colOff>
      <xdr:row>14</xdr:row>
      <xdr:rowOff>50688</xdr:rowOff>
    </xdr:from>
    <xdr:to>
      <xdr:col>22</xdr:col>
      <xdr:colOff>979714</xdr:colOff>
      <xdr:row>20</xdr:row>
      <xdr:rowOff>134825</xdr:rowOff>
    </xdr:to>
    <xdr:graphicFrame macro="">
      <xdr:nvGraphicFramePr>
        <xdr:cNvPr id="284" name="Gráfico 10">
          <a:extLst>
            <a:ext uri="{FF2B5EF4-FFF2-40B4-BE49-F238E27FC236}">
              <a16:creationId xmlns:a16="http://schemas.microsoft.com/office/drawing/2014/main" id="{E53AAB4F-BCF1-AFDB-6C67-D6DB06F294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283368</xdr:colOff>
      <xdr:row>21</xdr:row>
      <xdr:rowOff>141743</xdr:rowOff>
    </xdr:from>
    <xdr:to>
      <xdr:col>22</xdr:col>
      <xdr:colOff>968828</xdr:colOff>
      <xdr:row>29</xdr:row>
      <xdr:rowOff>29030</xdr:rowOff>
    </xdr:to>
    <xdr:graphicFrame macro="">
      <xdr:nvGraphicFramePr>
        <xdr:cNvPr id="271" name="Gráfico 11">
          <a:extLst>
            <a:ext uri="{FF2B5EF4-FFF2-40B4-BE49-F238E27FC236}">
              <a16:creationId xmlns:a16="http://schemas.microsoft.com/office/drawing/2014/main" id="{278A061F-1821-F77F-C4FB-83DCDAE485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857250</xdr:colOff>
      <xdr:row>80</xdr:row>
      <xdr:rowOff>85725</xdr:rowOff>
    </xdr:from>
    <xdr:to>
      <xdr:col>9</xdr:col>
      <xdr:colOff>1085849</xdr:colOff>
      <xdr:row>87</xdr:row>
      <xdr:rowOff>15240</xdr:rowOff>
    </xdr:to>
    <xdr:pic>
      <xdr:nvPicPr>
        <xdr:cNvPr id="11" name="Picture 1">
          <a:extLst>
            <a:ext uri="{FF2B5EF4-FFF2-40B4-BE49-F238E27FC236}">
              <a16:creationId xmlns:a16="http://schemas.microsoft.com/office/drawing/2014/main" id="{EE46F665-AB7C-DE9C-8111-37FED9C0F472}"/>
            </a:ext>
          </a:extLst>
        </xdr:cNvPr>
        <xdr:cNvPicPr>
          <a:picLocks noChangeAspect="1"/>
        </xdr:cNvPicPr>
      </xdr:nvPicPr>
      <xdr:blipFill>
        <a:blip xmlns:r="http://schemas.openxmlformats.org/officeDocument/2006/relationships" r:embed="rId1"/>
        <a:stretch>
          <a:fillRect/>
        </a:stretch>
      </xdr:blipFill>
      <xdr:spPr>
        <a:xfrm>
          <a:off x="7810500" y="13811250"/>
          <a:ext cx="1162050" cy="1276350"/>
        </a:xfrm>
        <a:prstGeom prst="rect">
          <a:avLst/>
        </a:prstGeom>
      </xdr:spPr>
    </xdr:pic>
    <xdr:clientData/>
  </xdr:twoCellAnchor>
  <xdr:twoCellAnchor>
    <xdr:from>
      <xdr:col>10</xdr:col>
      <xdr:colOff>413385</xdr:colOff>
      <xdr:row>137</xdr:row>
      <xdr:rowOff>53340</xdr:rowOff>
    </xdr:from>
    <xdr:to>
      <xdr:col>15</xdr:col>
      <xdr:colOff>91440</xdr:colOff>
      <xdr:row>154</xdr:row>
      <xdr:rowOff>28575</xdr:rowOff>
    </xdr:to>
    <xdr:graphicFrame macro="">
      <xdr:nvGraphicFramePr>
        <xdr:cNvPr id="4" name="Chart 1">
          <a:extLst>
            <a:ext uri="{FF2B5EF4-FFF2-40B4-BE49-F238E27FC236}">
              <a16:creationId xmlns:a16="http://schemas.microsoft.com/office/drawing/2014/main" id="{FA427822-C4A4-9067-8C9A-52D953D3F169}"/>
            </a:ext>
            <a:ext uri="{147F2762-F138-4A5C-976F-8EAC2B608ADB}">
              <a16:predDERef xmlns:a16="http://schemas.microsoft.com/office/drawing/2014/main" pred="{EE46F665-AB7C-DE9C-8111-37FED9C0F4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316230</xdr:colOff>
      <xdr:row>162</xdr:row>
      <xdr:rowOff>123825</xdr:rowOff>
    </xdr:from>
    <xdr:to>
      <xdr:col>21</xdr:col>
      <xdr:colOff>949760</xdr:colOff>
      <xdr:row>197</xdr:row>
      <xdr:rowOff>75125</xdr:rowOff>
    </xdr:to>
    <xdr:pic>
      <xdr:nvPicPr>
        <xdr:cNvPr id="5" name="Picture 4">
          <a:extLst>
            <a:ext uri="{FF2B5EF4-FFF2-40B4-BE49-F238E27FC236}">
              <a16:creationId xmlns:a16="http://schemas.microsoft.com/office/drawing/2014/main" id="{14C29B70-208A-895D-300C-EF3FAB5CEE6A}"/>
            </a:ext>
          </a:extLst>
        </xdr:cNvPr>
        <xdr:cNvPicPr>
          <a:picLocks noChangeAspect="1"/>
        </xdr:cNvPicPr>
      </xdr:nvPicPr>
      <xdr:blipFill>
        <a:blip xmlns:r="http://schemas.openxmlformats.org/officeDocument/2006/relationships" r:embed="rId3"/>
        <a:stretch>
          <a:fillRect/>
        </a:stretch>
      </xdr:blipFill>
      <xdr:spPr>
        <a:xfrm>
          <a:off x="15260955" y="28936950"/>
          <a:ext cx="7672505" cy="5950145"/>
        </a:xfrm>
        <a:prstGeom prst="rect">
          <a:avLst/>
        </a:prstGeom>
      </xdr:spPr>
    </xdr:pic>
    <xdr:clientData/>
  </xdr:twoCellAnchor>
  <xdr:twoCellAnchor editAs="oneCell">
    <xdr:from>
      <xdr:col>6</xdr:col>
      <xdr:colOff>382905</xdr:colOff>
      <xdr:row>263</xdr:row>
      <xdr:rowOff>140970</xdr:rowOff>
    </xdr:from>
    <xdr:to>
      <xdr:col>13</xdr:col>
      <xdr:colOff>269692</xdr:colOff>
      <xdr:row>295</xdr:row>
      <xdr:rowOff>155116</xdr:rowOff>
    </xdr:to>
    <xdr:pic>
      <xdr:nvPicPr>
        <xdr:cNvPr id="6" name="Picture 5">
          <a:extLst>
            <a:ext uri="{FF2B5EF4-FFF2-40B4-BE49-F238E27FC236}">
              <a16:creationId xmlns:a16="http://schemas.microsoft.com/office/drawing/2014/main" id="{6C53D20F-6B5A-E615-2087-D8EC0D8EDA4D}"/>
            </a:ext>
          </a:extLst>
        </xdr:cNvPr>
        <xdr:cNvPicPr>
          <a:picLocks noChangeAspect="1"/>
        </xdr:cNvPicPr>
      </xdr:nvPicPr>
      <xdr:blipFill>
        <a:blip xmlns:r="http://schemas.openxmlformats.org/officeDocument/2006/relationships" r:embed="rId4"/>
        <a:stretch>
          <a:fillRect/>
        </a:stretch>
      </xdr:blipFill>
      <xdr:spPr>
        <a:xfrm>
          <a:off x="7698105" y="39936420"/>
          <a:ext cx="7783012" cy="5795820"/>
        </a:xfrm>
        <a:prstGeom prst="rect">
          <a:avLst/>
        </a:prstGeom>
      </xdr:spPr>
    </xdr:pic>
    <xdr:clientData/>
  </xdr:twoCellAnchor>
  <xdr:twoCellAnchor editAs="oneCell">
    <xdr:from>
      <xdr:col>0</xdr:col>
      <xdr:colOff>0</xdr:colOff>
      <xdr:row>261</xdr:row>
      <xdr:rowOff>1905</xdr:rowOff>
    </xdr:from>
    <xdr:to>
      <xdr:col>4</xdr:col>
      <xdr:colOff>857773</xdr:colOff>
      <xdr:row>291</xdr:row>
      <xdr:rowOff>130312</xdr:rowOff>
    </xdr:to>
    <xdr:pic>
      <xdr:nvPicPr>
        <xdr:cNvPr id="7" name="Picture 6">
          <a:extLst>
            <a:ext uri="{FF2B5EF4-FFF2-40B4-BE49-F238E27FC236}">
              <a16:creationId xmlns:a16="http://schemas.microsoft.com/office/drawing/2014/main" id="{061FDA2D-32C6-C642-45E0-BA29B722195B}"/>
            </a:ext>
          </a:extLst>
        </xdr:cNvPr>
        <xdr:cNvPicPr>
          <a:picLocks noChangeAspect="1"/>
        </xdr:cNvPicPr>
      </xdr:nvPicPr>
      <xdr:blipFill>
        <a:blip xmlns:r="http://schemas.openxmlformats.org/officeDocument/2006/relationships" r:embed="rId5"/>
        <a:stretch>
          <a:fillRect/>
        </a:stretch>
      </xdr:blipFill>
      <xdr:spPr>
        <a:xfrm>
          <a:off x="0" y="39444930"/>
          <a:ext cx="7722045" cy="5530987"/>
        </a:xfrm>
        <a:prstGeom prst="rect">
          <a:avLst/>
        </a:prstGeom>
      </xdr:spPr>
    </xdr:pic>
    <xdr:clientData/>
  </xdr:twoCellAnchor>
  <xdr:twoCellAnchor editAs="oneCell">
    <xdr:from>
      <xdr:col>6</xdr:col>
      <xdr:colOff>581527</xdr:colOff>
      <xdr:row>302</xdr:row>
      <xdr:rowOff>119629</xdr:rowOff>
    </xdr:from>
    <xdr:to>
      <xdr:col>13</xdr:col>
      <xdr:colOff>822910</xdr:colOff>
      <xdr:row>349</xdr:row>
      <xdr:rowOff>98877</xdr:rowOff>
    </xdr:to>
    <xdr:pic>
      <xdr:nvPicPr>
        <xdr:cNvPr id="10" name="Picture 9">
          <a:extLst>
            <a:ext uri="{FF2B5EF4-FFF2-40B4-BE49-F238E27FC236}">
              <a16:creationId xmlns:a16="http://schemas.microsoft.com/office/drawing/2014/main" id="{81E529DC-F9CE-D3AA-7769-35285C409FCD}"/>
            </a:ext>
          </a:extLst>
        </xdr:cNvPr>
        <xdr:cNvPicPr>
          <a:picLocks noChangeAspect="1"/>
        </xdr:cNvPicPr>
      </xdr:nvPicPr>
      <xdr:blipFill>
        <a:blip xmlns:r="http://schemas.openxmlformats.org/officeDocument/2006/relationships" r:embed="rId6"/>
        <a:stretch>
          <a:fillRect/>
        </a:stretch>
      </xdr:blipFill>
      <xdr:spPr>
        <a:xfrm>
          <a:off x="7860632" y="47664418"/>
          <a:ext cx="8152547" cy="7723374"/>
        </a:xfrm>
        <a:prstGeom prst="rect">
          <a:avLst/>
        </a:prstGeom>
      </xdr:spPr>
    </xdr:pic>
    <xdr:clientData/>
  </xdr:twoCellAnchor>
  <xdr:twoCellAnchor editAs="oneCell">
    <xdr:from>
      <xdr:col>12</xdr:col>
      <xdr:colOff>739140</xdr:colOff>
      <xdr:row>194</xdr:row>
      <xdr:rowOff>120015</xdr:rowOff>
    </xdr:from>
    <xdr:to>
      <xdr:col>21</xdr:col>
      <xdr:colOff>359189</xdr:colOff>
      <xdr:row>200</xdr:row>
      <xdr:rowOff>129688</xdr:rowOff>
    </xdr:to>
    <xdr:pic>
      <xdr:nvPicPr>
        <xdr:cNvPr id="12" name="Picture 11">
          <a:extLst>
            <a:ext uri="{FF2B5EF4-FFF2-40B4-BE49-F238E27FC236}">
              <a16:creationId xmlns:a16="http://schemas.microsoft.com/office/drawing/2014/main" id="{5849A02F-F4D9-B2D4-BB30-4E1ACE56CDF7}"/>
            </a:ext>
          </a:extLst>
        </xdr:cNvPr>
        <xdr:cNvPicPr>
          <a:picLocks noChangeAspect="1"/>
        </xdr:cNvPicPr>
      </xdr:nvPicPr>
      <xdr:blipFill>
        <a:blip xmlns:r="http://schemas.openxmlformats.org/officeDocument/2006/relationships" r:embed="rId7"/>
        <a:stretch>
          <a:fillRect/>
        </a:stretch>
      </xdr:blipFill>
      <xdr:spPr>
        <a:xfrm>
          <a:off x="15093315" y="34419540"/>
          <a:ext cx="7508654" cy="1030753"/>
        </a:xfrm>
        <a:prstGeom prst="rect">
          <a:avLst/>
        </a:prstGeom>
      </xdr:spPr>
    </xdr:pic>
    <xdr:clientData/>
  </xdr:twoCellAnchor>
  <xdr:twoCellAnchor editAs="oneCell">
    <xdr:from>
      <xdr:col>12</xdr:col>
      <xdr:colOff>742850</xdr:colOff>
      <xdr:row>203</xdr:row>
      <xdr:rowOff>40004</xdr:rowOff>
    </xdr:from>
    <xdr:to>
      <xdr:col>21</xdr:col>
      <xdr:colOff>477215</xdr:colOff>
      <xdr:row>208</xdr:row>
      <xdr:rowOff>91564</xdr:rowOff>
    </xdr:to>
    <xdr:pic>
      <xdr:nvPicPr>
        <xdr:cNvPr id="13" name="Picture 12">
          <a:extLst>
            <a:ext uri="{FF2B5EF4-FFF2-40B4-BE49-F238E27FC236}">
              <a16:creationId xmlns:a16="http://schemas.microsoft.com/office/drawing/2014/main" id="{CCF03DFC-C278-3A46-1113-16CCF76CF3E4}"/>
            </a:ext>
          </a:extLst>
        </xdr:cNvPr>
        <xdr:cNvPicPr>
          <a:picLocks noChangeAspect="1"/>
        </xdr:cNvPicPr>
      </xdr:nvPicPr>
      <xdr:blipFill>
        <a:blip xmlns:r="http://schemas.openxmlformats.org/officeDocument/2006/relationships" r:embed="rId8"/>
        <a:stretch>
          <a:fillRect/>
        </a:stretch>
      </xdr:blipFill>
      <xdr:spPr>
        <a:xfrm>
          <a:off x="15040376" y="34931583"/>
          <a:ext cx="7671397" cy="857475"/>
        </a:xfrm>
        <a:prstGeom prst="rect">
          <a:avLst/>
        </a:prstGeom>
      </xdr:spPr>
    </xdr:pic>
    <xdr:clientData/>
  </xdr:twoCellAnchor>
  <xdr:twoCellAnchor editAs="oneCell">
    <xdr:from>
      <xdr:col>12</xdr:col>
      <xdr:colOff>502820</xdr:colOff>
      <xdr:row>209</xdr:row>
      <xdr:rowOff>114299</xdr:rowOff>
    </xdr:from>
    <xdr:to>
      <xdr:col>21</xdr:col>
      <xdr:colOff>132395</xdr:colOff>
      <xdr:row>213</xdr:row>
      <xdr:rowOff>131544</xdr:rowOff>
    </xdr:to>
    <xdr:pic>
      <xdr:nvPicPr>
        <xdr:cNvPr id="14" name="Picture 13">
          <a:extLst>
            <a:ext uri="{FF2B5EF4-FFF2-40B4-BE49-F238E27FC236}">
              <a16:creationId xmlns:a16="http://schemas.microsoft.com/office/drawing/2014/main" id="{7E80F646-696C-95FB-7DCE-F2F109EA58AB}"/>
            </a:ext>
          </a:extLst>
        </xdr:cNvPr>
        <xdr:cNvPicPr>
          <a:picLocks noChangeAspect="1"/>
        </xdr:cNvPicPr>
      </xdr:nvPicPr>
      <xdr:blipFill>
        <a:blip xmlns:r="http://schemas.openxmlformats.org/officeDocument/2006/relationships" r:embed="rId9"/>
        <a:stretch>
          <a:fillRect/>
        </a:stretch>
      </xdr:blipFill>
      <xdr:spPr>
        <a:xfrm>
          <a:off x="14800346" y="35968404"/>
          <a:ext cx="7566607" cy="662739"/>
        </a:xfrm>
        <a:prstGeom prst="rect">
          <a:avLst/>
        </a:prstGeom>
      </xdr:spPr>
    </xdr:pic>
    <xdr:clientData/>
  </xdr:twoCellAnchor>
  <xdr:twoCellAnchor editAs="oneCell">
    <xdr:from>
      <xdr:col>12</xdr:col>
      <xdr:colOff>674972</xdr:colOff>
      <xdr:row>216</xdr:row>
      <xdr:rowOff>129439</xdr:rowOff>
    </xdr:from>
    <xdr:to>
      <xdr:col>21</xdr:col>
      <xdr:colOff>323599</xdr:colOff>
      <xdr:row>228</xdr:row>
      <xdr:rowOff>133943</xdr:rowOff>
    </xdr:to>
    <xdr:pic>
      <xdr:nvPicPr>
        <xdr:cNvPr id="16" name="Picture 15">
          <a:extLst>
            <a:ext uri="{FF2B5EF4-FFF2-40B4-BE49-F238E27FC236}">
              <a16:creationId xmlns:a16="http://schemas.microsoft.com/office/drawing/2014/main" id="{417E3C5E-5EEC-33FF-8977-3D281F4F7ABB}"/>
            </a:ext>
          </a:extLst>
        </xdr:cNvPr>
        <xdr:cNvPicPr>
          <a:picLocks noChangeAspect="1"/>
        </xdr:cNvPicPr>
      </xdr:nvPicPr>
      <xdr:blipFill>
        <a:blip xmlns:r="http://schemas.openxmlformats.org/officeDocument/2006/relationships" r:embed="rId10"/>
        <a:stretch>
          <a:fillRect/>
        </a:stretch>
      </xdr:blipFill>
      <xdr:spPr>
        <a:xfrm>
          <a:off x="14972498" y="37106492"/>
          <a:ext cx="7602804" cy="193336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26</xdr:col>
      <xdr:colOff>167639</xdr:colOff>
      <xdr:row>2</xdr:row>
      <xdr:rowOff>0</xdr:rowOff>
    </xdr:from>
    <xdr:to>
      <xdr:col>33</xdr:col>
      <xdr:colOff>371474</xdr:colOff>
      <xdr:row>26</xdr:row>
      <xdr:rowOff>95250</xdr:rowOff>
    </xdr:to>
    <xdr:graphicFrame macro="">
      <xdr:nvGraphicFramePr>
        <xdr:cNvPr id="3" name="Chart 2">
          <a:extLst>
            <a:ext uri="{FF2B5EF4-FFF2-40B4-BE49-F238E27FC236}">
              <a16:creationId xmlns:a16="http://schemas.microsoft.com/office/drawing/2014/main" id="{E5A7252F-5D5D-624C-FC3F-1801457281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1906</xdr:colOff>
      <xdr:row>36</xdr:row>
      <xdr:rowOff>145735</xdr:rowOff>
    </xdr:from>
    <xdr:to>
      <xdr:col>25</xdr:col>
      <xdr:colOff>693312</xdr:colOff>
      <xdr:row>59</xdr:row>
      <xdr:rowOff>89433</xdr:rowOff>
    </xdr:to>
    <xdr:pic>
      <xdr:nvPicPr>
        <xdr:cNvPr id="2" name="Picture 1">
          <a:extLst>
            <a:ext uri="{FF2B5EF4-FFF2-40B4-BE49-F238E27FC236}">
              <a16:creationId xmlns:a16="http://schemas.microsoft.com/office/drawing/2014/main" id="{E3AA0AD7-2EEA-B43A-6D19-C0C29224C116}"/>
            </a:ext>
          </a:extLst>
        </xdr:cNvPr>
        <xdr:cNvPicPr>
          <a:picLocks noChangeAspect="1"/>
        </xdr:cNvPicPr>
      </xdr:nvPicPr>
      <xdr:blipFill>
        <a:blip xmlns:r="http://schemas.openxmlformats.org/officeDocument/2006/relationships" r:embed="rId2"/>
        <a:stretch>
          <a:fillRect/>
        </a:stretch>
      </xdr:blipFill>
      <xdr:spPr>
        <a:xfrm>
          <a:off x="14313219" y="6253641"/>
          <a:ext cx="10000188" cy="4239950"/>
        </a:xfrm>
        <a:prstGeom prst="rect">
          <a:avLst/>
        </a:prstGeom>
      </xdr:spPr>
    </xdr:pic>
    <xdr:clientData/>
  </xdr:twoCellAnchor>
  <xdr:twoCellAnchor editAs="oneCell">
    <xdr:from>
      <xdr:col>1</xdr:col>
      <xdr:colOff>8573</xdr:colOff>
      <xdr:row>47</xdr:row>
      <xdr:rowOff>185261</xdr:rowOff>
    </xdr:from>
    <xdr:to>
      <xdr:col>9</xdr:col>
      <xdr:colOff>515451</xdr:colOff>
      <xdr:row>51</xdr:row>
      <xdr:rowOff>115436</xdr:rowOff>
    </xdr:to>
    <xdr:pic>
      <xdr:nvPicPr>
        <xdr:cNvPr id="4" name="Picture 3">
          <a:extLst>
            <a:ext uri="{FF2B5EF4-FFF2-40B4-BE49-F238E27FC236}">
              <a16:creationId xmlns:a16="http://schemas.microsoft.com/office/drawing/2014/main" id="{81757EE8-0395-4BF6-A2A9-31421C34AE69}"/>
            </a:ext>
          </a:extLst>
        </xdr:cNvPr>
        <xdr:cNvPicPr>
          <a:picLocks noChangeAspect="1"/>
        </xdr:cNvPicPr>
      </xdr:nvPicPr>
      <xdr:blipFill>
        <a:blip xmlns:r="http://schemas.openxmlformats.org/officeDocument/2006/relationships" r:embed="rId3"/>
        <a:stretch>
          <a:fillRect/>
        </a:stretch>
      </xdr:blipFill>
      <xdr:spPr>
        <a:xfrm>
          <a:off x="2485073" y="8221980"/>
          <a:ext cx="7361068" cy="87076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gabri\Desktop\ISEG\Lisbon%20Investment%20Society\Head%20ER\Assumptions%20sheet-%20Dami&#227;o.xlsx" TargetMode="External"/><Relationship Id="rId1" Type="http://schemas.openxmlformats.org/officeDocument/2006/relationships/externalLinkPath" Target="file:///C:\Users\gabri\Desktop\ISEG\Lisbon%20Investment%20Society\Head%20ER\Assumptions%20sheet-%20Dami&#227;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P"/>
      <sheetName val="Segments"/>
      <sheetName val="Acuerdo"/>
      <sheetName val="Peers"/>
      <sheetName val="ESG"/>
      <sheetName val="DCF"/>
      <sheetName val="Assum."/>
      <sheetName val="Fin. Data"/>
      <sheetName val="Fin. Data (Common Size)"/>
      <sheetName val="Inputs"/>
      <sheetName val="Sector Impa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Set>
  </externalBook>
</externalLink>
</file>

<file path=xl/persons/person.xml><?xml version="1.0" encoding="utf-8"?>
<personList xmlns="http://schemas.microsoft.com/office/spreadsheetml/2018/threadedcomments" xmlns:x="http://schemas.openxmlformats.org/spreadsheetml/2006/main">
  <person displayName="HENRIQUE JOSE CABRITA DE ALBUQUERQUE" id="{0FBC3A94-D2D0-417C-A4AB-6E051EBB1BE7}" userId="S::l55402@aln.iseg.ulisboa.pt::ef625cd5-da3a-4ca4-9c5d-f69973e3c2c9" providerId="AD"/>
  <person displayName="DAVID FILIPE DE SOUSA TITA" id="{6D2C5BD9-1C3E-4972-9F97-1CA81A3CC14E}" userId="S::david.tita@aln.iseg.ulisboa.pt::2b554b1a-dfdf-4fc2-8414-05963e9f059c" providerId="AD"/>
</personList>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16">
  <rv s="0">
    <v>https://www.bing.com/financeapi/forcetrigger?t=a1xfoc&amp;q=XNAS%3aMDLZ&amp;form=skydnc</v>
    <v>Learn more on Bing</v>
  </rv>
  <rv s="1">
    <v>en-US</v>
    <v>a1xfoc</v>
    <v>268435456</v>
    <v>1</v>
    <v>Powered by Refinitiv</v>
    <v>0</v>
    <v>Mondelez International, Inc. (XNAS:MDLZ)</v>
    <v>2</v>
    <v>3</v>
    <v>Finance</v>
    <v>4</v>
    <v>77.2</v>
    <v>60.75</v>
    <v>0.54779999999999995</v>
    <v>-0.5</v>
    <v>0</v>
    <v>-6.6860000000000001E-3</v>
    <v>0</v>
    <v>USD</v>
    <v>Mondelez International, Inc. is a snack company. The Company’s core business is making and selling chocolate, biscuits, and baked snacks. The Company also has additional businesses in adjacent, locally relevant categories, including gum and candy, cheese and grocery and powdered beverages. Its portfolio includes global and local brands, such as Oreo, Ritz, LU, Clif Bar and Tate's Bake Shop biscuits and baked snacks, as well as Cadbury Dairy Milk, Milka and Toblerone chocolate. The Company’s segments include Latin America, AMEA, Europe, and North America. It sells its products to supermarket chains, wholesalers, supercenters, club stores, mass merchandisers, distributors, convenience stores, gasoline stations, drug stores, value stores and other retail food outlets. The Company also sells products directly to businesses and consumers through various pure play e-retail platforms, retailer digital platforms, its direct-to-consumer Websites, and social media platforms.</v>
    <v>91000</v>
    <v>Nasdaq Stock Market</v>
    <v>XNAS</v>
    <v>XNAS</v>
    <v>905 West Fulton Market, Suite 200, CHICAGO, IL, 60607 US</v>
    <v>75.489999999999995</v>
    <v>Food &amp; Tobacco</v>
    <v>Stock</v>
    <v>45555.902489628905</v>
    <v>0</v>
    <v>74.19</v>
    <v>99223050000</v>
    <v>Mondelez International, Inc.</v>
    <v>Mondelez International, Inc.</v>
    <v>74.77</v>
    <v>25.59</v>
    <v>74.78</v>
    <v>74.28</v>
    <v>74.28</v>
    <v>1335798000</v>
    <v>MDLZ</v>
    <v>Mondelez International, Inc. (XNAS:MDLZ)</v>
    <v>11330174</v>
    <v>5245637</v>
    <v>2000</v>
  </rv>
  <rv s="2">
    <v>1</v>
  </rv>
  <rv s="0">
    <v>https://www.bing.com/financeapi/forcetrigger?t=a1uwu2&amp;q=XNYS%3aHSY&amp;form=skydnc</v>
    <v>Learn more on Bing</v>
  </rv>
  <rv s="1">
    <v>en-US</v>
    <v>a1uwu2</v>
    <v>268435456</v>
    <v>1</v>
    <v>Powered by Refinitiv</v>
    <v>0</v>
    <v>THE HERSHEY COMPANY (XNYS:HSY)</v>
    <v>2</v>
    <v>3</v>
    <v>Finance</v>
    <v>4</v>
    <v>211.92</v>
    <v>178.82</v>
    <v>0.36130000000000001</v>
    <v>-0.09</v>
    <v>-2.712E-3</v>
    <v>-4.6030000000000002E-4</v>
    <v>-0.53</v>
    <v>USD</v>
    <v>The Hershey Company is a confectionery company. The Company offers a branded portfolio of chocolate, sweets, mints and other snacks. The Company operates through three segments, which include North America Confectionery, North America Salty Snacks and International. The North America Confectionery segment includes its business in chocolate and non-chocolate confectionery, gum and refreshment products, protein bars, spreads, snack bites and mixes, as well as pantry and food service lines. The North America Salty Snacks segment offers salty snacking products in the United States. This includes ready-to-eat popcorn, baked and trans fat-free snacks, pretzels and other snacks. The international segment has operations and manufactures products in Mexico, Brazil, India and Malaysia, primarily for consumers in these regions, and also distributes and sell confectionery products in export markets of Asia, Latin America, the Middle East, Europe, Africa and other regions.</v>
    <v>18650</v>
    <v>New York Stock Exchange</v>
    <v>XNYS</v>
    <v>XNYS</v>
    <v>19 East Chocolate Avenue, External Rptg &amp; Compliance, HERSHEY, PA, 17033 US</v>
    <v>198.61</v>
    <v>Food &amp; Tobacco</v>
    <v>Stock</v>
    <v>45555.990576446093</v>
    <v>3</v>
    <v>194.01</v>
    <v>39533100000</v>
    <v>THE HERSHEY COMPANY</v>
    <v>THE HERSHEY COMPANY</v>
    <v>196.4</v>
    <v>21.715199999999999</v>
    <v>195.52</v>
    <v>195.43</v>
    <v>194.9</v>
    <v>202287800</v>
    <v>HSY</v>
    <v>THE HERSHEY COMPANY (XNYS:HSY)</v>
    <v>2956068</v>
    <v>1097606</v>
    <v>1927</v>
  </rv>
  <rv s="2">
    <v>4</v>
  </rv>
  <rv s="0">
    <v>https://www.bing.com/financeapi/forcetrigger?t=a24g7w&amp;q=XNYS%3aTR&amp;form=skydnc</v>
    <v>Learn more on Bing</v>
  </rv>
  <rv s="1">
    <v>en-US</v>
    <v>a24g7w</v>
    <v>268435456</v>
    <v>1</v>
    <v>Powered by Refinitiv</v>
    <v>0</v>
    <v>TOOTSIE ROLL INDUSTRIES, INC. (XNYS:TR)</v>
    <v>2</v>
    <v>3</v>
    <v>Finance</v>
    <v>4</v>
    <v>34.796100000000003</v>
    <v>27.58</v>
    <v>0.16270000000000001</v>
    <v>0.06</v>
    <v>8.7419999999999998E-3</v>
    <v>1.877E-3</v>
    <v>0.28000000000000003</v>
    <v>USD</v>
    <v>Tootsie Roll Industries, Inc. is engaged in the manufacturing and sale of confectionery products. The Company's products are marketed in a variety of packages designed to be suitable for display and sale in different types of retail outlets. They are sold through food and grocery brokers or directly by the Company itself to customers throughout the United States, Canada and Mexico. These customers include wholesale distributors of candy, food and groceries, supermarkets, variety stores, dollar stores, chain grocers, drug chains, discount chains, cooperative grocery associations, mass merchandisers, warehouse and membership club stores, and e-commerce merchants. Its products are sold under the registered trademarks, which include TOOTSIE ROLL, TOOTSIE FRUIT ROLLS, FROOTIES, TOOTSIE POPS, TOOTSIE MINI POPS, CHILD’S PLAY, CARAMEL APPLE POPS, CHARMS, BLOW-POP, CHARMS MINI POPS, CELLA’S, DOTS, SUGAR BABIES, ANDES, FLUFFY STUFF, DUBBLE BUBBLE, RAZZLES, CRY BABY, and TUTSI POP (Mexico).</v>
    <v>2300</v>
    <v>New York Stock Exchange</v>
    <v>XNYS</v>
    <v>XNYS</v>
    <v>7401 S CICERO AVE, CHICAGO, IL, 60629 US</v>
    <v>32.18</v>
    <v>Food &amp; Tobacco</v>
    <v>Stock</v>
    <v>45555.958333333336</v>
    <v>6</v>
    <v>31.605</v>
    <v>2305098000</v>
    <v>TOOTSIE ROLL INDUSTRIES, INC.</v>
    <v>TOOTSIE ROLL INDUSTRIES, INC.</v>
    <v>31.94</v>
    <v>24.053799999999999</v>
    <v>31.97</v>
    <v>32.03</v>
    <v>32.31</v>
    <v>71522100</v>
    <v>TR</v>
    <v>TOOTSIE ROLL INDUSTRIES, INC. (XNYS:TR)</v>
    <v>564508</v>
    <v>275475</v>
    <v>1919</v>
  </rv>
  <rv s="2">
    <v>7</v>
  </rv>
  <rv s="0">
    <v>https://www.bing.com/financeapi/forcetrigger?t=a2qckr&amp;q=OTCM%3aNSLYF&amp;form=skydnc</v>
    <v>Learn more on Bing</v>
  </rv>
  <rv s="3">
    <v>en-US</v>
    <v>a2qckr</v>
    <v>268435456</v>
    <v>1</v>
    <v>Powered by Refinitiv</v>
    <v>5</v>
    <v>NESTLE (MALAYSIA) BERHAD (OTCM:NSLYF)</v>
    <v>2</v>
    <v>6</v>
    <v>Finance</v>
    <v>7</v>
    <v>27</v>
    <v>25</v>
    <v>0.28649999999999998</v>
    <v>1.355</v>
    <v>5.2836999999999995E-2</v>
    <v>USD</v>
    <v>Nestle (Malaysia) Berhad is a Malaysia-based company, which is a food and beverage (F&amp;B) manufacturer. The Company operates through two segments: Food &amp; Beverages and Others. The Company’s product category includes dairy, coffee, foods, ready-to-drink, ice cream, confectionery, healthcare nutrition, maternal and child nutrition, breakfast cereals, and out-of-home. The diary portfolio includes brands such as NESTLE OMEGA PLUS, NESTUM, NESTLE EVERYDAY NESTLE JUST MILK, and NESPRAY. Its coffee brand includes NESCAFE, NESPRESSO, NESCAFE CLASSIC, NESCAFE Latte, and NESCAFE GOLD. Its ready-to-drink brand include MILO Can, MILO UHT, MILO Nutri G, NESCAFE CANS, NESCAFE Smoovlatte, and NESCAFE Cup. Its breakfast cereals include NESTLE CORN FLAKES, NESTLE COOKIE CRISP, NESTLE FITNESSE, NESTLE HONEY STARS, NESTLE KOKO KRUNCH, NESTLE KOKO KRUNCH DUO, NESTLE MILO, and NESTLE Multi Grain CHEERIOS. Its subsidiary is Nestle Products Sdn. Bhd.</v>
    <v>5336</v>
    <v>OTC Markets</v>
    <v>OTCM</v>
    <v>OTCM</v>
    <v>22-1, 22nd Floor, Menara Surian, No. 1, Jalan PJU 7/3, Mutiara Damansara, PETALING  JAYA, SELANGOR, 47810 MY</v>
    <v>27</v>
    <v>Food &amp; Tobacco</v>
    <v>Stock</v>
    <v>45415.562530775002</v>
    <v>9</v>
    <v>27</v>
    <v>30086350000</v>
    <v>NESTLE (MALAYSIA) BERHAD</v>
    <v>NESTLE (MALAYSIA) BERHAD</v>
    <v>27</v>
    <v>52.289900000000003</v>
    <v>25.645</v>
    <v>27</v>
    <v>234500000</v>
    <v>NSLYF</v>
    <v>NESTLE (MALAYSIA) BERHAD (OTCM:NSLYF)</v>
    <v>2</v>
    <v>64400</v>
    <v>1983</v>
  </rv>
  <rv s="2">
    <v>10</v>
  </rv>
  <rv s="0">
    <v>https://www.bing.com/financeapi/forcetrigger?t=b1hoa2&amp;q=OTCM%3aCOCXF&amp;form=skydnc</v>
    <v>Learn more on Bing</v>
  </rv>
  <rv s="3">
    <v>en-US</v>
    <v>b1hoa2</v>
    <v>268435456</v>
    <v>1</v>
    <v>Powered by Refinitiv</v>
    <v>5</v>
    <v>Chocoladefabriken Lindt &amp; Spruengli AG (OTCM:COCXF)</v>
    <v>2</v>
    <v>8</v>
    <v>Finance</v>
    <v>7</v>
    <v>118539.72</v>
    <v>111838.71</v>
    <v>0.79390000000000005</v>
    <v>-6700.99</v>
    <v>-5.6529999999999997E-2</v>
    <v>USD</v>
    <v>Chocoladefabriken Lindt &amp; Spruengli AG is a Switzerland-based and globally active holding company developing, producing and selling chocolate products. The Company’s products are sold under the brand names Lindt, Ghirardelli, Caffarel, Hofbauer and Kufferle. The Company has six production sites in Europe and two in the United States. The Company sells its products mainly in countries within Europe and the North American Free Trade Agreement (NAFTA) countries. In September 2014, it announced the placement of 1 billion Swiss francs worth of bonds issues to finance Russell Stover Candies takeover. The Company’s subsidiaries include Chocoladefabriken Lindt &amp; Sprngli (Schweiz) AG, Chocoladefabriken Lindt &amp; Sprngli GmbH, Lindt &amp; Sprngli SAS, Lindt &amp; Sprngli (UK) Ltd, Lindt &amp; Sprngli (Poland) Sp. z o.o., L&amp;S (Brazil) Holding Ltd and Lindt &amp; Sprngli (Asia-Pacific) Ltd., among others.</v>
    <v>19358</v>
    <v>OTC Markets</v>
    <v>OTCM</v>
    <v>OTCM</v>
    <v>Seestrasse 204, KILCHBERG, ZUERICH, 8802 CH</v>
    <v>111838.71</v>
    <v>Food &amp; Tobacco</v>
    <v>Stock</v>
    <v>45413.006944444445</v>
    <v>12</v>
    <v>111838.71</v>
    <v>24231230000</v>
    <v>Chocoladefabriken Lindt &amp; Spruengli AG</v>
    <v>Chocoladefabriken Lindt &amp; Spruengli AG</v>
    <v>111838.71</v>
    <v>33.850299999999997</v>
    <v>118539.7</v>
    <v>111838.71</v>
    <v>1118390</v>
    <v>COCXF</v>
    <v>Chocoladefabriken Lindt &amp; Spruengli AG (OTCM:COCXF)</v>
    <v>1</v>
    <v>160</v>
    <v>1898</v>
  </rv>
  <rv s="2">
    <v>13</v>
  </rv>
  <rv s="4">
    <v>0</v>
    <v>5</v>
  </rv>
</rvData>
</file>

<file path=xl/richData/rdrichvaluestructure.xml><?xml version="1.0" encoding="utf-8"?>
<rvStructures xmlns="http://schemas.microsoft.com/office/spreadsheetml/2017/richdata" count="5">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
    <k n="%cvi" t="r"/>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ocalImage">
    <k n="_rvRel:LocalImageIdentifier" t="i"/>
    <k n="CalcOrigin" t="i"/>
  </s>
</rvStructures>
</file>

<file path=xl/richData/rdsupportingpropertybag.xml><?xml version="1.0" encoding="utf-8"?>
<supportingPropertyBags xmlns="http://schemas.microsoft.com/office/spreadsheetml/2017/richdata2">
  <spbArrays count="2">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spbArrays>
  <spbData count="9">
    <spb s="0">
      <v>0</v>
      <v>Name</v>
      <v>LearnMoreOnLink</v>
    </spb>
    <spb s="1">
      <v>0</v>
      <v>0</v>
      <v>0</v>
    </spb>
    <spb s="2">
      <v>1</v>
      <v>1</v>
      <v>1</v>
      <v>1</v>
    </spb>
    <spb s="3">
      <v>1</v>
      <v>2</v>
      <v>2</v>
      <v>1</v>
      <v>3</v>
      <v>1</v>
      <v>1</v>
      <v>1</v>
      <v>4</v>
      <v>4</v>
      <v>5</v>
      <v>6</v>
      <v>1</v>
      <v>1</v>
      <v>1</v>
      <v>4</v>
      <v>7</v>
      <v>8</v>
      <v>9</v>
      <v>4</v>
      <v>1</v>
      <v>1</v>
      <v>5</v>
    </spb>
    <spb s="4">
      <v>at close</v>
      <v>from previous close</v>
      <v>from previous close</v>
      <v>Source: Nasdaq</v>
      <v>GMT</v>
      <v>Delayed 15 minutes</v>
      <v>from close</v>
      <v>from close</v>
    </spb>
    <spb s="0">
      <v>1</v>
      <v>Name</v>
      <v>LearnMoreOnLink</v>
    </spb>
    <spb s="5">
      <v>1</v>
      <v>2</v>
      <v>2</v>
      <v>1</v>
      <v>3</v>
      <v>1</v>
      <v>1</v>
      <v>1</v>
      <v>4</v>
      <v>4</v>
      <v>5</v>
      <v>10</v>
      <v>1</v>
      <v>1</v>
      <v>1</v>
      <v>4</v>
      <v>7</v>
      <v>8</v>
      <v>9</v>
      <v>4</v>
    </spb>
    <spb s="6">
      <v>Delayed 15 minutes</v>
      <v>from previous close</v>
      <v>from previous close</v>
      <v>GMT</v>
    </spb>
    <spb s="5">
      <v>1</v>
      <v>2</v>
      <v>2</v>
      <v>1</v>
      <v>3</v>
      <v>1</v>
      <v>1</v>
      <v>1</v>
      <v>4</v>
      <v>4</v>
      <v>5</v>
      <v>11</v>
      <v>1</v>
      <v>1</v>
      <v>1</v>
      <v>4</v>
      <v>7</v>
      <v>8</v>
      <v>9</v>
      <v>4</v>
    </spb>
  </spbData>
</supportingPropertyBags>
</file>

<file path=xl/richData/rdsupportingpropertybagstructure.xml><?xml version="1.0" encoding="utf-8"?>
<spbStructures xmlns="http://schemas.microsoft.com/office/spreadsheetml/2017/richdata2" count="7">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Price" t="s"/>
    <k n="Change" t="s"/>
    <k n="Change (%)" t="s"/>
    <k n="ExchangeID" t="s"/>
    <k n="Last trade time" t="s"/>
    <k n="Price (Extended hours)" t="s"/>
    <k n="Change (Extended hours)" t="s"/>
    <k n="Change % (Extended hours)" t="s"/>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Last trade time"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4" formatCode="#,##0.00"/>
    </x:dxf>
    <x:dxf>
      <x:numFmt numFmtId="3" formatCode="#,##0"/>
    </x:dxf>
    <x:dxf>
      <x:numFmt numFmtId="14" formatCode="0.00%"/>
    </x:dxf>
    <x:dxf>
      <x:numFmt numFmtId="2" formatCode="0.00"/>
    </x:dxf>
    <x:dxf>
      <x:numFmt numFmtId="1" formatCode="0"/>
    </x:dxf>
    <x:dxf>
      <x:numFmt numFmtId="27" formatCode="m/d/yyyy\ h:mm"/>
    </x:dxf>
    <x:dxf>
      <x:numFmt numFmtId="0" formatCode="General"/>
    </x:dxf>
  </dxfs>
  <richProperties>
    <rPr n="NumberFormat" t="s"/>
    <rPr n="IsTitleField" t="b"/>
  </richProperties>
  <richStyles>
    <rSty dxfid="6">
      <rpv i="0">_([$$-en-US]* #,##0.00_);_([$$-en-US]* (#,##0.00);_([$$-en-US]* "-"??_);_(@_)</rpv>
    </rSty>
    <rSty dxfid="0">
      <rpv i="0">#,##0.00</rpv>
    </rSty>
    <rSty>
      <rpv i="1">1</rpv>
    </rSty>
    <rSty dxfid="1">
      <rpv i="0">#,##0</rpv>
    </rSty>
    <rSty dxfid="2"/>
    <rSty dxfid="6">
      <rpv i="0">_([$$-en-US]* #,##0_);_([$$-en-US]* (#,##0);_([$$-en-US]* "-"_);_(@_)</rpv>
    </rSty>
    <rSty dxfid="5"/>
    <rSty dxfid="4">
      <rpv i="0">0</rpv>
    </rSty>
    <rSty dxfid="3">
      <rpv i="0">0.00</rpv>
    </rSty>
    <rSty dxfid="6">
      <rpv i="0">_-[$RM-en-MY]* #,##0_-;-[$RM-en-MY]* #,##0_-;_-[$RM-en-MY]* "-"_-;_-@_-</rpv>
    </rSty>
    <rSty dxfid="6">
      <rpv i="0">_-* #,##0 [$CHF-fr-CH]_-;-* #,##0 [$CHF-fr-CH]_-;_-* "-" [$CHF-fr-CH]_-;_-@_-</rpv>
    </rSty>
  </richStyles>
</richStyleSheet>
</file>

<file path=xl/richData/richValueRel.xml><?xml version="1.0" encoding="utf-8"?>
<richValueRels xmlns="http://schemas.microsoft.com/office/spreadsheetml/2022/richvaluerel" xmlns:r="http://schemas.openxmlformats.org/officeDocument/2006/relationships">
  <rel r:id="rId1"/>
</richValueRel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2" dT="2023-03-05T23:56:38.75" personId="{6D2C5BD9-1C3E-4972-9F97-1CA81A3CC14E}" id="{B8360AB7-5DB1-45D3-ABF9-3AFEF51621D6}">
    <text>Date of last update of the report</text>
  </threadedComment>
  <threadedComment ref="D2" dT="2023-03-05T23:56:06.54" personId="{6D2C5BD9-1C3E-4972-9F97-1CA81A3CC14E}" id="{D17B5162-9C54-4F03-8882-3A424C1A2E60}">
    <text>Insert the date when the company will issue their next quarter/annual report</text>
  </threadedComment>
  <threadedComment ref="L2" dT="2023-03-05T23:56:59.28" personId="{6D2C5BD9-1C3E-4972-9F97-1CA81A3CC14E}" id="{74106D0B-4568-4C95-B1A7-D780E3BD20D3}">
    <text>In what exchange the company is listed in (Input the main exchange)</text>
  </threadedComment>
</ThreadedComments>
</file>

<file path=xl/threadedComments/threadedComment2.xml><?xml version="1.0" encoding="utf-8"?>
<ThreadedComments xmlns="http://schemas.microsoft.com/office/spreadsheetml/2018/threadedcomments" xmlns:x="http://schemas.openxmlformats.org/spreadsheetml/2006/main">
  <threadedComment ref="A45" dT="2024-03-25T15:00:15.30" personId="{0FBC3A94-D2D0-417C-A4AB-6E051EBB1BE7}" id="{89D8C3D4-2308-4A1E-8BBA-327D9A0766AF}">
    <text>Current Port. of LT Debt/Capital Leases</text>
  </threadedComment>
  <threadedComment ref="A61" dT="2024-03-26T13:30:27.53" personId="{0FBC3A94-D2D0-417C-A4AB-6E051EBB1BE7}" id="{CBB594EE-1D4E-4105-B3F7-43E5DE44354E}">
    <text xml:space="preserve">From cash flow statement
</text>
  </threadedComment>
  <threadedComment ref="A62" dT="2024-03-26T13:28:21.67" personId="{0FBC3A94-D2D0-417C-A4AB-6E051EBB1BE7}" id="{4D0B496C-D49C-439A-B538-F0701038FA80}">
    <text>Changes in working capital</text>
  </threadedComment>
  <threadedComment ref="A69" dT="2024-03-26T13:41:32.31" personId="{0FBC3A94-D2D0-417C-A4AB-6E051EBB1BE7}" id="{6DF53802-7623-431F-ADE1-7F36049B9C20}">
    <text xml:space="preserve">Short + long tern
</text>
  </threadedComment>
  <threadedComment ref="A89" dT="2024-03-26T14:17:59.71" personId="{0FBC3A94-D2D0-417C-A4AB-6E051EBB1BE7}" id="{7AF898E0-B0F7-43A6-A18B-D06C09622208}">
    <text>Basic</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www.fortunebusinessinsights.com/baked-savoury-snacks-market-103248" TargetMode="External"/><Relationship Id="rId2" Type="http://schemas.openxmlformats.org/officeDocument/2006/relationships/hyperlink" Target="https://www.mordorintelligence.com/industry-reports/chocolate-market" TargetMode="External"/><Relationship Id="rId1" Type="http://schemas.openxmlformats.org/officeDocument/2006/relationships/hyperlink" Target="https://www.mordorintelligence.com/industry-reports/biscuits-market" TargetMode="External"/><Relationship Id="rId5" Type="http://schemas.openxmlformats.org/officeDocument/2006/relationships/drawing" Target="../drawings/drawing2.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printerSettings" Target="../printerSettings/printerSettings6.bin"/><Relationship Id="rId3" Type="http://schemas.openxmlformats.org/officeDocument/2006/relationships/hyperlink" Target="https://ir.mondelezinternational.com/news-releases/news-release-details/mondelez-international-announces-agreement-sell-its-developed/" TargetMode="External"/><Relationship Id="rId7" Type="http://schemas.openxmlformats.org/officeDocument/2006/relationships/hyperlink" Target="https://www.statista.com/forecasts/983554/global-chocolate-confectionery-market-size" TargetMode="External"/><Relationship Id="rId2" Type="http://schemas.openxmlformats.org/officeDocument/2006/relationships/hyperlink" Target="https://www.confectionerynews.com/Article/2023/10/03/mondelez-completes-sale-of-gum-business-to-perfetti-van-melle-group" TargetMode="External"/><Relationship Id="rId1" Type="http://schemas.openxmlformats.org/officeDocument/2006/relationships/hyperlink" Target="https://www.mondelezinternational.com/snacking-made-right/esg-topics/mindful-snacking/" TargetMode="External"/><Relationship Id="rId6" Type="http://schemas.openxmlformats.org/officeDocument/2006/relationships/hyperlink" Target="https://www.washingtonpost.com/business/2024/03/12/inflation-chocolate-prices-grocery-cost/" TargetMode="External"/><Relationship Id="rId11" Type="http://schemas.openxmlformats.org/officeDocument/2006/relationships/comments" Target="../comments2.xml"/><Relationship Id="rId5" Type="http://schemas.openxmlformats.org/officeDocument/2006/relationships/hyperlink" Target="https://www.fooddive.com/news/mondelez-sells-gum-business-trident-dentyne/639087/" TargetMode="External"/><Relationship Id="rId10" Type="http://schemas.openxmlformats.org/officeDocument/2006/relationships/vmlDrawing" Target="../drawings/vmlDrawing2.vml"/><Relationship Id="rId4" Type="http://schemas.openxmlformats.org/officeDocument/2006/relationships/hyperlink" Target="https://www.fortunebusinessinsights.com/biscuits-market-108482" TargetMode="External"/><Relationship Id="rId9"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 Id="rId4" Type="http://schemas.microsoft.com/office/2017/10/relationships/threadedComment" Target="../threadedComments/threadedComment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002060"/>
    <pageSetUpPr fitToPage="1"/>
  </sheetPr>
  <dimension ref="A1:X107"/>
  <sheetViews>
    <sheetView showGridLines="0" tabSelected="1" topLeftCell="A54" zoomScale="80" zoomScaleNormal="80" workbookViewId="0">
      <selection activeCell="E73" sqref="E73:I81"/>
    </sheetView>
  </sheetViews>
  <sheetFormatPr defaultColWidth="11.42578125" defaultRowHeight="13.15"/>
  <cols>
    <col min="1" max="1" width="0.42578125" customWidth="1"/>
    <col min="2" max="2" width="21.140625" bestFit="1" customWidth="1"/>
    <col min="3" max="3" width="23.42578125" customWidth="1"/>
    <col min="4" max="4" width="32" customWidth="1"/>
    <col min="5" max="5" width="20.42578125" bestFit="1" customWidth="1"/>
    <col min="6" max="6" width="17" bestFit="1" customWidth="1"/>
    <col min="7" max="7" width="13.42578125" bestFit="1" customWidth="1"/>
    <col min="8" max="8" width="24.85546875" customWidth="1"/>
    <col min="9" max="9" width="35" customWidth="1"/>
    <col min="10" max="10" width="28.7109375" customWidth="1"/>
    <col min="11" max="11" width="29" customWidth="1"/>
    <col min="12" max="12" width="28" customWidth="1"/>
    <col min="13" max="13" width="31" customWidth="1"/>
  </cols>
  <sheetData>
    <row r="1" spans="2:17" ht="3.75" customHeight="1" thickBot="1"/>
    <row r="2" spans="2:17" ht="22.5" customHeight="1">
      <c r="B2" s="387">
        <v>45039</v>
      </c>
      <c r="C2" s="272" t="s">
        <v>0</v>
      </c>
      <c r="D2" s="388"/>
      <c r="E2" s="1045" t="e" vm="1">
        <f>Inputs!H3</f>
        <v>#VALUE!</v>
      </c>
      <c r="F2" s="1046"/>
      <c r="G2" s="1046"/>
      <c r="H2" s="1046"/>
      <c r="I2" s="1046"/>
      <c r="J2" s="1046"/>
      <c r="K2" s="1047"/>
      <c r="L2" s="273" t="s">
        <v>1</v>
      </c>
      <c r="M2" s="465" t="s">
        <v>2</v>
      </c>
    </row>
    <row r="3" spans="2:17" ht="26.25" customHeight="1">
      <c r="B3" s="1058"/>
      <c r="C3" s="1059"/>
      <c r="D3" s="1082" t="s">
        <v>3</v>
      </c>
      <c r="E3" s="1082"/>
      <c r="F3" s="1082"/>
      <c r="G3" s="1082"/>
      <c r="H3" s="1082" t="s">
        <v>4</v>
      </c>
      <c r="I3" s="1082"/>
      <c r="J3" s="1082"/>
      <c r="K3" s="1082"/>
      <c r="L3" s="1082"/>
      <c r="M3" s="1083"/>
    </row>
    <row r="4" spans="2:17" ht="12.75">
      <c r="B4" s="1058"/>
      <c r="C4" s="1059"/>
      <c r="D4" s="1081" t="str" cm="1">
        <f t="array" aca="1" ref="D4" ca="1">_FV(Inputs!H3,"Description")</f>
        <v>Mondelez International, Inc. is a snack company. The Company’s core business is making and selling chocolate, biscuits, and baked snacks. The Company also has additional businesses in adjacent, locally relevant categories, including gum and candy, cheese and grocery and powdered beverages. Its portfolio includes global and local brands, such as Oreo, Ritz, LU, Clif Bar and Tate's Bake Shop biscuits and baked snacks, as well as Cadbury Dairy Milk, Milka and Toblerone chocolate. The Company’s segments include Latin America, AMEA, Europe, and North America. It sells its products to supermarket chains, wholesalers, supercenters, club stores, mass merchandisers, distributors, convenience stores, gasoline stations, drug stores, value stores and other retail food outlets. The Company also sells products directly to businesses and consumers through various pure play e-retail platforms, retailer digital platforms, its direct-to-consumer Websites, and social media platforms.</v>
      </c>
      <c r="E4" s="1081"/>
      <c r="F4" s="1081"/>
      <c r="G4" s="1081"/>
      <c r="H4" s="1087" t="s">
        <v>5</v>
      </c>
      <c r="I4" s="1088"/>
      <c r="J4" s="1089"/>
      <c r="K4" s="112" t="s">
        <v>6</v>
      </c>
      <c r="L4" s="112" t="s">
        <v>7</v>
      </c>
      <c r="M4" s="113" t="s">
        <v>8</v>
      </c>
    </row>
    <row r="5" spans="2:17" ht="36">
      <c r="B5" s="1058"/>
      <c r="C5" s="1059"/>
      <c r="D5" s="1081"/>
      <c r="E5" s="1081"/>
      <c r="F5" s="1081"/>
      <c r="G5" s="1081"/>
      <c r="H5" s="1090" t="s">
        <v>9</v>
      </c>
      <c r="I5" s="1091"/>
      <c r="J5" s="1092"/>
      <c r="K5" s="907">
        <v>6</v>
      </c>
      <c r="L5" s="377" t="s">
        <v>10</v>
      </c>
      <c r="M5" s="464" t="s">
        <v>11</v>
      </c>
    </row>
    <row r="6" spans="2:17" ht="12.75">
      <c r="B6" s="1058"/>
      <c r="C6" s="1059"/>
      <c r="D6" s="1081"/>
      <c r="E6" s="1081"/>
      <c r="F6" s="1081"/>
      <c r="G6" s="1081"/>
      <c r="H6" s="993" t="s">
        <v>12</v>
      </c>
      <c r="I6" s="994"/>
      <c r="J6" s="995"/>
      <c r="K6" s="907">
        <v>11</v>
      </c>
      <c r="L6" s="377" t="s">
        <v>13</v>
      </c>
      <c r="M6" s="464" t="s">
        <v>14</v>
      </c>
    </row>
    <row r="7" spans="2:17" ht="12.75">
      <c r="B7" s="1058"/>
      <c r="C7" s="1059"/>
      <c r="D7" s="1081"/>
      <c r="E7" s="1081"/>
      <c r="F7" s="1081"/>
      <c r="G7" s="1081"/>
      <c r="H7" s="993" t="s">
        <v>15</v>
      </c>
      <c r="I7" s="994"/>
      <c r="J7" s="995"/>
      <c r="K7" s="907">
        <v>8</v>
      </c>
      <c r="L7" s="377" t="s">
        <v>13</v>
      </c>
      <c r="M7" s="274" t="s">
        <v>14</v>
      </c>
    </row>
    <row r="8" spans="2:17" ht="24">
      <c r="B8" s="1058"/>
      <c r="C8" s="1059"/>
      <c r="D8" s="1081"/>
      <c r="E8" s="1081"/>
      <c r="F8" s="1081"/>
      <c r="G8" s="1081"/>
      <c r="H8" s="993" t="s">
        <v>16</v>
      </c>
      <c r="I8" s="994"/>
      <c r="J8" s="995"/>
      <c r="K8" s="907">
        <v>2</v>
      </c>
      <c r="L8" s="377" t="s">
        <v>13</v>
      </c>
      <c r="M8" s="464" t="s">
        <v>17</v>
      </c>
    </row>
    <row r="9" spans="2:17" ht="12.75">
      <c r="B9" s="1058"/>
      <c r="C9" s="1059"/>
      <c r="D9" s="1081"/>
      <c r="E9" s="1081"/>
      <c r="F9" s="1081"/>
      <c r="G9" s="1081"/>
      <c r="H9" s="993" t="s">
        <v>18</v>
      </c>
      <c r="I9" s="994"/>
      <c r="J9" s="995"/>
      <c r="K9" s="907" t="s">
        <v>19</v>
      </c>
      <c r="L9" s="377" t="s">
        <v>13</v>
      </c>
      <c r="M9" s="464" t="s">
        <v>14</v>
      </c>
    </row>
    <row r="10" spans="2:17" ht="12.75">
      <c r="B10" s="1058"/>
      <c r="C10" s="1059"/>
      <c r="D10" s="1081"/>
      <c r="E10" s="1081"/>
      <c r="F10" s="1081"/>
      <c r="G10" s="1081"/>
      <c r="H10" s="993" t="s">
        <v>20</v>
      </c>
      <c r="I10" s="994"/>
      <c r="J10" s="995"/>
      <c r="K10" s="907" t="s">
        <v>21</v>
      </c>
      <c r="L10" s="377" t="s">
        <v>13</v>
      </c>
      <c r="M10" s="274" t="s">
        <v>14</v>
      </c>
    </row>
    <row r="11" spans="2:17" ht="12.75">
      <c r="B11" s="1058"/>
      <c r="C11" s="1059"/>
      <c r="D11" s="1081"/>
      <c r="E11" s="1081"/>
      <c r="F11" s="1081"/>
      <c r="G11" s="1081"/>
      <c r="H11" s="993" t="s">
        <v>22</v>
      </c>
      <c r="I11" s="994"/>
      <c r="J11" s="995"/>
      <c r="K11" s="907">
        <v>11</v>
      </c>
      <c r="L11" s="377" t="s">
        <v>13</v>
      </c>
      <c r="M11" s="274" t="s">
        <v>14</v>
      </c>
    </row>
    <row r="12" spans="2:17" ht="24" customHeight="1">
      <c r="B12" s="1058"/>
      <c r="C12" s="1059"/>
      <c r="D12" s="1081"/>
      <c r="E12" s="1081"/>
      <c r="F12" s="1081"/>
      <c r="G12" s="1081"/>
      <c r="H12" s="993" t="s">
        <v>23</v>
      </c>
      <c r="I12" s="994"/>
      <c r="J12" s="995"/>
      <c r="K12" s="907">
        <v>1</v>
      </c>
      <c r="L12" s="377" t="s">
        <v>13</v>
      </c>
      <c r="M12" s="274" t="s">
        <v>14</v>
      </c>
      <c r="P12" s="389"/>
    </row>
    <row r="13" spans="2:17" ht="24" customHeight="1">
      <c r="B13" s="1058"/>
      <c r="C13" s="1059"/>
      <c r="D13" s="1081"/>
      <c r="E13" s="1081"/>
      <c r="F13" s="1081"/>
      <c r="G13" s="1081"/>
      <c r="H13" s="993" t="s">
        <v>24</v>
      </c>
      <c r="I13" s="994"/>
      <c r="J13" s="995"/>
      <c r="K13" s="907">
        <v>2</v>
      </c>
      <c r="L13" s="377" t="s">
        <v>13</v>
      </c>
      <c r="M13" s="464" t="s">
        <v>14</v>
      </c>
    </row>
    <row r="14" spans="2:17" ht="24" customHeight="1">
      <c r="B14" s="1058"/>
      <c r="C14" s="1059"/>
      <c r="D14" s="1081"/>
      <c r="E14" s="1081"/>
      <c r="F14" s="1081"/>
      <c r="G14" s="1081"/>
      <c r="H14" s="993" t="s">
        <v>25</v>
      </c>
      <c r="I14" s="994"/>
      <c r="J14" s="995"/>
      <c r="K14" s="907">
        <v>11</v>
      </c>
      <c r="L14" s="377" t="s">
        <v>13</v>
      </c>
      <c r="M14" s="274" t="s">
        <v>26</v>
      </c>
      <c r="Q14" s="275"/>
    </row>
    <row r="15" spans="2:17" ht="25.5" customHeight="1">
      <c r="B15" s="1058"/>
      <c r="C15" s="1059"/>
      <c r="D15" s="1081"/>
      <c r="E15" s="1081"/>
      <c r="F15" s="1081"/>
      <c r="G15" s="1081"/>
      <c r="H15" s="993" t="s">
        <v>27</v>
      </c>
      <c r="I15" s="994"/>
      <c r="J15" s="995"/>
      <c r="K15" s="907">
        <v>3</v>
      </c>
      <c r="L15" s="377" t="s">
        <v>13</v>
      </c>
      <c r="M15" s="274" t="s">
        <v>14</v>
      </c>
    </row>
    <row r="16" spans="2:17" ht="12.75">
      <c r="B16" s="1058"/>
      <c r="C16" s="1059"/>
      <c r="D16" s="1081"/>
      <c r="E16" s="1081"/>
      <c r="F16" s="1081"/>
      <c r="G16" s="1081"/>
      <c r="H16" s="993"/>
      <c r="I16" s="994"/>
      <c r="J16" s="995"/>
      <c r="K16" s="377"/>
      <c r="L16" s="377"/>
      <c r="M16" s="274"/>
    </row>
    <row r="17" spans="2:13" ht="12.75">
      <c r="B17" s="1056" t="s">
        <v>28</v>
      </c>
      <c r="C17" s="1057"/>
      <c r="D17" s="1081"/>
      <c r="E17" s="1081"/>
      <c r="F17" s="1081"/>
      <c r="G17" s="1081"/>
      <c r="H17" s="114" t="s">
        <v>29</v>
      </c>
      <c r="I17" s="906" t="s">
        <v>30</v>
      </c>
      <c r="J17" s="377">
        <v>65</v>
      </c>
      <c r="K17" s="377">
        <v>5</v>
      </c>
      <c r="L17" s="377"/>
      <c r="M17" s="464"/>
    </row>
    <row r="18" spans="2:13" ht="17.45">
      <c r="B18" s="1065" t="s">
        <v>31</v>
      </c>
      <c r="C18" s="1066"/>
      <c r="D18" s="1066"/>
      <c r="E18" s="1066"/>
      <c r="F18" s="1066"/>
      <c r="G18" s="1066"/>
      <c r="H18" s="1066"/>
      <c r="I18" s="1066"/>
      <c r="J18" s="1066"/>
      <c r="K18" s="1066"/>
      <c r="L18" s="1066"/>
      <c r="M18" s="1067"/>
    </row>
    <row r="19" spans="2:13" ht="15.6">
      <c r="B19" s="1062" t="s">
        <v>32</v>
      </c>
      <c r="C19" s="1063"/>
      <c r="D19" s="1060" t="s">
        <v>33</v>
      </c>
      <c r="E19" s="1064"/>
      <c r="F19" s="1084" t="s">
        <v>34</v>
      </c>
      <c r="G19" s="1085"/>
      <c r="H19" s="1086"/>
      <c r="I19" s="1060" t="s">
        <v>35</v>
      </c>
      <c r="J19" s="1096"/>
      <c r="K19" s="1064"/>
      <c r="L19" s="1060" t="s">
        <v>36</v>
      </c>
      <c r="M19" s="1061"/>
    </row>
    <row r="20" spans="2:13">
      <c r="B20" s="463" t="s">
        <v>37</v>
      </c>
      <c r="C20" s="126" cm="1">
        <f t="array" aca="1" ref="C20" ca="1">_FV(E2,"Price")</f>
        <v>74.28</v>
      </c>
      <c r="D20" s="13" t="s">
        <v>38</v>
      </c>
      <c r="E20" s="124">
        <f>_xlfn.XLOOKUP(D20,'Fin. Data'!A:A,'Fin. Data'!B:B,,0)</f>
        <v>71391</v>
      </c>
      <c r="F20" s="1048" t="s">
        <v>39</v>
      </c>
      <c r="G20" s="1049"/>
      <c r="H20" s="106" t="s">
        <v>40</v>
      </c>
      <c r="I20" t="s">
        <v>41</v>
      </c>
      <c r="J20" s="1071">
        <v>2023</v>
      </c>
      <c r="K20" s="1072"/>
      <c r="L20" s="12" t="s">
        <v>42</v>
      </c>
      <c r="M20" s="503" t="s">
        <v>43</v>
      </c>
    </row>
    <row r="21" spans="2:13" ht="12.75" customHeight="1">
      <c r="B21" s="463" t="s">
        <v>44</v>
      </c>
      <c r="C21" s="311" cm="1">
        <f t="array" aca="1" ref="C21" ca="1">_FV(E2,"Shares outstanding",TRUE)</f>
        <v>1335798000</v>
      </c>
      <c r="D21" s="12" t="s">
        <v>45</v>
      </c>
      <c r="E21" s="124">
        <f>_xlfn.XLOOKUP(D21,'Fin. Data'!A:A,'Fin. Data'!B:B,,0)</f>
        <v>43059</v>
      </c>
      <c r="F21" s="1043" t="str">
        <f>Segments!C5</f>
        <v>Latin America</v>
      </c>
      <c r="G21" s="1044"/>
      <c r="H21" s="17">
        <f>Segments!B5</f>
        <v>0.13899378054198133</v>
      </c>
      <c r="I21" s="12" t="s">
        <v>46</v>
      </c>
      <c r="J21" s="1052">
        <v>45291</v>
      </c>
      <c r="K21" s="1053"/>
      <c r="L21" s="12" t="s">
        <v>47</v>
      </c>
      <c r="M21" s="461" t="s">
        <v>48</v>
      </c>
    </row>
    <row r="22" spans="2:13" ht="12.75" customHeight="1">
      <c r="B22" s="463" t="s">
        <v>49</v>
      </c>
      <c r="C22" s="53">
        <f ca="1">C20*C21/1000000</f>
        <v>99223.075440000001</v>
      </c>
      <c r="D22" s="12" t="s">
        <v>50</v>
      </c>
      <c r="E22" s="367">
        <f ca="1">_xlfn.XLOOKUP("Cash &amp; Eq.",'Fin. Data'!A:A,'Fin. Data'!B:B,,0)*1000000/C21</f>
        <v>1.3549952912042089</v>
      </c>
      <c r="F22" s="1043" t="str">
        <f>Segments!C6</f>
        <v>AMEA</v>
      </c>
      <c r="G22" s="1044"/>
      <c r="H22" s="17">
        <f>Segments!B6</f>
        <v>0.1964404709018214</v>
      </c>
      <c r="I22" s="1054" t="s">
        <v>51</v>
      </c>
      <c r="J22" s="1054"/>
      <c r="K22" s="124">
        <f>_xlfn.XLOOKUP(I22,'Fin. Data'!A:A,'Fin. Data'!B:B,,0)</f>
        <v>5777</v>
      </c>
      <c r="L22" s="8" t="s">
        <v>52</v>
      </c>
      <c r="M22" s="462" t="s">
        <v>53</v>
      </c>
    </row>
    <row r="23" spans="2:13" ht="12.75" customHeight="1">
      <c r="B23" s="460" t="s">
        <v>54</v>
      </c>
      <c r="C23" s="53">
        <f>'Fin. Data'!B68</f>
        <v>19408</v>
      </c>
      <c r="D23" s="12" t="s">
        <v>55</v>
      </c>
      <c r="E23" s="367">
        <f>_xlfn.XLOOKUP("EBITDA",'Fin. Data'!A:A,'Fin. Data'!B:B,,0)/_xlfn.XLOOKUP("Net Financial Cost",'Fin. Data'!A:A,'Fin. Data'!B:B,,0)</f>
        <v>103.16071428571429</v>
      </c>
      <c r="F23" s="1043" t="str">
        <f>Segments!C7</f>
        <v>Europe</v>
      </c>
      <c r="G23" s="1044"/>
      <c r="H23" s="17">
        <f>Segments!B7</f>
        <v>0.35698023100844067</v>
      </c>
      <c r="I23" s="1055" t="s">
        <v>56</v>
      </c>
      <c r="J23" s="1055"/>
      <c r="K23" s="124">
        <f>_xlfn.XLOOKUP(I23,'Fin. Data'!A:A,'Fin. Data'!B:B,,0)</f>
        <v>1215</v>
      </c>
      <c r="L23" s="12" t="s">
        <v>57</v>
      </c>
      <c r="M23" s="459" t="s">
        <v>58</v>
      </c>
    </row>
    <row r="24" spans="2:13" ht="12.75" customHeight="1">
      <c r="B24" s="460" t="s">
        <v>59</v>
      </c>
      <c r="C24" s="53">
        <f>'Fin. Data'!B39</f>
        <v>1810</v>
      </c>
      <c r="D24" s="12" t="s">
        <v>60</v>
      </c>
      <c r="E24" s="367">
        <f>_xlfn.XLOOKUP("Total Debt",'Fin. Data'!A:A,'Fin. Data'!B:B,,0)/_xlfn.XLOOKUP("EBITDA",'Fin. Data'!A:A,'Fin. Data'!B:B,,0)</f>
        <v>3.3595291673879175</v>
      </c>
      <c r="F24" s="1043" t="str">
        <f>Segments!C8</f>
        <v>North America</v>
      </c>
      <c r="G24" s="1044"/>
      <c r="H24" s="43">
        <f>Segments!B8</f>
        <v>0.30758551754775654</v>
      </c>
      <c r="I24" s="1055" t="s">
        <v>61</v>
      </c>
      <c r="J24" s="1055"/>
      <c r="K24" s="124">
        <f>_xlfn.XLOOKUP(I24,'Fin. Data'!A:A,'Fin. Data'!B:B,,0)</f>
        <v>4562</v>
      </c>
      <c r="L24" s="12" t="s">
        <v>62</v>
      </c>
      <c r="M24" s="458">
        <f ca="1">IFERROR((C20*C21/(E20-E21))/1000000,"")</f>
        <v>3.502155705209657</v>
      </c>
    </row>
    <row r="25" spans="2:13" ht="12.75" customHeight="1">
      <c r="B25" s="460" t="s">
        <v>63</v>
      </c>
      <c r="C25" s="53">
        <f ca="1">C22+C23-C24</f>
        <v>116821.07544</v>
      </c>
      <c r="D25" s="12" t="s">
        <v>64</v>
      </c>
      <c r="E25" s="367">
        <f>_xlfn.XLOOKUP("Other Assets",'Fin. Data'!A:A,'Fin. Data'!B:B,,0)/_xlfn.XLOOKUP("Total Assets",'Fin. Data'!A:A,'Fin. Data'!B:B,,0)</f>
        <v>0.67250773907075123</v>
      </c>
      <c r="F25" s="1043"/>
      <c r="G25" s="1044"/>
      <c r="H25" s="43"/>
      <c r="I25" s="1054" t="s">
        <v>65</v>
      </c>
      <c r="J25" s="1054"/>
      <c r="K25" s="124">
        <f>_xlfn.XLOOKUP(I25,'Fin. Data'!A:A,'Fin. Data'!B:B,,0)</f>
        <v>4959</v>
      </c>
      <c r="L25" s="12" t="s">
        <v>66</v>
      </c>
      <c r="M25" s="457">
        <f>IFERROR(K31/E20,"")</f>
        <v>5.5917412559006036E-2</v>
      </c>
    </row>
    <row r="26" spans="2:13" ht="12.75" customHeight="1">
      <c r="B26" s="460" t="s">
        <v>67</v>
      </c>
      <c r="C26" s="127" t="s">
        <v>14</v>
      </c>
      <c r="D26" s="12" t="s">
        <v>68</v>
      </c>
      <c r="E26" s="367">
        <f>_xlfn.XLOOKUP(D26,'Fin. Data'!A:A,'Fin. Data'!B:B,,0)</f>
        <v>0.27185499572775279</v>
      </c>
      <c r="F26" s="1050" t="s">
        <v>69</v>
      </c>
      <c r="G26" s="1051"/>
      <c r="H26" s="107" t="s">
        <v>40</v>
      </c>
      <c r="I26" s="1054" t="s">
        <v>70</v>
      </c>
      <c r="J26" s="1054"/>
      <c r="K26" s="70">
        <f ca="1">1000000*K25/C21</f>
        <v>3.7123876514263383</v>
      </c>
      <c r="L26" s="12" t="s">
        <v>71</v>
      </c>
      <c r="M26" s="456">
        <f ca="1">IFERROR(C22/K30,"")</f>
        <v>24.855479819639278</v>
      </c>
    </row>
    <row r="27" spans="2:13" ht="12.75" customHeight="1">
      <c r="B27" s="463" t="s">
        <v>72</v>
      </c>
      <c r="C27" s="128" t="s">
        <v>14</v>
      </c>
      <c r="D27" s="12" t="s">
        <v>73</v>
      </c>
      <c r="E27" s="125">
        <f>AVERAGE(_xlfn.XLOOKUP("EBITDA Margin",'Fin. Data'!A:A,'Fin. Data'!B:D,,0))</f>
        <v>0.14460723002220791</v>
      </c>
      <c r="F27" s="709" t="str">
        <f>Segments!C16</f>
        <v>Biscuits &amp; Baked Snacks</v>
      </c>
      <c r="G27" s="710"/>
      <c r="H27" s="17">
        <f>Segments!B16</f>
        <v>0.48947689915593068</v>
      </c>
      <c r="I27" s="1054" t="s">
        <v>74</v>
      </c>
      <c r="J27" s="1054"/>
      <c r="K27" s="71">
        <f>K25/E20</f>
        <v>6.9462537294616974E-2</v>
      </c>
      <c r="L27" s="12" t="s">
        <v>75</v>
      </c>
      <c r="M27" s="455">
        <f ca="1">IFERROR(C25/E20,"")</f>
        <v>1.6363557792999117</v>
      </c>
    </row>
    <row r="28" spans="2:13" ht="12.75" customHeight="1">
      <c r="B28" s="463" t="s">
        <v>76</v>
      </c>
      <c r="C28" s="18" t="s">
        <v>77</v>
      </c>
      <c r="D28" s="12" t="s">
        <v>78</v>
      </c>
      <c r="E28" s="125">
        <f>AVERAGE(_xlfn.XLOOKUP("Operating Margin",'Fin. Data'!A:A,'Fin. Data'!B:D,,0))</f>
        <v>0.13936299273217154</v>
      </c>
      <c r="F28" s="709" t="str">
        <f>Segments!C18</f>
        <v>Gum &amp; Candy</v>
      </c>
      <c r="G28" s="710"/>
      <c r="H28" s="17">
        <f>Segments!B18</f>
        <v>0.12288982674366948</v>
      </c>
      <c r="I28" s="1054" t="s">
        <v>79</v>
      </c>
      <c r="J28" s="1054"/>
      <c r="K28" s="71">
        <f>Peers!C17</f>
        <v>8.6706661427519857E-2</v>
      </c>
      <c r="L28" s="12" t="s">
        <v>80</v>
      </c>
      <c r="M28" s="455">
        <f ca="1">IFERROR(C25/K29,"")</f>
        <v>25.07966411335337</v>
      </c>
    </row>
    <row r="29" spans="2:13" ht="15.6" customHeight="1">
      <c r="B29" s="1062" t="s">
        <v>81</v>
      </c>
      <c r="C29" s="1063"/>
      <c r="D29" s="12" t="s">
        <v>82</v>
      </c>
      <c r="E29" s="125">
        <f>AVERAGE(_xlfn.XLOOKUP("Net Income Margin",'Fin. Data'!A:A,'Fin. Data'!B:D,,0))</f>
        <v>0.12455839199112602</v>
      </c>
      <c r="F29" s="709" t="str">
        <f>Segments!C19</f>
        <v>Beverages</v>
      </c>
      <c r="G29" s="710"/>
      <c r="H29" s="17">
        <f>Segments!B19</f>
        <v>3.2902043536206134E-2</v>
      </c>
      <c r="I29" s="1097" t="s">
        <v>83</v>
      </c>
      <c r="J29" s="1097"/>
      <c r="K29" s="671">
        <f>AVERAGE(_xlfn.XLOOKUP("EBITDA",'Fin. Data'!A:A,'Fin. Data'!B:D,,0))</f>
        <v>4658</v>
      </c>
      <c r="L29" s="12" t="s">
        <v>84</v>
      </c>
      <c r="M29" s="456">
        <f ca="1">IFERROR(C22/K31,"")</f>
        <v>24.855479819639278</v>
      </c>
    </row>
    <row r="30" spans="2:13" ht="12.75" customHeight="1">
      <c r="B30" s="9" t="s">
        <v>85</v>
      </c>
      <c r="C30" s="897"/>
      <c r="D30" s="638"/>
      <c r="E30" s="133"/>
      <c r="F30" s="709" t="str">
        <f>Segments!C20</f>
        <v>Cheese &amp; Grocery</v>
      </c>
      <c r="G30" s="710"/>
      <c r="H30" s="17">
        <f>Segments!B20</f>
        <v>5.9890048867170149E-2</v>
      </c>
      <c r="I30" s="1054" t="s">
        <v>86</v>
      </c>
      <c r="J30" s="1054"/>
      <c r="K30" s="124">
        <f>AVERAGE(_xlfn.XLOOKUP("Net Income",'Fin. Data'!A:A,'Fin. Data'!B:D,,0))</f>
        <v>3992</v>
      </c>
      <c r="L30" s="12" t="s">
        <v>87</v>
      </c>
      <c r="M30" s="992" t="s">
        <v>14</v>
      </c>
    </row>
    <row r="31" spans="2:13" ht="12.75" customHeight="1">
      <c r="B31" s="9" t="s">
        <v>88</v>
      </c>
      <c r="C31" s="897"/>
      <c r="D31" s="12" t="s">
        <v>89</v>
      </c>
      <c r="E31" s="512">
        <f>-_xlfn.XLOOKUP("Net Financial Cost",'Fin. Data'!A:A,'Fin. Data'!B:B,,0)/AVERAGE(_xlfn.XLOOKUP("Net Debt",'Fin. Data'!A:A,'Fin. Data'!B:D,,0))</f>
        <v>-3.0783889764356654E-3</v>
      </c>
      <c r="F31" s="709" t="str">
        <f>Segments!C17</f>
        <v>Chocolate</v>
      </c>
      <c r="G31" s="710"/>
      <c r="H31" s="17">
        <f>Segments!B17</f>
        <v>0.29484118169702356</v>
      </c>
      <c r="I31" s="1054" t="s">
        <v>90</v>
      </c>
      <c r="J31" s="1054"/>
      <c r="K31" s="124">
        <f>AVERAGE(_xlfn.XLOOKUP("Net Income",'Fin. Data'!A:A,'Fin. Data'!B:D,,0))</f>
        <v>3992</v>
      </c>
      <c r="L31" s="12" t="s">
        <v>91</v>
      </c>
      <c r="M31" s="454">
        <f ca="1">-IFERROR(SUM(E52:E54)/(3*C22),"")</f>
        <v>3.9120604249098315E-2</v>
      </c>
    </row>
    <row r="32" spans="2:13" ht="12.6" customHeight="1">
      <c r="B32" s="9" t="s">
        <v>92</v>
      </c>
      <c r="C32" s="897"/>
      <c r="D32" s="130"/>
      <c r="E32" s="132"/>
      <c r="F32" s="1073"/>
      <c r="G32" s="1074"/>
      <c r="H32" s="19"/>
      <c r="I32" s="130"/>
      <c r="J32" s="131"/>
      <c r="K32" s="131"/>
      <c r="L32" s="12" t="s">
        <v>93</v>
      </c>
      <c r="M32" s="453">
        <f ca="1">-IFERROR(L53/C22,"")</f>
        <v>2.1769129715256082E-2</v>
      </c>
    </row>
    <row r="33" spans="1:24" ht="18" thickBot="1">
      <c r="B33" s="1065" t="s">
        <v>94</v>
      </c>
      <c r="C33" s="1066"/>
      <c r="D33" s="1066"/>
      <c r="E33" s="1066"/>
      <c r="F33" s="1066"/>
      <c r="G33" s="1066"/>
      <c r="H33" s="1066"/>
      <c r="I33" s="1066"/>
      <c r="J33" s="1066"/>
      <c r="K33" s="1066"/>
      <c r="L33" s="1066"/>
      <c r="M33" s="1067"/>
    </row>
    <row r="34" spans="1:24" ht="15.6">
      <c r="B34" s="1094" t="s">
        <v>95</v>
      </c>
      <c r="C34" s="1095"/>
      <c r="D34" s="1095"/>
      <c r="E34" s="1095"/>
      <c r="F34" s="1095"/>
      <c r="G34" s="1095"/>
      <c r="H34" s="518" t="s">
        <v>96</v>
      </c>
      <c r="I34" s="1098" t="s">
        <v>97</v>
      </c>
      <c r="J34" s="1099"/>
      <c r="K34" s="1099"/>
      <c r="L34" s="1099"/>
      <c r="M34" s="1100"/>
      <c r="N34" s="11"/>
    </row>
    <row r="35" spans="1:24" ht="13.35" customHeight="1">
      <c r="A35" s="11"/>
      <c r="B35" s="519" t="s">
        <v>98</v>
      </c>
      <c r="C35" s="1107" t="s">
        <v>99</v>
      </c>
      <c r="D35" s="1108"/>
      <c r="E35" s="1108"/>
      <c r="F35" s="1108"/>
      <c r="G35" s="1109"/>
      <c r="H35" s="1128" t="s">
        <v>100</v>
      </c>
      <c r="I35" s="1006" t="s">
        <v>101</v>
      </c>
      <c r="J35" s="1007"/>
      <c r="K35" s="1007"/>
      <c r="L35" s="1007"/>
      <c r="M35" s="1008"/>
    </row>
    <row r="36" spans="1:24" ht="24.6" customHeight="1">
      <c r="A36" s="11"/>
      <c r="B36" s="520" t="s">
        <v>102</v>
      </c>
      <c r="C36" s="1110" t="s">
        <v>103</v>
      </c>
      <c r="D36" s="1111"/>
      <c r="E36" s="1111"/>
      <c r="F36" s="1111"/>
      <c r="G36" s="1112"/>
      <c r="H36" s="1129"/>
      <c r="I36" s="1009"/>
      <c r="J36" s="1010"/>
      <c r="K36" s="1010"/>
      <c r="L36" s="1010"/>
      <c r="M36" s="1011"/>
    </row>
    <row r="37" spans="1:24" ht="45" customHeight="1">
      <c r="A37" s="11"/>
      <c r="B37" s="520" t="s">
        <v>104</v>
      </c>
      <c r="C37" s="1110" t="s">
        <v>105</v>
      </c>
      <c r="D37" s="1111"/>
      <c r="E37" s="1111"/>
      <c r="F37" s="1111"/>
      <c r="G37" s="1112"/>
      <c r="H37" s="1129"/>
      <c r="I37" s="1009"/>
      <c r="J37" s="1010"/>
      <c r="K37" s="1010"/>
      <c r="L37" s="1010"/>
      <c r="M37" s="1011"/>
    </row>
    <row r="38" spans="1:24" ht="24.6" customHeight="1">
      <c r="B38" s="521" t="s">
        <v>106</v>
      </c>
      <c r="C38" s="1075" t="s">
        <v>107</v>
      </c>
      <c r="D38" s="1076"/>
      <c r="E38" s="1076"/>
      <c r="F38" s="1076"/>
      <c r="G38" s="1077"/>
      <c r="H38" s="1130"/>
      <c r="I38" s="1012"/>
      <c r="J38" s="1013"/>
      <c r="K38" s="1013"/>
      <c r="L38" s="1013"/>
      <c r="M38" s="1014"/>
    </row>
    <row r="39" spans="1:24" ht="15.6">
      <c r="B39" s="1101" t="s">
        <v>108</v>
      </c>
      <c r="C39" s="1102"/>
      <c r="D39" s="1102"/>
      <c r="E39" s="1102"/>
      <c r="F39" s="1102"/>
      <c r="G39" s="1103"/>
      <c r="H39" s="522" t="s">
        <v>109</v>
      </c>
      <c r="I39" s="1015" t="s">
        <v>110</v>
      </c>
      <c r="J39" s="1015"/>
      <c r="K39" s="1015"/>
      <c r="L39" s="1015"/>
      <c r="M39" s="1016"/>
    </row>
    <row r="40" spans="1:24" ht="13.35" customHeight="1" thickBot="1">
      <c r="B40" s="523" t="s">
        <v>111</v>
      </c>
      <c r="C40" s="1104" t="s">
        <v>99</v>
      </c>
      <c r="D40" s="1105"/>
      <c r="E40" s="1105"/>
      <c r="F40" s="1105"/>
      <c r="G40" s="1106"/>
      <c r="H40" s="1068">
        <f ca="1">DCF!D76</f>
        <v>81.194113064204842</v>
      </c>
      <c r="I40" s="1114" t="s">
        <v>112</v>
      </c>
      <c r="J40" s="1116">
        <f>DCF!F50</f>
        <v>9.0000000000000011E-2</v>
      </c>
      <c r="K40" s="1117"/>
      <c r="L40" s="1122" t="s">
        <v>113</v>
      </c>
      <c r="M40" s="1126" t="e">
        <f>#REF!</f>
        <v>#REF!</v>
      </c>
    </row>
    <row r="41" spans="1:24" ht="26.25" customHeight="1">
      <c r="B41" s="520" t="s">
        <v>114</v>
      </c>
      <c r="C41" s="1078" t="s">
        <v>115</v>
      </c>
      <c r="D41" s="1079"/>
      <c r="E41" s="1079"/>
      <c r="F41" s="1079"/>
      <c r="G41" s="1080"/>
      <c r="H41" s="1069"/>
      <c r="I41" s="1115"/>
      <c r="J41" s="1118"/>
      <c r="K41" s="1119"/>
      <c r="L41" s="1123"/>
      <c r="M41" s="1127"/>
    </row>
    <row r="42" spans="1:24" ht="13.35" customHeight="1">
      <c r="B42" s="1002" t="s">
        <v>116</v>
      </c>
      <c r="C42" s="996" t="s">
        <v>117</v>
      </c>
      <c r="D42" s="997"/>
      <c r="E42" s="997"/>
      <c r="F42" s="997"/>
      <c r="G42" s="998"/>
      <c r="H42" s="1069"/>
      <c r="I42" s="1114" t="s">
        <v>118</v>
      </c>
      <c r="J42" s="1120">
        <f ca="1">DCF!D75</f>
        <v>9.3081759076532489E-2</v>
      </c>
      <c r="K42" s="1121"/>
      <c r="L42" s="1124" t="s">
        <v>119</v>
      </c>
      <c r="M42" s="1126" t="e">
        <f>#REF!</f>
        <v>#REF!</v>
      </c>
    </row>
    <row r="43" spans="1:24">
      <c r="B43" s="1003"/>
      <c r="C43" s="999"/>
      <c r="D43" s="1000"/>
      <c r="E43" s="1000"/>
      <c r="F43" s="1000"/>
      <c r="G43" s="1001"/>
      <c r="H43" s="1070"/>
      <c r="I43" s="1115"/>
      <c r="J43" s="1118"/>
      <c r="K43" s="1119"/>
      <c r="L43" s="1125"/>
      <c r="M43" s="1127"/>
    </row>
    <row r="44" spans="1:24" ht="17.45">
      <c r="B44" s="1065" t="s">
        <v>120</v>
      </c>
      <c r="C44" s="1066"/>
      <c r="D44" s="1066"/>
      <c r="E44" s="1066"/>
      <c r="F44" s="1066"/>
      <c r="G44" s="1066"/>
      <c r="H44" s="1066"/>
      <c r="I44" s="1066"/>
      <c r="J44" s="1066"/>
      <c r="K44" s="1066"/>
      <c r="L44" s="1066"/>
      <c r="M44" s="1067"/>
    </row>
    <row r="45" spans="1:24">
      <c r="B45" s="639" t="s">
        <v>121</v>
      </c>
      <c r="C45" s="115" t="s">
        <v>122</v>
      </c>
      <c r="D45" s="115" t="s">
        <v>123</v>
      </c>
      <c r="E45" s="137" t="s">
        <v>124</v>
      </c>
      <c r="F45" s="115" t="s">
        <v>125</v>
      </c>
      <c r="G45" s="115" t="s">
        <v>68</v>
      </c>
      <c r="H45" s="136" t="s">
        <v>56</v>
      </c>
      <c r="I45" s="136" t="s">
        <v>126</v>
      </c>
      <c r="J45" s="1031" t="s">
        <v>127</v>
      </c>
      <c r="K45" s="1031"/>
      <c r="L45" s="1031"/>
      <c r="M45" s="1113"/>
    </row>
    <row r="46" spans="1:24">
      <c r="B46" s="640">
        <f t="shared" ref="B46:B52" si="0">B47-1</f>
        <v>2015</v>
      </c>
      <c r="C46" s="135" cm="1">
        <f t="array" ref="C46:C54">_xlfn.SORTBY(TRANSPOSE(_xlfn.XLOOKUP(C$45,'Fin. Data'!$A:$A,'Fin. Data'!$B:$J,,0)),$B$46:$B$54,-1)</f>
        <v>29636</v>
      </c>
      <c r="D46" s="109" cm="1">
        <f t="array" ref="D46:D54">_xlfn.SORTBY(TRANSPOSE(_xlfn.XLOOKUP(D$45,'Fin. Data'!$A:$A,'Fin. Data'!$B:$J,,0)),$B$46:$B$54,-1)</f>
        <v>0.30020920502092052</v>
      </c>
      <c r="E46" s="135" cm="1">
        <f t="array" ref="E46:E54">_xlfn.SORTBY(TRANSPOSE(_xlfn.XLOOKUP(E$45,'Fin. Data'!$A:$A,'Fin. Data'!$B:$J,,0)),$B$46:$B$54,-1)</f>
        <v>-4630</v>
      </c>
      <c r="F46" s="134">
        <f>Inputs!J77</f>
        <v>239</v>
      </c>
      <c r="G46" s="109" cm="1">
        <f t="array" ref="G46:G54">_xlfn.SORTBY(TRANSPOSE(_xlfn.XLOOKUP(G$45,'Fin. Data'!$A:$A,'Fin. Data'!$B:$J,,0)),$B$46:$B$54,-1)</f>
        <v>0.24502331206339609</v>
      </c>
      <c r="H46" s="135" cm="1">
        <f t="array" ref="H46:H54">_xlfn.SORTBY(TRANSPOSE(_xlfn.XLOOKUP(H$45,'Fin. Data'!$A:$A,'Fin. Data'!$B:$J,,0)),$B$46:$B$54,-1)</f>
        <v>894</v>
      </c>
      <c r="I46" s="135" cm="1">
        <f t="array" ref="I46:I54">_xlfn.SORTBY(TRANSPOSE(_xlfn.XLOOKUP(I$45,'Fin. Data'!$A:$A,'Fin. Data'!$B:$J,,0)),$B$46:$B$54,-1)</f>
        <v>2649</v>
      </c>
      <c r="J46" s="392"/>
      <c r="K46" s="130"/>
      <c r="L46" s="110">
        <f>J20</f>
        <v>2023</v>
      </c>
      <c r="M46" s="394">
        <f>L46-1</f>
        <v>2022</v>
      </c>
      <c r="V46">
        <v>-4630</v>
      </c>
      <c r="X46">
        <v>0.24502331206339609</v>
      </c>
    </row>
    <row r="47" spans="1:24">
      <c r="B47" s="640">
        <f t="shared" si="0"/>
        <v>2016</v>
      </c>
      <c r="C47" s="135">
        <v>25923</v>
      </c>
      <c r="D47" s="108">
        <v>8.262932530957065E-2</v>
      </c>
      <c r="E47" s="135">
        <v>-3695</v>
      </c>
      <c r="F47" s="134">
        <f>Inputs!I77</f>
        <v>-129</v>
      </c>
      <c r="G47" s="109">
        <v>0.27948584614384608</v>
      </c>
      <c r="H47" s="135">
        <v>823</v>
      </c>
      <c r="I47" s="135">
        <v>-1029</v>
      </c>
      <c r="J47" s="1017" t="s">
        <v>65</v>
      </c>
      <c r="K47" s="1018"/>
      <c r="L47" s="53">
        <f>_xlfn.XLOOKUP($J47,'Fin. Data'!$A:$A,'Fin. Data'!B:B,,0)</f>
        <v>4959</v>
      </c>
      <c r="M47" s="452">
        <f>_xlfn.XLOOKUP($J47,'Fin. Data'!$A:$A,'Fin. Data'!C:C,,0)</f>
        <v>2717</v>
      </c>
      <c r="N47" s="22">
        <f t="shared" ref="N47:N55" si="1">(C47/C46)-1</f>
        <v>-0.12528681333513292</v>
      </c>
      <c r="O47" s="22">
        <f t="shared" ref="O47:O55" si="2">(D47/D46)-1</f>
        <v>-0.72476085367264975</v>
      </c>
      <c r="P47" s="21"/>
      <c r="Q47" s="20"/>
      <c r="R47" s="20"/>
      <c r="S47" s="20"/>
      <c r="V47">
        <v>-3695</v>
      </c>
      <c r="X47">
        <v>0.27948584614384608</v>
      </c>
    </row>
    <row r="48" spans="1:24">
      <c r="B48" s="640">
        <f t="shared" si="0"/>
        <v>2017</v>
      </c>
      <c r="C48" s="135">
        <v>25896</v>
      </c>
      <c r="D48" s="108">
        <v>0.13496292863762743</v>
      </c>
      <c r="E48" s="135">
        <v>-3372</v>
      </c>
      <c r="F48" s="134">
        <f>Inputs!H77</f>
        <v>-980</v>
      </c>
      <c r="G48" s="109">
        <v>0.27970653947931357</v>
      </c>
      <c r="H48" s="135">
        <v>816</v>
      </c>
      <c r="I48" s="135">
        <v>-301</v>
      </c>
      <c r="J48" s="1017" t="s">
        <v>128</v>
      </c>
      <c r="K48" s="1018"/>
      <c r="L48" s="53">
        <f>_xlfn.XLOOKUP($J48,'Fin. Data'!$A:$A,'Fin. Data'!B:B,,0)</f>
        <v>4714</v>
      </c>
      <c r="M48" s="452">
        <f>_xlfn.XLOOKUP($J48,'Fin. Data'!$A:$A,'Fin. Data'!C:C,,0)</f>
        <v>3908</v>
      </c>
      <c r="N48" s="22">
        <f t="shared" si="1"/>
        <v>-1.0415461173475249E-3</v>
      </c>
      <c r="O48" s="22">
        <f t="shared" si="2"/>
        <v>0.63335387445061442</v>
      </c>
      <c r="P48" s="21"/>
      <c r="Q48" s="20">
        <f t="shared" ref="Q48:Q54" si="3">F48/F47-1</f>
        <v>6.5968992248062017</v>
      </c>
      <c r="R48" s="20">
        <f t="shared" ref="R48:S54" si="4">H48/H47-1</f>
        <v>-8.5054678007290274E-3</v>
      </c>
      <c r="S48" s="20">
        <f t="shared" si="4"/>
        <v>-0.70748299319727892</v>
      </c>
      <c r="V48">
        <v>-3372</v>
      </c>
      <c r="X48">
        <v>0.27970653947931357</v>
      </c>
    </row>
    <row r="49" spans="2:24">
      <c r="B49" s="640">
        <f t="shared" si="0"/>
        <v>2018</v>
      </c>
      <c r="C49" s="135">
        <v>25938</v>
      </c>
      <c r="D49" s="108">
        <v>0.12229161847482459</v>
      </c>
      <c r="E49" s="135">
        <v>-3379</v>
      </c>
      <c r="F49" s="134">
        <f>Inputs!G77</f>
        <v>339</v>
      </c>
      <c r="G49" s="109">
        <v>0.29287889174066223</v>
      </c>
      <c r="H49" s="135">
        <v>811</v>
      </c>
      <c r="I49" s="135">
        <v>-1224</v>
      </c>
      <c r="J49" s="1017" t="s">
        <v>129</v>
      </c>
      <c r="K49" s="1018"/>
      <c r="L49" s="53">
        <f>_xlfn.XLOOKUP($J49,'Fin. Data'!$A:$A,'Fin. Data'!B:B,,0)</f>
        <v>2812</v>
      </c>
      <c r="M49" s="452">
        <f>_xlfn.XLOOKUP($J49,'Fin. Data'!$A:$A,'Fin. Data'!C:C,,0)</f>
        <v>-4888</v>
      </c>
      <c r="N49" s="22">
        <f t="shared" si="1"/>
        <v>1.6218721037997152E-3</v>
      </c>
      <c r="O49" s="22">
        <f t="shared" si="2"/>
        <v>-9.3887338476664528E-2</v>
      </c>
      <c r="P49" s="21"/>
      <c r="Q49" s="20">
        <f t="shared" si="3"/>
        <v>-1.3459183673469388</v>
      </c>
      <c r="R49" s="20">
        <f t="shared" si="4"/>
        <v>-6.1274509803921351E-3</v>
      </c>
      <c r="S49" s="20">
        <f t="shared" si="4"/>
        <v>3.0664451827242525</v>
      </c>
      <c r="V49">
        <v>-3379</v>
      </c>
      <c r="X49">
        <v>0.29287889174066223</v>
      </c>
    </row>
    <row r="50" spans="2:24">
      <c r="B50" s="640">
        <f t="shared" si="0"/>
        <v>2019</v>
      </c>
      <c r="C50" s="135">
        <v>25868</v>
      </c>
      <c r="D50" s="108">
        <v>0.14856192979743313</v>
      </c>
      <c r="E50" s="135">
        <v>-3022</v>
      </c>
      <c r="F50" s="134">
        <f>Inputs!F77</f>
        <v>228</v>
      </c>
      <c r="G50" s="109">
        <v>0.28736308850640596</v>
      </c>
      <c r="H50" s="135">
        <v>1047</v>
      </c>
      <c r="I50" s="135">
        <v>-960</v>
      </c>
      <c r="J50" s="1019" t="s">
        <v>130</v>
      </c>
      <c r="K50" s="1020"/>
      <c r="L50" s="53">
        <f>_xlfn.XLOOKUP($J50,'Fin. Data'!$A:$A,'Fin. Data'!B:B,,0)</f>
        <v>-1112</v>
      </c>
      <c r="M50" s="452">
        <f>_xlfn.XLOOKUP($J50,'Fin. Data'!$A:$A,'Fin. Data'!C:C,,0)</f>
        <v>-906</v>
      </c>
      <c r="N50" s="22">
        <f t="shared" si="1"/>
        <v>-2.698743156758443E-3</v>
      </c>
      <c r="O50" s="22">
        <f t="shared" si="2"/>
        <v>0.21481694044319677</v>
      </c>
      <c r="P50" s="21"/>
      <c r="Q50" s="20">
        <f t="shared" si="3"/>
        <v>-0.32743362831858402</v>
      </c>
      <c r="R50" s="20">
        <f t="shared" si="4"/>
        <v>0.29099876695437721</v>
      </c>
      <c r="S50" s="20">
        <f t="shared" si="4"/>
        <v>-0.21568627450980393</v>
      </c>
      <c r="V50">
        <v>-3022</v>
      </c>
      <c r="X50">
        <v>0.28736308850640596</v>
      </c>
    </row>
    <row r="51" spans="2:24">
      <c r="B51" s="640">
        <f t="shared" si="0"/>
        <v>2020</v>
      </c>
      <c r="C51" s="135">
        <v>26581</v>
      </c>
      <c r="D51" s="108">
        <v>0.13799330348745345</v>
      </c>
      <c r="E51" s="135">
        <v>-3068</v>
      </c>
      <c r="F51" s="134">
        <f>Inputs!E77</f>
        <v>2322</v>
      </c>
      <c r="G51" s="109">
        <v>0.29562011502728214</v>
      </c>
      <c r="H51" s="135">
        <v>1116</v>
      </c>
      <c r="I51" s="135">
        <v>500</v>
      </c>
      <c r="J51" s="1019" t="s">
        <v>131</v>
      </c>
      <c r="K51" s="1020"/>
      <c r="L51" s="53">
        <f>_xlfn.XLOOKUP($J51,'Fin. Data'!$A:$A,'Fin. Data'!B:B,,0)</f>
        <v>3924</v>
      </c>
      <c r="M51" s="452">
        <f>_xlfn.XLOOKUP($J51,'Fin. Data'!$A:$A,'Fin. Data'!C:C,,0)</f>
        <v>-3982</v>
      </c>
      <c r="N51" s="22">
        <f t="shared" si="1"/>
        <v>2.7563012215865212E-2</v>
      </c>
      <c r="O51" s="22">
        <f t="shared" si="2"/>
        <v>-7.1139533017578582E-2</v>
      </c>
      <c r="P51" s="21"/>
      <c r="Q51" s="20">
        <f t="shared" si="3"/>
        <v>9.1842105263157894</v>
      </c>
      <c r="R51" s="20">
        <f t="shared" si="4"/>
        <v>6.5902578796561695E-2</v>
      </c>
      <c r="S51" s="20">
        <f t="shared" si="4"/>
        <v>-1.5208333333333335</v>
      </c>
      <c r="V51">
        <v>-3068</v>
      </c>
      <c r="X51">
        <v>0.29562011502728214</v>
      </c>
    </row>
    <row r="52" spans="2:24">
      <c r="B52" s="640">
        <f t="shared" si="0"/>
        <v>2021</v>
      </c>
      <c r="C52" s="135">
        <v>28720</v>
      </c>
      <c r="D52" s="108">
        <v>0.15724233983286909</v>
      </c>
      <c r="E52" s="135">
        <v>-3936</v>
      </c>
      <c r="F52" s="134">
        <f>Inputs!D77</f>
        <v>-97</v>
      </c>
      <c r="G52" s="109">
        <v>0.2908245394383831</v>
      </c>
      <c r="H52" s="135">
        <v>1113</v>
      </c>
      <c r="I52" s="135">
        <v>-26</v>
      </c>
      <c r="J52" s="1017" t="s">
        <v>132</v>
      </c>
      <c r="K52" s="1018"/>
      <c r="L52" s="53">
        <f>_xlfn.XLOOKUP($J52,'Fin. Data'!$A:$A,'Fin. Data'!B:B,,0)</f>
        <v>-7558</v>
      </c>
      <c r="M52" s="452">
        <f>_xlfn.XLOOKUP($J52,'Fin. Data'!$A:$A,'Fin. Data'!C:C,,0)</f>
        <v>-456</v>
      </c>
      <c r="N52" s="22">
        <f t="shared" si="1"/>
        <v>8.0471013129679081E-2</v>
      </c>
      <c r="O52" s="22">
        <f t="shared" si="2"/>
        <v>0.13949253955765895</v>
      </c>
      <c r="P52" s="21"/>
      <c r="Q52" s="20">
        <f t="shared" si="3"/>
        <v>-1.0417743324720068</v>
      </c>
      <c r="R52" s="20">
        <f t="shared" si="4"/>
        <v>-2.6881720430107503E-3</v>
      </c>
      <c r="S52" s="20">
        <f t="shared" si="4"/>
        <v>-1.052</v>
      </c>
      <c r="V52">
        <v>-3936</v>
      </c>
      <c r="X52">
        <v>0.2908245394383831</v>
      </c>
    </row>
    <row r="53" spans="2:24">
      <c r="B53" s="640">
        <f>B54-1</f>
        <v>2022</v>
      </c>
      <c r="C53" s="135">
        <v>31496</v>
      </c>
      <c r="D53" s="108">
        <v>0.10810896621793244</v>
      </c>
      <c r="E53" s="135">
        <v>-4002</v>
      </c>
      <c r="F53" s="134">
        <f>Inputs!C$77</f>
        <v>-1605</v>
      </c>
      <c r="G53" s="109">
        <v>0.32226922049999296</v>
      </c>
      <c r="H53" s="135">
        <v>1107</v>
      </c>
      <c r="I53" s="135">
        <v>-4888</v>
      </c>
      <c r="J53" s="1019" t="s">
        <v>133</v>
      </c>
      <c r="K53" s="1020"/>
      <c r="L53" s="53">
        <f>_xlfn.XLOOKUP($J53,'Fin. Data'!$A:$A,'Fin. Data'!B:B,,0)</f>
        <v>-2160</v>
      </c>
      <c r="M53" s="452">
        <f>_xlfn.XLOOKUP($J53,'Fin. Data'!$A:$A,'Fin. Data'!C:C,,0)</f>
        <v>-1985</v>
      </c>
      <c r="N53" s="22">
        <f t="shared" si="1"/>
        <v>9.6657381615598892E-2</v>
      </c>
      <c r="O53" s="22">
        <f t="shared" si="2"/>
        <v>-0.31246910766629332</v>
      </c>
      <c r="P53" s="21"/>
      <c r="Q53" s="20">
        <f t="shared" si="3"/>
        <v>15.546391752577321</v>
      </c>
      <c r="R53" s="20">
        <f t="shared" si="4"/>
        <v>-5.3908355795148077E-3</v>
      </c>
      <c r="S53" s="20">
        <f t="shared" si="4"/>
        <v>187</v>
      </c>
      <c r="V53">
        <v>-4002</v>
      </c>
      <c r="X53">
        <v>0.32226922049999296</v>
      </c>
    </row>
    <row r="54" spans="2:24">
      <c r="B54" s="640">
        <f>J20</f>
        <v>2023</v>
      </c>
      <c r="C54" s="135">
        <v>36016</v>
      </c>
      <c r="D54" s="108">
        <v>0.15273767214571302</v>
      </c>
      <c r="E54" s="135">
        <v>-3707</v>
      </c>
      <c r="F54" s="134">
        <f>Inputs!B77</f>
        <v>-64</v>
      </c>
      <c r="G54" s="109">
        <v>0.27185499572775279</v>
      </c>
      <c r="H54" s="135">
        <v>1215</v>
      </c>
      <c r="I54" s="135">
        <v>2812</v>
      </c>
      <c r="J54" s="1019" t="s">
        <v>134</v>
      </c>
      <c r="K54" s="1020"/>
      <c r="L54" s="53">
        <f>_xlfn.XLOOKUP($J54,'Fin. Data'!$A:$A,'Fin. Data'!B:B,,0)</f>
        <v>-1547</v>
      </c>
      <c r="M54" s="452">
        <f>_xlfn.XLOOKUP($J54,'Fin. Data'!$A:$A,'Fin. Data'!C:C,,0)</f>
        <v>-2017</v>
      </c>
      <c r="N54" s="22">
        <f t="shared" si="1"/>
        <v>0.143510287020574</v>
      </c>
      <c r="O54" s="22">
        <f t="shared" si="2"/>
        <v>0.41281225312815772</v>
      </c>
      <c r="P54" s="21"/>
      <c r="Q54" s="20">
        <f t="shared" si="3"/>
        <v>-0.96012461059190035</v>
      </c>
      <c r="R54" s="20">
        <f t="shared" si="4"/>
        <v>9.7560975609756184E-2</v>
      </c>
      <c r="S54" s="20">
        <f t="shared" si="4"/>
        <v>-1.5752864157119477</v>
      </c>
      <c r="V54">
        <v>-3707</v>
      </c>
      <c r="X54">
        <v>0.27185499572775279</v>
      </c>
    </row>
    <row r="55" spans="2:24">
      <c r="B55" s="641" t="s">
        <v>135</v>
      </c>
      <c r="C55" s="111">
        <f>IFERROR((C54/C46)^(1/8)-1,"")</f>
        <v>2.4671097594104241E-2</v>
      </c>
      <c r="D55" s="111">
        <f>IFERROR((D54/D46)^(1/8)-1,"")</f>
        <v>-8.1000510041145168E-2</v>
      </c>
      <c r="E55" s="129"/>
      <c r="F55" s="111" t="str">
        <f>IFERROR((F54/F46)^(1/8)-1,"")</f>
        <v/>
      </c>
      <c r="G55" s="129"/>
      <c r="H55" s="111">
        <f>IFERROR((H54/H46)^(1/8)-1,"")</f>
        <v>3.9094018644511452E-2</v>
      </c>
      <c r="I55" s="129"/>
      <c r="J55" s="1017" t="s">
        <v>136</v>
      </c>
      <c r="K55" s="1018"/>
      <c r="L55" s="53">
        <f>_xlfn.XLOOKUP($J55,'Fin. Data'!$A:$A,'Fin. Data'!B:B,,0)</f>
        <v>-32</v>
      </c>
      <c r="M55" s="452">
        <f>_xlfn.XLOOKUP($J55,'Fin. Data'!$A:$A,'Fin. Data'!C:C,,0)</f>
        <v>-169</v>
      </c>
      <c r="N55" s="22">
        <f t="shared" si="1"/>
        <v>-0.99999931499617967</v>
      </c>
      <c r="O55" s="22">
        <f t="shared" si="2"/>
        <v>-1.5303243718672759</v>
      </c>
      <c r="P55" s="21"/>
      <c r="Q55" s="20"/>
      <c r="R55" s="20"/>
      <c r="S55" s="20"/>
      <c r="X55">
        <f>AVERAGE(X46:X54)</f>
        <v>0.28500294984744834</v>
      </c>
    </row>
    <row r="56" spans="2:24">
      <c r="B56" s="641" t="s">
        <v>137</v>
      </c>
      <c r="C56" s="111">
        <f>IFERROR(AVERAGE(N47:N54),"")</f>
        <v>2.7599557934534752E-2</v>
      </c>
      <c r="D56" s="111">
        <f>IFERROR(AVERAGE(O47:O54),"")</f>
        <v>2.4777346843305209E-2</v>
      </c>
      <c r="E56" s="129"/>
      <c r="F56" s="111">
        <f>IFERROR(AVERAGE(Q47:Q54),"")</f>
        <v>3.9503215092814115</v>
      </c>
      <c r="G56" s="129"/>
      <c r="H56" s="111">
        <f>IFERROR(AVERAGE(S47:S54),"")</f>
        <v>26.427879452281697</v>
      </c>
      <c r="I56" s="129"/>
      <c r="J56" s="1021" t="s">
        <v>138</v>
      </c>
      <c r="K56" s="1022"/>
      <c r="L56" s="138">
        <f>L48-L49+L52-L53-L54</f>
        <v>-1949</v>
      </c>
      <c r="M56" s="395">
        <f>M48-M49+M52-M53-M54</f>
        <v>12342</v>
      </c>
    </row>
    <row r="57" spans="2:24">
      <c r="B57" s="641" t="s">
        <v>139</v>
      </c>
      <c r="C57" s="111">
        <f>IFERROR(STDEV(C47:C54)/AVERAGE(C47:C54),"")</f>
        <v>0.13070323776696025</v>
      </c>
      <c r="D57" s="111">
        <f>IFERROR(STDEV(D46:D54)/AVERAGE(D46:D54),"")</f>
        <v>0.41021085169845056</v>
      </c>
      <c r="E57" s="129"/>
      <c r="F57" s="111">
        <f>IFERROR(STDEV(F46:F54)/AVERAGE(F46:F54),"")</f>
        <v>38.096407920672917</v>
      </c>
      <c r="G57" s="129"/>
      <c r="H57" s="111">
        <f>IFERROR(STDEV(H46:H54)/AVERAGE(H46:H54),"")</f>
        <v>0.15829225120664783</v>
      </c>
      <c r="I57" s="129"/>
      <c r="J57" s="1023" t="s">
        <v>140</v>
      </c>
      <c r="K57" s="1024"/>
      <c r="L57" s="390">
        <f>IFERROR(SUM(I51:I54)/(C54-C50),"")</f>
        <v>-0.15786361844698463</v>
      </c>
      <c r="M57" s="451">
        <f>IFERROR((SUM(I51:I54)-SUM(H51:H54))/(C54-C50),"")</f>
        <v>-0.60632636972802523</v>
      </c>
    </row>
    <row r="58" spans="2:24">
      <c r="B58" s="641" t="s">
        <v>141</v>
      </c>
      <c r="C58" s="111">
        <f>IFERROR(C54/C53-1,"")</f>
        <v>0.143510287020574</v>
      </c>
      <c r="D58" s="111">
        <f>IFERROR(D54/D53-1,"")</f>
        <v>0.41281225312815772</v>
      </c>
      <c r="E58" s="129"/>
      <c r="F58" s="111">
        <f>IFERROR(1-(F54/F53),"")</f>
        <v>0.96012461059190035</v>
      </c>
      <c r="G58" s="129"/>
      <c r="H58" s="111">
        <f>IFERROR(1-(H54/H53),"")</f>
        <v>-9.7560975609756184E-2</v>
      </c>
      <c r="I58" s="129"/>
      <c r="J58" s="1025" t="s">
        <v>142</v>
      </c>
      <c r="K58" s="1026"/>
      <c r="L58" s="391">
        <f>IFERROR(L57/E27,"")</f>
        <v>-1.0916716848994403</v>
      </c>
      <c r="M58" s="396">
        <f>IFERROR(M57/E27,"")</f>
        <v>-4.1929187747729442</v>
      </c>
    </row>
    <row r="59" spans="2:24" ht="17.45">
      <c r="B59" s="1065" t="s">
        <v>143</v>
      </c>
      <c r="C59" s="1066"/>
      <c r="D59" s="1066"/>
      <c r="E59" s="1066"/>
      <c r="F59" s="1066"/>
      <c r="G59" s="1066"/>
      <c r="H59" s="1066"/>
      <c r="I59" s="1066"/>
      <c r="J59" s="1066"/>
      <c r="K59" s="1066"/>
      <c r="L59" s="1066"/>
      <c r="M59" s="1067"/>
    </row>
    <row r="60" spans="2:24" ht="15.6">
      <c r="B60" s="1093" t="s">
        <v>144</v>
      </c>
      <c r="C60" s="1041"/>
      <c r="D60" s="1041"/>
      <c r="E60" s="1041"/>
      <c r="F60" s="1041"/>
      <c r="G60" s="1041"/>
      <c r="H60" s="1041"/>
      <c r="I60" s="1041"/>
      <c r="J60" s="1041" t="s">
        <v>145</v>
      </c>
      <c r="K60" s="1041"/>
      <c r="L60" s="1041"/>
      <c r="M60" s="1042"/>
    </row>
    <row r="61" spans="2:24">
      <c r="B61" s="1030" t="s">
        <v>146</v>
      </c>
      <c r="C61" s="1031"/>
      <c r="D61" s="1031"/>
      <c r="E61" s="1031" t="s">
        <v>147</v>
      </c>
      <c r="F61" s="1031"/>
      <c r="G61" s="1031"/>
      <c r="H61" s="1031"/>
      <c r="I61" s="1031"/>
      <c r="J61" s="1031" t="s">
        <v>148</v>
      </c>
      <c r="K61" s="1031"/>
      <c r="L61" s="1031"/>
      <c r="M61" s="393" t="s">
        <v>149</v>
      </c>
    </row>
    <row r="62" spans="2:24" ht="15" customHeight="1">
      <c r="B62" s="1032" t="s">
        <v>150</v>
      </c>
      <c r="C62" s="1033"/>
      <c r="D62" s="1034"/>
      <c r="E62" s="1132" t="s">
        <v>151</v>
      </c>
      <c r="F62" s="1033"/>
      <c r="G62" s="1033"/>
      <c r="H62" s="1033"/>
      <c r="I62" s="1034"/>
      <c r="J62" s="1027" t="s">
        <v>152</v>
      </c>
      <c r="K62" s="1028"/>
      <c r="L62" s="1029"/>
      <c r="M62" s="397">
        <v>9.1708999999999999E-2</v>
      </c>
    </row>
    <row r="63" spans="2:24" ht="15" customHeight="1">
      <c r="B63" s="1035"/>
      <c r="C63" s="1036"/>
      <c r="D63" s="1037"/>
      <c r="E63" s="1141"/>
      <c r="F63" s="1036"/>
      <c r="G63" s="1036"/>
      <c r="H63" s="1036"/>
      <c r="I63" s="1037"/>
      <c r="J63" s="1027" t="s">
        <v>153</v>
      </c>
      <c r="K63" s="1028"/>
      <c r="L63" s="1029"/>
      <c r="M63" s="397">
        <v>4.6713999999999999E-2</v>
      </c>
    </row>
    <row r="64" spans="2:24" ht="15" customHeight="1">
      <c r="B64" s="1035"/>
      <c r="C64" s="1036"/>
      <c r="D64" s="1037"/>
      <c r="E64" s="1141"/>
      <c r="F64" s="1036"/>
      <c r="G64" s="1036"/>
      <c r="H64" s="1036"/>
      <c r="I64" s="1037"/>
      <c r="J64" s="1027" t="s">
        <v>154</v>
      </c>
      <c r="K64" s="1028"/>
      <c r="L64" s="1029"/>
      <c r="M64" s="397">
        <v>4.3520000000000003E-2</v>
      </c>
    </row>
    <row r="65" spans="2:13" ht="15" customHeight="1">
      <c r="B65" s="1035"/>
      <c r="C65" s="1036"/>
      <c r="D65" s="1037"/>
      <c r="E65" s="1141"/>
      <c r="F65" s="1036"/>
      <c r="G65" s="1036"/>
      <c r="H65" s="1036"/>
      <c r="I65" s="1037"/>
      <c r="J65" s="1027" t="s">
        <v>155</v>
      </c>
      <c r="K65" s="1028"/>
      <c r="L65" s="1029"/>
      <c r="M65" s="397">
        <v>2.5663999999999999E-2</v>
      </c>
    </row>
    <row r="66" spans="2:13" ht="13.15" customHeight="1">
      <c r="B66" s="1035"/>
      <c r="C66" s="1036"/>
      <c r="D66" s="1037"/>
      <c r="E66" s="1141"/>
      <c r="F66" s="1036"/>
      <c r="G66" s="1036"/>
      <c r="H66" s="1036"/>
      <c r="I66" s="1037"/>
      <c r="J66" s="1027" t="s">
        <v>156</v>
      </c>
      <c r="K66" s="1028"/>
      <c r="L66" s="1029"/>
      <c r="M66" s="397">
        <v>2.2495999999999999E-2</v>
      </c>
    </row>
    <row r="67" spans="2:13" ht="13.15" customHeight="1">
      <c r="B67" s="1035"/>
      <c r="C67" s="1036"/>
      <c r="D67" s="1037"/>
      <c r="E67" s="1141"/>
      <c r="F67" s="1036"/>
      <c r="G67" s="1036"/>
      <c r="H67" s="1036"/>
      <c r="I67" s="1037"/>
      <c r="J67" s="1027" t="s">
        <v>157</v>
      </c>
      <c r="K67" s="1028"/>
      <c r="L67" s="1029"/>
      <c r="M67" s="397">
        <v>1.9855000000000001E-2</v>
      </c>
    </row>
    <row r="68" spans="2:13" ht="13.15" customHeight="1">
      <c r="B68" s="1035"/>
      <c r="C68" s="1036"/>
      <c r="D68" s="1037"/>
      <c r="E68" s="1141"/>
      <c r="F68" s="1036"/>
      <c r="G68" s="1036"/>
      <c r="H68" s="1036"/>
      <c r="I68" s="1037"/>
      <c r="J68" s="1027" t="s">
        <v>158</v>
      </c>
      <c r="K68" s="1028"/>
      <c r="L68" s="1029"/>
      <c r="M68" s="397">
        <v>1.9068999999999999E-2</v>
      </c>
    </row>
    <row r="69" spans="2:13" ht="13.15" customHeight="1">
      <c r="B69" s="1035"/>
      <c r="C69" s="1036"/>
      <c r="D69" s="1037"/>
      <c r="E69" s="1141"/>
      <c r="F69" s="1036"/>
      <c r="G69" s="1036"/>
      <c r="H69" s="1036"/>
      <c r="I69" s="1037"/>
      <c r="J69" s="1027" t="s">
        <v>159</v>
      </c>
      <c r="K69" s="1028"/>
      <c r="L69" s="1029"/>
      <c r="M69" s="397">
        <v>1.8641999999999999E-2</v>
      </c>
    </row>
    <row r="70" spans="2:13" ht="13.15" customHeight="1">
      <c r="B70" s="1035"/>
      <c r="C70" s="1036"/>
      <c r="D70" s="1037"/>
      <c r="E70" s="1141"/>
      <c r="F70" s="1036"/>
      <c r="G70" s="1036"/>
      <c r="H70" s="1036"/>
      <c r="I70" s="1037"/>
      <c r="J70" s="1027" t="s">
        <v>160</v>
      </c>
      <c r="K70" s="1028"/>
      <c r="L70" s="1029"/>
      <c r="M70" s="397">
        <v>1.8526000000000001E-2</v>
      </c>
    </row>
    <row r="71" spans="2:13" ht="13.15" customHeight="1">
      <c r="B71" s="1038"/>
      <c r="C71" s="1039"/>
      <c r="D71" s="1040"/>
      <c r="E71" s="1142"/>
      <c r="F71" s="1039"/>
      <c r="G71" s="1039"/>
      <c r="H71" s="1039"/>
      <c r="I71" s="1040"/>
      <c r="J71" s="1027" t="s">
        <v>161</v>
      </c>
      <c r="K71" s="1028"/>
      <c r="L71" s="1029"/>
      <c r="M71" s="397">
        <v>1.6014E-2</v>
      </c>
    </row>
    <row r="72" spans="2:13" ht="13.15" customHeight="1">
      <c r="B72" s="1030" t="s">
        <v>162</v>
      </c>
      <c r="C72" s="1031"/>
      <c r="D72" s="1031"/>
      <c r="E72" s="1031" t="s">
        <v>163</v>
      </c>
      <c r="F72" s="1031"/>
      <c r="G72" s="1031"/>
      <c r="H72" s="1031"/>
      <c r="I72" s="1031"/>
      <c r="J72" s="1027" t="s">
        <v>164</v>
      </c>
      <c r="K72" s="1028"/>
      <c r="L72" s="1029"/>
      <c r="M72" s="397">
        <v>1.2628E-2</v>
      </c>
    </row>
    <row r="73" spans="2:13" ht="15" customHeight="1">
      <c r="B73" s="1032" t="s">
        <v>165</v>
      </c>
      <c r="C73" s="1133"/>
      <c r="D73" s="1134"/>
      <c r="E73" s="1132" t="s">
        <v>166</v>
      </c>
      <c r="F73" s="1133"/>
      <c r="G73" s="1133"/>
      <c r="H73" s="1133"/>
      <c r="I73" s="1134"/>
      <c r="J73" s="1027" t="s">
        <v>167</v>
      </c>
      <c r="K73" s="1028"/>
      <c r="L73" s="1029"/>
      <c r="M73" s="397">
        <v>1.2626999999999999E-2</v>
      </c>
    </row>
    <row r="74" spans="2:13" ht="15" customHeight="1">
      <c r="B74" s="1143"/>
      <c r="C74" s="1136"/>
      <c r="D74" s="1137"/>
      <c r="E74" s="1135"/>
      <c r="F74" s="1136"/>
      <c r="G74" s="1136"/>
      <c r="H74" s="1136"/>
      <c r="I74" s="1137"/>
      <c r="J74" s="1027" t="s">
        <v>168</v>
      </c>
      <c r="K74" s="1028"/>
      <c r="L74" s="1029"/>
      <c r="M74" s="397">
        <v>1.2514000000000001E-2</v>
      </c>
    </row>
    <row r="75" spans="2:13" ht="15" customHeight="1">
      <c r="B75" s="1143"/>
      <c r="C75" s="1136"/>
      <c r="D75" s="1137"/>
      <c r="E75" s="1135"/>
      <c r="F75" s="1136"/>
      <c r="G75" s="1136"/>
      <c r="H75" s="1136"/>
      <c r="I75" s="1137"/>
      <c r="J75" s="1027" t="s">
        <v>169</v>
      </c>
      <c r="K75" s="1028"/>
      <c r="L75" s="1029"/>
      <c r="M75" s="397">
        <v>1.0969E-2</v>
      </c>
    </row>
    <row r="76" spans="2:13" ht="15" customHeight="1">
      <c r="B76" s="1143"/>
      <c r="C76" s="1136"/>
      <c r="D76" s="1137"/>
      <c r="E76" s="1135"/>
      <c r="F76" s="1136"/>
      <c r="G76" s="1136"/>
      <c r="H76" s="1136"/>
      <c r="I76" s="1137"/>
      <c r="J76" s="1027" t="s">
        <v>170</v>
      </c>
      <c r="K76" s="1028"/>
      <c r="L76" s="1029"/>
      <c r="M76" s="397">
        <v>1.0061E-2</v>
      </c>
    </row>
    <row r="77" spans="2:13" ht="13.15" customHeight="1">
      <c r="B77" s="1143"/>
      <c r="C77" s="1136"/>
      <c r="D77" s="1137"/>
      <c r="E77" s="1135"/>
      <c r="F77" s="1136"/>
      <c r="G77" s="1136"/>
      <c r="H77" s="1136"/>
      <c r="I77" s="1137"/>
      <c r="J77" s="1027" t="s">
        <v>171</v>
      </c>
      <c r="K77" s="1028"/>
      <c r="L77" s="1029"/>
      <c r="M77" s="397">
        <v>8.4169999999999991E-3</v>
      </c>
    </row>
    <row r="78" spans="2:13" ht="13.15" customHeight="1">
      <c r="B78" s="1143"/>
      <c r="C78" s="1136"/>
      <c r="D78" s="1137"/>
      <c r="E78" s="1135"/>
      <c r="F78" s="1136"/>
      <c r="G78" s="1136"/>
      <c r="H78" s="1136"/>
      <c r="I78" s="1137"/>
      <c r="J78" s="1027" t="s">
        <v>172</v>
      </c>
      <c r="K78" s="1028"/>
      <c r="L78" s="1029"/>
      <c r="M78" s="397">
        <v>7.8069999999999997E-3</v>
      </c>
    </row>
    <row r="79" spans="2:13" ht="13.15" customHeight="1">
      <c r="B79" s="1143"/>
      <c r="C79" s="1136"/>
      <c r="D79" s="1137"/>
      <c r="E79" s="1135"/>
      <c r="F79" s="1136"/>
      <c r="G79" s="1136"/>
      <c r="H79" s="1136"/>
      <c r="I79" s="1137"/>
      <c r="J79" s="1027" t="s">
        <v>173</v>
      </c>
      <c r="K79" s="1028"/>
      <c r="L79" s="1029"/>
      <c r="M79" s="397">
        <v>7.3410000000000003E-3</v>
      </c>
    </row>
    <row r="80" spans="2:13" ht="13.15" customHeight="1">
      <c r="B80" s="1143"/>
      <c r="C80" s="1136"/>
      <c r="D80" s="1137"/>
      <c r="E80" s="1135"/>
      <c r="F80" s="1136"/>
      <c r="G80" s="1136"/>
      <c r="H80" s="1136"/>
      <c r="I80" s="1137"/>
      <c r="J80" s="1027" t="s">
        <v>174</v>
      </c>
      <c r="K80" s="1028"/>
      <c r="L80" s="1029"/>
      <c r="M80" s="397">
        <v>6.8690000000000001E-3</v>
      </c>
    </row>
    <row r="81" spans="2:13">
      <c r="B81" s="1144"/>
      <c r="C81" s="1139"/>
      <c r="D81" s="1140"/>
      <c r="E81" s="1138"/>
      <c r="F81" s="1139"/>
      <c r="G81" s="1139"/>
      <c r="H81" s="1139"/>
      <c r="I81" s="1140"/>
      <c r="J81" s="1145" t="s">
        <v>175</v>
      </c>
      <c r="K81" s="1146"/>
      <c r="L81" s="1146"/>
      <c r="M81" s="397">
        <v>6.6639999999999998E-3</v>
      </c>
    </row>
    <row r="82" spans="2:13" ht="15.6">
      <c r="B82" s="1004" t="s">
        <v>176</v>
      </c>
      <c r="C82" s="1005"/>
      <c r="D82" s="1005"/>
      <c r="E82" s="1005"/>
      <c r="F82" s="1005"/>
      <c r="G82" s="1041" t="s">
        <v>177</v>
      </c>
      <c r="H82" s="1041"/>
      <c r="I82" s="1041"/>
      <c r="J82" s="1041"/>
      <c r="K82" s="1041"/>
      <c r="L82" s="1041"/>
      <c r="M82" s="1042"/>
    </row>
    <row r="83" spans="2:13" s="11" customFormat="1">
      <c r="B83" s="1306"/>
      <c r="C83" s="1147"/>
      <c r="D83" s="1147"/>
      <c r="E83" s="1147"/>
      <c r="F83" s="1148"/>
      <c r="G83"/>
      <c r="H83"/>
      <c r="I83"/>
      <c r="J83"/>
      <c r="K83"/>
      <c r="L83"/>
      <c r="M83" s="50"/>
    </row>
    <row r="84" spans="2:13">
      <c r="B84" s="1149"/>
      <c r="C84" s="1150"/>
      <c r="D84" s="1150"/>
      <c r="E84" s="1150"/>
      <c r="F84" s="1151"/>
      <c r="M84" s="50"/>
    </row>
    <row r="85" spans="2:13">
      <c r="B85" s="1149"/>
      <c r="C85" s="1150"/>
      <c r="D85" s="1150"/>
      <c r="E85" s="1150"/>
      <c r="F85" s="1151"/>
      <c r="M85" s="50"/>
    </row>
    <row r="86" spans="2:13">
      <c r="B86" s="1149"/>
      <c r="C86" s="1150"/>
      <c r="D86" s="1150"/>
      <c r="E86" s="1150"/>
      <c r="F86" s="1151"/>
      <c r="M86" s="50"/>
    </row>
    <row r="87" spans="2:13">
      <c r="B87" s="1149"/>
      <c r="C87" s="1150"/>
      <c r="D87" s="1150"/>
      <c r="E87" s="1150"/>
      <c r="F87" s="1151"/>
      <c r="M87" s="50"/>
    </row>
    <row r="88" spans="2:13">
      <c r="B88" s="1149"/>
      <c r="C88" s="1150"/>
      <c r="D88" s="1150"/>
      <c r="E88" s="1150"/>
      <c r="F88" s="1151"/>
      <c r="M88" s="50"/>
    </row>
    <row r="89" spans="2:13">
      <c r="B89" s="1149"/>
      <c r="C89" s="1150"/>
      <c r="D89" s="1150"/>
      <c r="E89" s="1150"/>
      <c r="F89" s="1151"/>
      <c r="M89" s="50"/>
    </row>
    <row r="90" spans="2:13">
      <c r="B90" s="1149"/>
      <c r="C90" s="1150"/>
      <c r="D90" s="1150"/>
      <c r="E90" s="1150"/>
      <c r="F90" s="1151"/>
      <c r="M90" s="50"/>
    </row>
    <row r="91" spans="2:13">
      <c r="B91" s="1149"/>
      <c r="C91" s="1150"/>
      <c r="D91" s="1150"/>
      <c r="E91" s="1150"/>
      <c r="F91" s="1151"/>
      <c r="M91" s="50"/>
    </row>
    <row r="92" spans="2:13">
      <c r="B92" s="1149"/>
      <c r="C92" s="1150"/>
      <c r="D92" s="1150"/>
      <c r="E92" s="1150"/>
      <c r="F92" s="1151"/>
      <c r="M92" s="50"/>
    </row>
    <row r="93" spans="2:13">
      <c r="B93" s="1149"/>
      <c r="C93" s="1150"/>
      <c r="D93" s="1150"/>
      <c r="E93" s="1150"/>
      <c r="F93" s="1151"/>
      <c r="M93" s="50"/>
    </row>
    <row r="94" spans="2:13">
      <c r="B94" s="1149"/>
      <c r="C94" s="1150"/>
      <c r="D94" s="1150"/>
      <c r="E94" s="1150"/>
      <c r="F94" s="1151"/>
      <c r="M94" s="50"/>
    </row>
    <row r="95" spans="2:13">
      <c r="B95" s="1149"/>
      <c r="C95" s="1150"/>
      <c r="D95" s="1150"/>
      <c r="E95" s="1150"/>
      <c r="F95" s="1151"/>
      <c r="M95" s="50"/>
    </row>
    <row r="96" spans="2:13">
      <c r="B96" s="1149"/>
      <c r="C96" s="1150"/>
      <c r="D96" s="1150"/>
      <c r="E96" s="1150"/>
      <c r="F96" s="1151"/>
      <c r="M96" s="50"/>
    </row>
    <row r="97" spans="2:13">
      <c r="B97" s="1149"/>
      <c r="C97" s="1150"/>
      <c r="D97" s="1150"/>
      <c r="E97" s="1150"/>
      <c r="F97" s="1151"/>
      <c r="M97" s="50"/>
    </row>
    <row r="98" spans="2:13">
      <c r="B98" s="1149"/>
      <c r="C98" s="1150"/>
      <c r="D98" s="1150"/>
      <c r="E98" s="1150"/>
      <c r="F98" s="1151"/>
      <c r="M98" s="50"/>
    </row>
    <row r="99" spans="2:13">
      <c r="B99" s="1149"/>
      <c r="C99" s="1150"/>
      <c r="D99" s="1150"/>
      <c r="E99" s="1150"/>
      <c r="F99" s="1151"/>
      <c r="M99" s="50"/>
    </row>
    <row r="100" spans="2:13">
      <c r="B100" s="1149"/>
      <c r="C100" s="1150"/>
      <c r="D100" s="1150"/>
      <c r="E100" s="1150"/>
      <c r="F100" s="1151"/>
      <c r="L100" s="50"/>
      <c r="M100" s="50"/>
    </row>
    <row r="101" spans="2:13">
      <c r="B101" s="1149"/>
      <c r="C101" s="1150"/>
      <c r="D101" s="1150"/>
      <c r="E101" s="1150"/>
      <c r="F101" s="1151"/>
      <c r="M101" s="50"/>
    </row>
    <row r="102" spans="2:13">
      <c r="B102" s="1149"/>
      <c r="C102" s="1150"/>
      <c r="D102" s="1150"/>
      <c r="E102" s="1150"/>
      <c r="F102" s="1151"/>
      <c r="M102" s="50"/>
    </row>
    <row r="103" spans="2:13">
      <c r="B103" s="1149"/>
      <c r="C103" s="1150"/>
      <c r="D103" s="1150"/>
      <c r="E103" s="1150"/>
      <c r="F103" s="1151"/>
      <c r="M103" s="50"/>
    </row>
    <row r="104" spans="2:13">
      <c r="B104" s="1149"/>
      <c r="C104" s="1150"/>
      <c r="D104" s="1150"/>
      <c r="E104" s="1150"/>
      <c r="F104" s="1151"/>
      <c r="M104" s="50"/>
    </row>
    <row r="105" spans="2:13">
      <c r="B105" s="1149"/>
      <c r="C105" s="1150"/>
      <c r="D105" s="1150"/>
      <c r="E105" s="1150"/>
      <c r="F105" s="1151"/>
      <c r="M105" s="50"/>
    </row>
    <row r="106" spans="2:13" ht="13.9" thickBot="1">
      <c r="B106" s="1149"/>
      <c r="C106" s="1150"/>
      <c r="D106" s="1150"/>
      <c r="E106" s="1150"/>
      <c r="F106" s="1151"/>
      <c r="M106" s="50"/>
    </row>
    <row r="107" spans="2:13">
      <c r="B107" s="1152"/>
      <c r="C107" s="1153"/>
      <c r="D107" s="1153"/>
      <c r="E107" s="1153"/>
      <c r="F107" s="1154"/>
      <c r="G107" s="1131" t="e" vm="1">
        <f>Peers!C7</f>
        <v>#VALUE!</v>
      </c>
      <c r="H107" s="1131"/>
      <c r="I107" s="642" t="e" vm="2">
        <f>Peers!D7</f>
        <v>#VALUE!</v>
      </c>
      <c r="J107" s="643" t="e" vm="3">
        <f>Peers!E7</f>
        <v>#VALUE!</v>
      </c>
      <c r="K107" s="644" t="e" vm="4">
        <f>Peers!F7</f>
        <v>#VALUE!</v>
      </c>
      <c r="L107" s="645" t="e" vm="5">
        <f>Peers!G7</f>
        <v>#VALUE!</v>
      </c>
      <c r="M107" s="646"/>
    </row>
  </sheetData>
  <mergeCells count="120">
    <mergeCell ref="G107:H107"/>
    <mergeCell ref="G82:M82"/>
    <mergeCell ref="E73:I81"/>
    <mergeCell ref="E62:I71"/>
    <mergeCell ref="J61:L61"/>
    <mergeCell ref="E72:I72"/>
    <mergeCell ref="B73:D81"/>
    <mergeCell ref="J64:L64"/>
    <mergeCell ref="J65:L65"/>
    <mergeCell ref="J66:L66"/>
    <mergeCell ref="J67:L67"/>
    <mergeCell ref="J68:L68"/>
    <mergeCell ref="J69:L69"/>
    <mergeCell ref="J70:L70"/>
    <mergeCell ref="J62:L62"/>
    <mergeCell ref="J63:L63"/>
    <mergeCell ref="E61:I61"/>
    <mergeCell ref="J75:L75"/>
    <mergeCell ref="J77:L77"/>
    <mergeCell ref="J78:L78"/>
    <mergeCell ref="J79:L79"/>
    <mergeCell ref="J81:L81"/>
    <mergeCell ref="J80:L80"/>
    <mergeCell ref="B83:F107"/>
    <mergeCell ref="B60:I60"/>
    <mergeCell ref="B34:G34"/>
    <mergeCell ref="I19:K19"/>
    <mergeCell ref="I29:J29"/>
    <mergeCell ref="I30:J30"/>
    <mergeCell ref="I31:J31"/>
    <mergeCell ref="I34:M34"/>
    <mergeCell ref="B39:G39"/>
    <mergeCell ref="C40:G40"/>
    <mergeCell ref="C35:G35"/>
    <mergeCell ref="B59:M59"/>
    <mergeCell ref="C36:G36"/>
    <mergeCell ref="J45:M45"/>
    <mergeCell ref="B44:M44"/>
    <mergeCell ref="I40:I41"/>
    <mergeCell ref="I42:I43"/>
    <mergeCell ref="J40:K41"/>
    <mergeCell ref="J42:K43"/>
    <mergeCell ref="L40:L41"/>
    <mergeCell ref="L42:L43"/>
    <mergeCell ref="M40:M41"/>
    <mergeCell ref="M42:M43"/>
    <mergeCell ref="H35:H38"/>
    <mergeCell ref="C37:G37"/>
    <mergeCell ref="F32:G32"/>
    <mergeCell ref="C38:G38"/>
    <mergeCell ref="C41:G41"/>
    <mergeCell ref="I27:J27"/>
    <mergeCell ref="I28:J28"/>
    <mergeCell ref="D4:G17"/>
    <mergeCell ref="D3:G3"/>
    <mergeCell ref="H3:M3"/>
    <mergeCell ref="F19:H19"/>
    <mergeCell ref="F22:G22"/>
    <mergeCell ref="F23:G23"/>
    <mergeCell ref="F24:G24"/>
    <mergeCell ref="H4:J4"/>
    <mergeCell ref="H5:J5"/>
    <mergeCell ref="H6:J6"/>
    <mergeCell ref="H7:J7"/>
    <mergeCell ref="H8:J8"/>
    <mergeCell ref="H9:J9"/>
    <mergeCell ref="H10:J10"/>
    <mergeCell ref="H11:J11"/>
    <mergeCell ref="H12:J12"/>
    <mergeCell ref="H13:J13"/>
    <mergeCell ref="H14:J14"/>
    <mergeCell ref="H15:J15"/>
    <mergeCell ref="B72:D72"/>
    <mergeCell ref="B62:D71"/>
    <mergeCell ref="J60:M60"/>
    <mergeCell ref="F25:G25"/>
    <mergeCell ref="F21:G21"/>
    <mergeCell ref="E2:K2"/>
    <mergeCell ref="F20:G20"/>
    <mergeCell ref="F26:G26"/>
    <mergeCell ref="J21:K21"/>
    <mergeCell ref="I22:J22"/>
    <mergeCell ref="I23:J23"/>
    <mergeCell ref="I24:J24"/>
    <mergeCell ref="I25:J25"/>
    <mergeCell ref="I26:J26"/>
    <mergeCell ref="B17:C17"/>
    <mergeCell ref="B3:C16"/>
    <mergeCell ref="L19:M19"/>
    <mergeCell ref="B19:C19"/>
    <mergeCell ref="B29:C29"/>
    <mergeCell ref="D19:E19"/>
    <mergeCell ref="B18:M18"/>
    <mergeCell ref="B33:M33"/>
    <mergeCell ref="H40:H43"/>
    <mergeCell ref="J20:K20"/>
    <mergeCell ref="H16:J16"/>
    <mergeCell ref="C42:G43"/>
    <mergeCell ref="B42:B43"/>
    <mergeCell ref="B82:F82"/>
    <mergeCell ref="I35:M38"/>
    <mergeCell ref="I39:M39"/>
    <mergeCell ref="J47:K47"/>
    <mergeCell ref="J48:K48"/>
    <mergeCell ref="J49:K49"/>
    <mergeCell ref="J50:K50"/>
    <mergeCell ref="J51:K51"/>
    <mergeCell ref="J52:K52"/>
    <mergeCell ref="J53:K53"/>
    <mergeCell ref="J54:K54"/>
    <mergeCell ref="J55:K55"/>
    <mergeCell ref="J56:K56"/>
    <mergeCell ref="J57:K57"/>
    <mergeCell ref="J58:K58"/>
    <mergeCell ref="J76:L76"/>
    <mergeCell ref="J71:L71"/>
    <mergeCell ref="J72:L72"/>
    <mergeCell ref="J73:L73"/>
    <mergeCell ref="J74:L74"/>
    <mergeCell ref="B61:D61"/>
  </mergeCells>
  <phoneticPr fontId="0" type="noConversion"/>
  <conditionalFormatting sqref="C46:C54 D46:E46">
    <cfRule type="dataBar" priority="11">
      <dataBar>
        <cfvo type="min"/>
        <cfvo type="max"/>
        <color rgb="FF63C384"/>
      </dataBar>
      <extLst>
        <ext xmlns:x14="http://schemas.microsoft.com/office/spreadsheetml/2009/9/main" uri="{B025F937-C7B1-47D3-B67F-A62EFF666E3E}">
          <x14:id>{F4773E1D-8C81-41A2-B9F2-E9E8E2054B23}</x14:id>
        </ext>
      </extLst>
    </cfRule>
  </conditionalFormatting>
  <conditionalFormatting sqref="D46:D54">
    <cfRule type="dataBar" priority="10">
      <dataBar>
        <cfvo type="min"/>
        <cfvo type="max"/>
        <color rgb="FF638EC6"/>
      </dataBar>
      <extLst>
        <ext xmlns:x14="http://schemas.microsoft.com/office/spreadsheetml/2009/9/main" uri="{B025F937-C7B1-47D3-B67F-A62EFF666E3E}">
          <x14:id>{AB45923C-EAD5-474F-8382-F5BEE7164463}</x14:id>
        </ext>
      </extLst>
    </cfRule>
  </conditionalFormatting>
  <conditionalFormatting sqref="D47:D54">
    <cfRule type="dataBar" priority="17">
      <dataBar>
        <cfvo type="min"/>
        <cfvo type="max"/>
        <color rgb="FF638EC6"/>
      </dataBar>
      <extLst>
        <ext xmlns:x14="http://schemas.microsoft.com/office/spreadsheetml/2009/9/main" uri="{B025F937-C7B1-47D3-B67F-A62EFF666E3E}">
          <x14:id>{8F05AC94-FB75-41DC-A030-BD50695363B2}</x14:id>
        </ext>
      </extLst>
    </cfRule>
    <cfRule type="dataBar" priority="19">
      <dataBar>
        <cfvo type="min"/>
        <cfvo type="max"/>
        <color rgb="FF63C384"/>
      </dataBar>
      <extLst>
        <ext xmlns:x14="http://schemas.microsoft.com/office/spreadsheetml/2009/9/main" uri="{B025F937-C7B1-47D3-B67F-A62EFF666E3E}">
          <x14:id>{16E131EF-4CFA-4C45-B407-C7FA5F1CCD58}</x14:id>
        </ext>
      </extLst>
    </cfRule>
  </conditionalFormatting>
  <conditionalFormatting sqref="E46:E54">
    <cfRule type="dataBar" priority="9">
      <dataBar>
        <cfvo type="min"/>
        <cfvo type="max"/>
        <color rgb="FFFF555A"/>
      </dataBar>
      <extLst>
        <ext xmlns:x14="http://schemas.microsoft.com/office/spreadsheetml/2009/9/main" uri="{B025F937-C7B1-47D3-B67F-A62EFF666E3E}">
          <x14:id>{4C108334-4BC4-4B0F-A919-0620BA53FECB}</x14:id>
        </ext>
      </extLst>
    </cfRule>
  </conditionalFormatting>
  <conditionalFormatting sqref="E47:E54">
    <cfRule type="dataBar" priority="12">
      <dataBar>
        <cfvo type="min"/>
        <cfvo type="max"/>
        <color rgb="FF63C384"/>
      </dataBar>
      <extLst>
        <ext xmlns:x14="http://schemas.microsoft.com/office/spreadsheetml/2009/9/main" uri="{B025F937-C7B1-47D3-B67F-A62EFF666E3E}">
          <x14:id>{3D2B4733-6086-41B3-B3A7-1CB39146AAEB}</x14:id>
        </ext>
      </extLst>
    </cfRule>
  </conditionalFormatting>
  <conditionalFormatting sqref="E55:E58 G55:G58 I55:I58">
    <cfRule type="dataBar" priority="14">
      <dataBar>
        <cfvo type="min"/>
        <cfvo type="max"/>
        <color rgb="FF638EC6"/>
      </dataBar>
      <extLst>
        <ext xmlns:x14="http://schemas.microsoft.com/office/spreadsheetml/2009/9/main" uri="{B025F937-C7B1-47D3-B67F-A62EFF666E3E}">
          <x14:id>{4382A5A4-8938-4754-913D-04C8EB3E9944}</x14:id>
        </ext>
      </extLst>
    </cfRule>
    <cfRule type="dataBar" priority="15">
      <dataBar>
        <cfvo type="min"/>
        <cfvo type="max"/>
        <color rgb="FF63C384"/>
      </dataBar>
      <extLst>
        <ext xmlns:x14="http://schemas.microsoft.com/office/spreadsheetml/2009/9/main" uri="{B025F937-C7B1-47D3-B67F-A62EFF666E3E}">
          <x14:id>{CA48BEF9-536B-483E-93D1-1D70FAC05115}</x14:id>
        </ext>
      </extLst>
    </cfRule>
  </conditionalFormatting>
  <conditionalFormatting sqref="F46:F54">
    <cfRule type="dataBar" priority="16">
      <dataBar>
        <cfvo type="min"/>
        <cfvo type="max"/>
        <color rgb="FF63C384"/>
      </dataBar>
      <extLst>
        <ext xmlns:x14="http://schemas.microsoft.com/office/spreadsheetml/2009/9/main" uri="{B025F937-C7B1-47D3-B67F-A62EFF666E3E}">
          <x14:id>{FD1FEF9A-F365-4DFE-A927-1852D99D71EB}</x14:id>
        </ext>
      </extLst>
    </cfRule>
  </conditionalFormatting>
  <conditionalFormatting sqref="G46:G54">
    <cfRule type="dataBar" priority="18">
      <dataBar>
        <cfvo type="min"/>
        <cfvo type="max"/>
        <color rgb="FF63C384"/>
      </dataBar>
      <extLst>
        <ext xmlns:x14="http://schemas.microsoft.com/office/spreadsheetml/2009/9/main" uri="{B025F937-C7B1-47D3-B67F-A62EFF666E3E}">
          <x14:id>{ADD19CCF-E818-42F8-BF99-60EF2D3A801A}</x14:id>
        </ext>
      </extLst>
    </cfRule>
  </conditionalFormatting>
  <conditionalFormatting sqref="H21:H25">
    <cfRule type="dataBar" priority="8">
      <dataBar>
        <cfvo type="min"/>
        <cfvo type="max"/>
        <color rgb="FF638EC6"/>
      </dataBar>
      <extLst>
        <ext xmlns:x14="http://schemas.microsoft.com/office/spreadsheetml/2009/9/main" uri="{B025F937-C7B1-47D3-B67F-A62EFF666E3E}">
          <x14:id>{FB1A4ECC-D3E1-4C53-9ADF-103FFC3A87EE}</x14:id>
        </ext>
      </extLst>
    </cfRule>
  </conditionalFormatting>
  <conditionalFormatting sqref="H27:H31">
    <cfRule type="dataBar" priority="7">
      <dataBar>
        <cfvo type="min"/>
        <cfvo type="max"/>
        <color rgb="FF638EC6"/>
      </dataBar>
      <extLst>
        <ext xmlns:x14="http://schemas.microsoft.com/office/spreadsheetml/2009/9/main" uri="{B025F937-C7B1-47D3-B67F-A62EFF666E3E}">
          <x14:id>{6EB89896-7685-489D-A212-BEDCDA6C1614}</x14:id>
        </ext>
      </extLst>
    </cfRule>
  </conditionalFormatting>
  <conditionalFormatting sqref="H46:H54">
    <cfRule type="dataBar" priority="21">
      <dataBar>
        <cfvo type="min"/>
        <cfvo type="max"/>
        <color rgb="FF63C384"/>
      </dataBar>
      <extLst>
        <ext xmlns:x14="http://schemas.microsoft.com/office/spreadsheetml/2009/9/main" uri="{B025F937-C7B1-47D3-B67F-A62EFF666E3E}">
          <x14:id>{595E424D-F3AE-4040-A937-2E859AA15AD2}</x14:id>
        </ext>
      </extLst>
    </cfRule>
  </conditionalFormatting>
  <conditionalFormatting sqref="I46:I54">
    <cfRule type="dataBar" priority="13">
      <dataBar>
        <cfvo type="min"/>
        <cfvo type="max"/>
        <color rgb="FF63C384"/>
      </dataBar>
      <extLst>
        <ext xmlns:x14="http://schemas.microsoft.com/office/spreadsheetml/2009/9/main" uri="{B025F937-C7B1-47D3-B67F-A62EFF666E3E}">
          <x14:id>{60823727-C433-4BFE-A422-F2DB16A0B39B}</x14:id>
        </ext>
      </extLst>
    </cfRule>
  </conditionalFormatting>
  <conditionalFormatting sqref="J42:K43">
    <cfRule type="cellIs" dxfId="34" priority="1" operator="lessThan">
      <formula>0</formula>
    </cfRule>
    <cfRule type="cellIs" dxfId="33" priority="2" operator="greaterThan">
      <formula>0</formula>
    </cfRule>
  </conditionalFormatting>
  <conditionalFormatting sqref="M40:M43">
    <cfRule type="cellIs" dxfId="32" priority="3" operator="lessThan">
      <formula>0</formula>
    </cfRule>
    <cfRule type="cellIs" dxfId="31" priority="4" operator="greaterThan">
      <formula>0</formula>
    </cfRule>
  </conditionalFormatting>
  <printOptions horizontalCentered="1" verticalCentered="1"/>
  <pageMargins left="0" right="0" top="0.19685039370078741" bottom="0.19685039370078741" header="0" footer="0"/>
  <pageSetup paperSize="134" scale="64" orientation="landscape" r:id="rId1"/>
  <headerFooter alignWithMargins="0"/>
  <ignoredErrors>
    <ignoredError sqref="N47:S57" evalError="1"/>
  </ignoredErrors>
  <drawing r:id="rId2"/>
  <legacyDrawing r:id="rId3"/>
  <extLst>
    <ext xmlns:x14="http://schemas.microsoft.com/office/spreadsheetml/2009/9/main" uri="{78C0D931-6437-407d-A8EE-F0AAD7539E65}">
      <x14:conditionalFormattings>
        <x14:conditionalFormatting xmlns:xm="http://schemas.microsoft.com/office/excel/2006/main">
          <x14:cfRule type="dataBar" id="{F4773E1D-8C81-41A2-B9F2-E9E8E2054B23}">
            <x14:dataBar minLength="0" maxLength="100" border="1" negativeBarBorderColorSameAsPositive="0">
              <x14:cfvo type="autoMin"/>
              <x14:cfvo type="autoMax"/>
              <x14:borderColor rgb="FF63C384"/>
              <x14:negativeFillColor rgb="FFFF0000"/>
              <x14:negativeBorderColor rgb="FFFF0000"/>
              <x14:axisColor rgb="FF000000"/>
            </x14:dataBar>
          </x14:cfRule>
          <xm:sqref>C46:C54 D46:E46</xm:sqref>
        </x14:conditionalFormatting>
        <x14:conditionalFormatting xmlns:xm="http://schemas.microsoft.com/office/excel/2006/main">
          <x14:cfRule type="dataBar" id="{AB45923C-EAD5-474F-8382-F5BEE7164463}">
            <x14:dataBar minLength="0" maxLength="100" gradient="0">
              <x14:cfvo type="autoMin"/>
              <x14:cfvo type="autoMax"/>
              <x14:negativeFillColor rgb="FFFF0000"/>
              <x14:axisColor rgb="FF000000"/>
            </x14:dataBar>
          </x14:cfRule>
          <xm:sqref>D46:D54</xm:sqref>
        </x14:conditionalFormatting>
        <x14:conditionalFormatting xmlns:xm="http://schemas.microsoft.com/office/excel/2006/main">
          <x14:cfRule type="dataBar" id="{8F05AC94-FB75-41DC-A030-BD50695363B2}">
            <x14:dataBar minLength="0" maxLength="100" gradient="0">
              <x14:cfvo type="autoMin"/>
              <x14:cfvo type="autoMax"/>
              <x14:negativeFillColor rgb="FFFF0000"/>
              <x14:axisColor rgb="FF000000"/>
            </x14:dataBar>
          </x14:cfRule>
          <x14:cfRule type="dataBar" id="{16E131EF-4CFA-4C45-B407-C7FA5F1CCD58}">
            <x14:dataBar minLength="0" maxLength="100" gradient="0">
              <x14:cfvo type="autoMin"/>
              <x14:cfvo type="autoMax"/>
              <x14:negativeFillColor rgb="FFFF0000"/>
              <x14:axisColor rgb="FF000000"/>
            </x14:dataBar>
          </x14:cfRule>
          <xm:sqref>D47:D54</xm:sqref>
        </x14:conditionalFormatting>
        <x14:conditionalFormatting xmlns:xm="http://schemas.microsoft.com/office/excel/2006/main">
          <x14:cfRule type="dataBar" id="{4C108334-4BC4-4B0F-A919-0620BA53FECB}">
            <x14:dataBar minLength="0" maxLength="100" border="1" negativeBarBorderColorSameAsPositive="0">
              <x14:cfvo type="autoMin"/>
              <x14:cfvo type="autoMax"/>
              <x14:borderColor rgb="FFFF555A"/>
              <x14:negativeFillColor rgb="FFFF0000"/>
              <x14:negativeBorderColor rgb="FFFF0000"/>
              <x14:axisColor rgb="FF000000"/>
            </x14:dataBar>
          </x14:cfRule>
          <xm:sqref>E46:E54</xm:sqref>
        </x14:conditionalFormatting>
        <x14:conditionalFormatting xmlns:xm="http://schemas.microsoft.com/office/excel/2006/main">
          <x14:cfRule type="dataBar" id="{3D2B4733-6086-41B3-B3A7-1CB39146AAEB}">
            <x14:dataBar minLength="0" maxLength="100" border="1" negativeBarBorderColorSameAsPositive="0">
              <x14:cfvo type="autoMin"/>
              <x14:cfvo type="autoMax"/>
              <x14:borderColor rgb="FF63C384"/>
              <x14:negativeFillColor rgb="FFFF0000"/>
              <x14:negativeBorderColor rgb="FFFF0000"/>
              <x14:axisColor rgb="FF000000"/>
            </x14:dataBar>
          </x14:cfRule>
          <xm:sqref>E47:E54</xm:sqref>
        </x14:conditionalFormatting>
        <x14:conditionalFormatting xmlns:xm="http://schemas.microsoft.com/office/excel/2006/main">
          <x14:cfRule type="dataBar" id="{4382A5A4-8938-4754-913D-04C8EB3E9944}">
            <x14:dataBar minLength="0" maxLength="100" gradient="0">
              <x14:cfvo type="autoMin"/>
              <x14:cfvo type="autoMax"/>
              <x14:negativeFillColor rgb="FFFF0000"/>
              <x14:axisColor rgb="FF000000"/>
            </x14:dataBar>
          </x14:cfRule>
          <x14:cfRule type="dataBar" id="{CA48BEF9-536B-483E-93D1-1D70FAC05115}">
            <x14:dataBar minLength="0" maxLength="100" gradient="0">
              <x14:cfvo type="autoMin"/>
              <x14:cfvo type="autoMax"/>
              <x14:negativeFillColor rgb="FFFF0000"/>
              <x14:axisColor rgb="FF000000"/>
            </x14:dataBar>
          </x14:cfRule>
          <xm:sqref>E55:E58 G55:G58 I55:I58</xm:sqref>
        </x14:conditionalFormatting>
        <x14:conditionalFormatting xmlns:xm="http://schemas.microsoft.com/office/excel/2006/main">
          <x14:cfRule type="dataBar" id="{FD1FEF9A-F365-4DFE-A927-1852D99D71EB}">
            <x14:dataBar minLength="0" maxLength="100" gradient="0">
              <x14:cfvo type="autoMin"/>
              <x14:cfvo type="autoMax"/>
              <x14:negativeFillColor rgb="FFFF0000"/>
              <x14:axisColor rgb="FF000000"/>
            </x14:dataBar>
          </x14:cfRule>
          <xm:sqref>F46:F54</xm:sqref>
        </x14:conditionalFormatting>
        <x14:conditionalFormatting xmlns:xm="http://schemas.microsoft.com/office/excel/2006/main">
          <x14:cfRule type="dataBar" id="{ADD19CCF-E818-42F8-BF99-60EF2D3A801A}">
            <x14:dataBar minLength="0" maxLength="100" border="1" negativeBarBorderColorSameAsPositive="0">
              <x14:cfvo type="autoMin"/>
              <x14:cfvo type="autoMax"/>
              <x14:borderColor rgb="FF63C384"/>
              <x14:negativeFillColor rgb="FFFF0000"/>
              <x14:negativeBorderColor rgb="FFFF0000"/>
              <x14:axisColor rgb="FF000000"/>
            </x14:dataBar>
          </x14:cfRule>
          <xm:sqref>G46:G54</xm:sqref>
        </x14:conditionalFormatting>
        <x14:conditionalFormatting xmlns:xm="http://schemas.microsoft.com/office/excel/2006/main">
          <x14:cfRule type="dataBar" id="{FB1A4ECC-D3E1-4C53-9ADF-103FFC3A87EE}">
            <x14:dataBar minLength="0" maxLength="100" border="1" negativeBarBorderColorSameAsPositive="0">
              <x14:cfvo type="autoMin"/>
              <x14:cfvo type="autoMax"/>
              <x14:borderColor rgb="FF638EC6"/>
              <x14:negativeFillColor rgb="FFFF0000"/>
              <x14:negativeBorderColor rgb="FFFF0000"/>
              <x14:axisColor rgb="FF000000"/>
            </x14:dataBar>
          </x14:cfRule>
          <xm:sqref>H21:H25</xm:sqref>
        </x14:conditionalFormatting>
        <x14:conditionalFormatting xmlns:xm="http://schemas.microsoft.com/office/excel/2006/main">
          <x14:cfRule type="dataBar" id="{6EB89896-7685-489D-A212-BEDCDA6C1614}">
            <x14:dataBar minLength="0" maxLength="100" border="1" negativeBarBorderColorSameAsPositive="0">
              <x14:cfvo type="autoMin"/>
              <x14:cfvo type="autoMax"/>
              <x14:borderColor rgb="FF638EC6"/>
              <x14:negativeFillColor rgb="FFFF0000"/>
              <x14:negativeBorderColor rgb="FFFF0000"/>
              <x14:axisColor rgb="FF000000"/>
            </x14:dataBar>
          </x14:cfRule>
          <xm:sqref>H27:H31</xm:sqref>
        </x14:conditionalFormatting>
        <x14:conditionalFormatting xmlns:xm="http://schemas.microsoft.com/office/excel/2006/main">
          <x14:cfRule type="dataBar" id="{595E424D-F3AE-4040-A937-2E859AA15AD2}">
            <x14:dataBar minLength="0" maxLength="100" border="1" negativeBarBorderColorSameAsPositive="0">
              <x14:cfvo type="autoMin"/>
              <x14:cfvo type="autoMax"/>
              <x14:borderColor rgb="FF63C384"/>
              <x14:negativeFillColor rgb="FFFF0000"/>
              <x14:negativeBorderColor rgb="FFFF0000"/>
              <x14:axisColor rgb="FF000000"/>
            </x14:dataBar>
          </x14:cfRule>
          <xm:sqref>H46:H54</xm:sqref>
        </x14:conditionalFormatting>
        <x14:conditionalFormatting xmlns:xm="http://schemas.microsoft.com/office/excel/2006/main">
          <x14:cfRule type="dataBar" id="{60823727-C433-4BFE-A422-F2DB16A0B39B}">
            <x14:dataBar minLength="0" maxLength="100" border="1" negativeBarBorderColorSameAsPositive="0">
              <x14:cfvo type="autoMin"/>
              <x14:cfvo type="autoMax"/>
              <x14:borderColor rgb="FF63C384"/>
              <x14:negativeFillColor rgb="FFFF0000"/>
              <x14:negativeBorderColor rgb="FFFF0000"/>
              <x14:axisColor rgb="FF000000"/>
            </x14:dataBar>
          </x14:cfRule>
          <xm:sqref>I46:I54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6"/>
  <sheetViews>
    <sheetView workbookViewId="0"/>
  </sheetViews>
  <sheetFormatPr defaultColWidth="11.42578125" defaultRowHeight="13.15"/>
  <cols>
    <col min="1" max="1" width="27.140625" bestFit="1" customWidth="1"/>
  </cols>
  <sheetData>
    <row r="1" spans="1:1">
      <c r="A1" t="s">
        <v>178</v>
      </c>
    </row>
    <row r="2" spans="1:1">
      <c r="A2" t="s">
        <v>179</v>
      </c>
    </row>
    <row r="3" spans="1:1">
      <c r="A3" t="s">
        <v>180</v>
      </c>
    </row>
    <row r="4" spans="1:1">
      <c r="A4" t="s">
        <v>181</v>
      </c>
    </row>
    <row r="5" spans="1:1">
      <c r="A5" t="s">
        <v>182</v>
      </c>
    </row>
    <row r="6" spans="1:1">
      <c r="A6" s="11" t="s">
        <v>183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tabColor theme="9"/>
  </sheetPr>
  <dimension ref="A1:Z72"/>
  <sheetViews>
    <sheetView showGridLines="0" topLeftCell="A24" zoomScale="60" zoomScaleNormal="60" workbookViewId="0">
      <selection activeCell="C61" sqref="C61"/>
    </sheetView>
  </sheetViews>
  <sheetFormatPr defaultColWidth="11.42578125" defaultRowHeight="13.15"/>
  <cols>
    <col min="1" max="1" width="2.140625" customWidth="1"/>
    <col min="2" max="2" width="11.140625" customWidth="1"/>
    <col min="3" max="3" width="42.85546875" customWidth="1"/>
    <col min="4" max="4" width="15.42578125" style="2" customWidth="1"/>
    <col min="5" max="9" width="15.42578125" customWidth="1"/>
    <col min="10" max="11" width="11.42578125" bestFit="1" customWidth="1"/>
    <col min="17" max="17" width="62.28515625" customWidth="1"/>
    <col min="18" max="18" width="23.42578125" customWidth="1"/>
  </cols>
  <sheetData>
    <row r="1" spans="2:26" ht="7.5" customHeight="1"/>
    <row r="2" spans="2:26" ht="21.6" thickBot="1">
      <c r="B2" s="1164" t="str">
        <f>"Regions "&amp;"("&amp;OP!$J$20&amp;")"</f>
        <v>Regions (2023)</v>
      </c>
      <c r="C2" s="1165"/>
      <c r="D2" s="1165"/>
      <c r="E2" s="1165"/>
      <c r="F2" s="1165"/>
      <c r="G2" s="1165"/>
      <c r="H2" s="1165"/>
      <c r="I2" s="1165"/>
      <c r="J2" s="1165"/>
      <c r="K2" s="1165"/>
      <c r="L2" s="1165"/>
      <c r="M2" s="1165"/>
      <c r="N2" s="1165"/>
      <c r="O2" s="1165"/>
      <c r="P2" s="1165"/>
      <c r="Q2" s="1210" t="s">
        <v>184</v>
      </c>
      <c r="R2" s="1210"/>
      <c r="S2" s="1210"/>
      <c r="T2" s="1210"/>
      <c r="U2" s="1210"/>
      <c r="V2" s="1210"/>
      <c r="W2" s="1210"/>
      <c r="X2" s="1210"/>
      <c r="Y2" s="1210"/>
      <c r="Z2" s="1211"/>
    </row>
    <row r="3" spans="2:26" ht="18" thickBot="1">
      <c r="B3" s="167"/>
      <c r="C3" s="168"/>
      <c r="D3" s="1182" t="s">
        <v>185</v>
      </c>
      <c r="E3" s="1182"/>
      <c r="F3" s="1182"/>
      <c r="G3" s="1182"/>
      <c r="H3" s="1182"/>
      <c r="I3" s="1183"/>
      <c r="J3" s="150"/>
      <c r="K3" s="1212" t="s">
        <v>186</v>
      </c>
      <c r="L3" s="1213"/>
      <c r="M3" s="1213"/>
      <c r="N3" s="1213"/>
      <c r="O3" s="1213"/>
      <c r="P3" s="150"/>
      <c r="R3" s="140"/>
      <c r="Z3" s="162"/>
    </row>
    <row r="4" spans="2:26" ht="13.9" thickBot="1">
      <c r="B4" s="154" t="s">
        <v>187</v>
      </c>
      <c r="C4" s="155" t="s">
        <v>188</v>
      </c>
      <c r="D4" s="156">
        <v>2023</v>
      </c>
      <c r="E4" s="156">
        <f>D4-1</f>
        <v>2022</v>
      </c>
      <c r="F4" s="156">
        <f>E4-1</f>
        <v>2021</v>
      </c>
      <c r="G4" s="156">
        <f>F4-1</f>
        <v>2020</v>
      </c>
      <c r="H4" s="156">
        <f>G4-1</f>
        <v>2019</v>
      </c>
      <c r="I4" s="156">
        <f>H4-1</f>
        <v>2018</v>
      </c>
      <c r="J4" s="149"/>
      <c r="K4" s="156">
        <f>OP!J20</f>
        <v>2023</v>
      </c>
      <c r="L4" s="156">
        <f t="shared" ref="L4:O4" si="0">K4-1</f>
        <v>2022</v>
      </c>
      <c r="M4" s="156">
        <f t="shared" si="0"/>
        <v>2021</v>
      </c>
      <c r="N4" s="156">
        <f t="shared" si="0"/>
        <v>2020</v>
      </c>
      <c r="O4" s="156">
        <f t="shared" si="0"/>
        <v>2019</v>
      </c>
      <c r="P4" s="150"/>
      <c r="R4" s="140"/>
      <c r="Z4" s="162"/>
    </row>
    <row r="5" spans="2:26">
      <c r="B5" s="152">
        <f t="shared" ref="B5:B10" si="1">IFERROR(D5/$D$11,"")</f>
        <v>0.13899378054198133</v>
      </c>
      <c r="C5" s="153" t="s">
        <v>189</v>
      </c>
      <c r="D5" s="157">
        <v>5006</v>
      </c>
      <c r="E5" s="157">
        <v>3629</v>
      </c>
      <c r="F5" s="157">
        <v>2797</v>
      </c>
      <c r="G5" s="157">
        <v>2477</v>
      </c>
      <c r="H5" s="157">
        <v>3018</v>
      </c>
      <c r="I5" s="157">
        <v>3202</v>
      </c>
      <c r="J5" s="150"/>
      <c r="K5" s="289">
        <f>(D5-E5)/E5</f>
        <v>0.3794433728299807</v>
      </c>
      <c r="L5" s="289">
        <f t="shared" ref="L5:O8" si="2">(E5-F5)/F5</f>
        <v>0.29746156596353235</v>
      </c>
      <c r="M5" s="289">
        <f t="shared" si="2"/>
        <v>0.12918853451756157</v>
      </c>
      <c r="N5" s="289">
        <f t="shared" si="2"/>
        <v>-0.17925778661365144</v>
      </c>
      <c r="O5" s="289">
        <f t="shared" si="2"/>
        <v>-5.7464084946908182E-2</v>
      </c>
      <c r="P5" s="150"/>
      <c r="R5" s="140"/>
      <c r="Z5" s="162"/>
    </row>
    <row r="6" spans="2:26">
      <c r="B6" s="152">
        <f t="shared" si="1"/>
        <v>0.1964404709018214</v>
      </c>
      <c r="C6" s="153" t="s">
        <v>190</v>
      </c>
      <c r="D6" s="157">
        <v>7075</v>
      </c>
      <c r="E6" s="157">
        <v>6767</v>
      </c>
      <c r="F6" s="157">
        <v>6465</v>
      </c>
      <c r="G6" s="157">
        <v>5740</v>
      </c>
      <c r="H6" s="157">
        <v>5770</v>
      </c>
      <c r="I6" s="157">
        <v>5729</v>
      </c>
      <c r="J6" s="150"/>
      <c r="K6" s="289">
        <f>(D6-E6)/E6</f>
        <v>4.551499926112014E-2</v>
      </c>
      <c r="L6" s="289">
        <f t="shared" si="2"/>
        <v>4.6713070378963648E-2</v>
      </c>
      <c r="M6" s="289">
        <f t="shared" si="2"/>
        <v>0.12630662020905922</v>
      </c>
      <c r="N6" s="289">
        <f t="shared" si="2"/>
        <v>-5.1993067590987872E-3</v>
      </c>
      <c r="O6" s="289">
        <f t="shared" si="2"/>
        <v>7.1565718275440737E-3</v>
      </c>
      <c r="P6" s="150"/>
      <c r="R6" s="140"/>
      <c r="Z6" s="162"/>
    </row>
    <row r="7" spans="2:26">
      <c r="B7" s="152">
        <f t="shared" si="1"/>
        <v>0.35698023100844067</v>
      </c>
      <c r="C7" s="153" t="s">
        <v>191</v>
      </c>
      <c r="D7" s="157">
        <v>12857</v>
      </c>
      <c r="E7" s="157">
        <v>11420</v>
      </c>
      <c r="F7" s="157">
        <v>11156</v>
      </c>
      <c r="G7" s="157">
        <v>10207</v>
      </c>
      <c r="H7" s="157">
        <v>9972</v>
      </c>
      <c r="I7" s="157">
        <v>10122</v>
      </c>
      <c r="J7" s="150"/>
      <c r="K7" s="289">
        <f>(D7-E7)/E7</f>
        <v>0.12583187390542908</v>
      </c>
      <c r="L7" s="289">
        <f t="shared" si="2"/>
        <v>2.3664395840803154E-2</v>
      </c>
      <c r="M7" s="289">
        <f>(F7-G7)/G7</f>
        <v>9.2975409033016557E-2</v>
      </c>
      <c r="N7" s="289">
        <f t="shared" si="2"/>
        <v>2.3565984757320496E-2</v>
      </c>
      <c r="O7" s="289">
        <f t="shared" si="2"/>
        <v>-1.4819205690574985E-2</v>
      </c>
      <c r="P7" s="150"/>
      <c r="R7" s="140"/>
      <c r="Z7" s="162"/>
    </row>
    <row r="8" spans="2:26" ht="13.9" thickBot="1">
      <c r="B8" s="152">
        <f t="shared" si="1"/>
        <v>0.30758551754775654</v>
      </c>
      <c r="C8" s="153" t="s">
        <v>192</v>
      </c>
      <c r="D8" s="157">
        <v>11078</v>
      </c>
      <c r="E8" s="157">
        <v>9680</v>
      </c>
      <c r="F8" s="157">
        <v>8302</v>
      </c>
      <c r="G8" s="157">
        <v>8157</v>
      </c>
      <c r="H8" s="157">
        <v>7108</v>
      </c>
      <c r="I8" s="157">
        <v>6885</v>
      </c>
      <c r="J8" s="150"/>
      <c r="K8" s="289">
        <f t="shared" ref="K8" si="3">(D8-E8)/E8</f>
        <v>0.14442148760330578</v>
      </c>
      <c r="L8" s="289">
        <f t="shared" si="2"/>
        <v>0.16598410021681523</v>
      </c>
      <c r="M8" s="289">
        <f t="shared" si="2"/>
        <v>1.7776143189898248E-2</v>
      </c>
      <c r="N8" s="289">
        <f t="shared" si="2"/>
        <v>0.1475801913337085</v>
      </c>
      <c r="O8" s="289">
        <f t="shared" si="2"/>
        <v>3.2389251997095136E-2</v>
      </c>
      <c r="P8" s="150"/>
      <c r="R8" s="140"/>
      <c r="Z8" s="162"/>
    </row>
    <row r="9" spans="2:26" ht="13.9" hidden="1" thickBot="1">
      <c r="B9" s="144">
        <f t="shared" si="1"/>
        <v>0</v>
      </c>
      <c r="C9" s="143"/>
      <c r="D9" s="147"/>
      <c r="E9" s="147"/>
      <c r="F9" s="147"/>
      <c r="G9" s="147"/>
      <c r="H9" s="147"/>
      <c r="I9" s="147"/>
      <c r="J9" s="150"/>
      <c r="K9" s="147"/>
      <c r="L9" s="147"/>
      <c r="M9" s="147"/>
      <c r="N9" s="147"/>
      <c r="O9" s="147"/>
      <c r="P9" s="150"/>
      <c r="R9" s="140"/>
      <c r="Z9" s="162"/>
    </row>
    <row r="10" spans="2:26" ht="13.9" hidden="1" thickBot="1">
      <c r="B10" s="145">
        <f t="shared" si="1"/>
        <v>0</v>
      </c>
      <c r="C10" s="158"/>
      <c r="D10" s="691"/>
      <c r="E10" s="691"/>
      <c r="F10" s="691"/>
      <c r="G10" s="691"/>
      <c r="H10" s="691"/>
      <c r="I10" s="691"/>
      <c r="J10" s="150"/>
      <c r="K10" s="148"/>
      <c r="L10" s="148"/>
      <c r="M10" s="148"/>
      <c r="N10" s="148"/>
      <c r="O10" s="148"/>
      <c r="P10" s="150"/>
      <c r="R10" s="140"/>
      <c r="Z10" s="162"/>
    </row>
    <row r="11" spans="2:26" ht="13.9" thickBot="1">
      <c r="B11" s="146">
        <f>SUM(B5:B10)</f>
        <v>0.99999999999999989</v>
      </c>
      <c r="C11" s="689" t="s">
        <v>193</v>
      </c>
      <c r="D11" s="686">
        <f>SUM(D5:D10)</f>
        <v>36016</v>
      </c>
      <c r="E11" s="687">
        <f t="shared" ref="E11:H11" si="4">SUM(E5:E10)</f>
        <v>31496</v>
      </c>
      <c r="F11" s="687">
        <f t="shared" si="4"/>
        <v>28720</v>
      </c>
      <c r="G11" s="687">
        <f t="shared" si="4"/>
        <v>26581</v>
      </c>
      <c r="H11" s="687">
        <f t="shared" si="4"/>
        <v>25868</v>
      </c>
      <c r="I11" s="688">
        <f>SUM(I5:I10)</f>
        <v>25938</v>
      </c>
      <c r="J11" s="690"/>
      <c r="K11" s="291">
        <f>(D11-E11)/E11</f>
        <v>0.14351028702057403</v>
      </c>
      <c r="L11" s="291">
        <f>(E11-F11)/F11</f>
        <v>9.6657381615598892E-2</v>
      </c>
      <c r="M11" s="291">
        <f>(F11-G11)/G11</f>
        <v>8.0471013129679095E-2</v>
      </c>
      <c r="N11" s="291">
        <f t="shared" ref="N11:O11" si="5">(G11-H11)/H11</f>
        <v>2.756301221586516E-2</v>
      </c>
      <c r="O11" s="291">
        <f t="shared" si="5"/>
        <v>-2.6987431567584239E-3</v>
      </c>
      <c r="P11" s="150"/>
      <c r="R11" s="140"/>
      <c r="Z11" s="162"/>
    </row>
    <row r="12" spans="2:26">
      <c r="B12" s="165"/>
      <c r="C12" s="6"/>
      <c r="D12" s="15"/>
      <c r="E12" s="15"/>
      <c r="F12" s="15"/>
      <c r="G12" s="15"/>
      <c r="H12" s="15"/>
      <c r="I12" s="15"/>
      <c r="J12" s="15"/>
      <c r="K12" s="15"/>
      <c r="L12" s="15"/>
      <c r="M12" s="15"/>
      <c r="N12" s="15"/>
      <c r="O12" s="15"/>
      <c r="P12" s="15"/>
      <c r="R12" s="140"/>
      <c r="Z12" s="162"/>
    </row>
    <row r="13" spans="2:26" ht="21.6" thickBot="1">
      <c r="B13" s="1164" t="str">
        <f>"Categories "&amp;"("&amp;OP!$J$20&amp;")"</f>
        <v>Categories (2023)</v>
      </c>
      <c r="C13" s="1165"/>
      <c r="D13" s="1165"/>
      <c r="E13" s="1165"/>
      <c r="F13" s="1165"/>
      <c r="G13" s="1165"/>
      <c r="H13" s="1165"/>
      <c r="I13" s="1165"/>
      <c r="J13" s="1165"/>
      <c r="K13" s="1165"/>
      <c r="L13" s="1165"/>
      <c r="M13" s="1165"/>
      <c r="N13" s="1165"/>
      <c r="O13" s="1165"/>
      <c r="P13" s="1165"/>
      <c r="R13" s="140"/>
      <c r="T13" s="293"/>
      <c r="Z13" s="162"/>
    </row>
    <row r="14" spans="2:26" ht="21.6" thickBot="1">
      <c r="B14" s="167"/>
      <c r="C14" s="168"/>
      <c r="D14" s="1168" t="s">
        <v>185</v>
      </c>
      <c r="E14" s="1169"/>
      <c r="F14" s="1169"/>
      <c r="G14" s="1169"/>
      <c r="H14" s="1169"/>
      <c r="I14" s="1170"/>
      <c r="J14" s="150"/>
      <c r="K14" s="1214" t="s">
        <v>186</v>
      </c>
      <c r="L14" s="1215"/>
      <c r="M14" s="1215"/>
      <c r="N14" s="1215"/>
      <c r="O14" s="1215"/>
      <c r="P14" s="150"/>
      <c r="R14" s="140"/>
      <c r="Z14" s="162"/>
    </row>
    <row r="15" spans="2:26" ht="13.9" thickBot="1">
      <c r="B15" s="166" t="s">
        <v>187</v>
      </c>
      <c r="C15" s="139" t="s">
        <v>194</v>
      </c>
      <c r="D15" s="156">
        <v>2023</v>
      </c>
      <c r="E15" s="156">
        <f>D15-1</f>
        <v>2022</v>
      </c>
      <c r="F15" s="156">
        <f>E15-1</f>
        <v>2021</v>
      </c>
      <c r="G15" s="156">
        <f>F15-1</f>
        <v>2020</v>
      </c>
      <c r="H15" s="156">
        <f>G15-1</f>
        <v>2019</v>
      </c>
      <c r="I15" s="156">
        <f>H15-1</f>
        <v>2018</v>
      </c>
      <c r="J15" s="149"/>
      <c r="K15" s="151">
        <f>OP!J20</f>
        <v>2023</v>
      </c>
      <c r="L15" s="151">
        <f t="shared" ref="L15:O15" si="6">K15-1</f>
        <v>2022</v>
      </c>
      <c r="M15" s="151">
        <f t="shared" si="6"/>
        <v>2021</v>
      </c>
      <c r="N15" s="151">
        <f t="shared" si="6"/>
        <v>2020</v>
      </c>
      <c r="O15" s="151">
        <f t="shared" si="6"/>
        <v>2019</v>
      </c>
      <c r="P15" s="150"/>
      <c r="R15" s="140"/>
      <c r="Z15" s="162"/>
    </row>
    <row r="16" spans="2:26" ht="13.9" thickBot="1">
      <c r="B16" s="152">
        <f>IFERROR(D16/$D$21,"")</f>
        <v>0.48947689915593068</v>
      </c>
      <c r="C16" s="142" t="s">
        <v>195</v>
      </c>
      <c r="D16" s="157">
        <v>17629</v>
      </c>
      <c r="E16" s="157">
        <v>15608</v>
      </c>
      <c r="F16" s="157">
        <v>13552</v>
      </c>
      <c r="G16" s="157">
        <f>G11*0.48</f>
        <v>12758.88</v>
      </c>
      <c r="H16" s="157">
        <f>H11*0.442</f>
        <v>11433.656000000001</v>
      </c>
      <c r="I16" s="157">
        <f>I11*0.431</f>
        <v>11179.278</v>
      </c>
      <c r="J16" s="150"/>
      <c r="K16" s="292">
        <f>(D16-E16)/E16</f>
        <v>0.12948487954894924</v>
      </c>
      <c r="L16" s="292">
        <f t="shared" ref="L16:O20" si="7">(E16-F16)/F16</f>
        <v>0.15171192443919718</v>
      </c>
      <c r="M16" s="292">
        <f t="shared" si="7"/>
        <v>6.2162196054826195E-2</v>
      </c>
      <c r="N16" s="292">
        <f t="shared" si="7"/>
        <v>0.11590553362808871</v>
      </c>
      <c r="O16" s="292">
        <f t="shared" si="7"/>
        <v>2.2754421171027377E-2</v>
      </c>
      <c r="P16" s="150"/>
      <c r="R16" s="140"/>
      <c r="Z16" s="162"/>
    </row>
    <row r="17" spans="2:26" ht="13.9" thickBot="1">
      <c r="B17" s="152">
        <f t="shared" ref="B17:B20" si="8">IFERROR(D17/$D$21,"")</f>
        <v>0.29484118169702356</v>
      </c>
      <c r="C17" s="555" t="s">
        <v>196</v>
      </c>
      <c r="D17" s="157">
        <v>10619</v>
      </c>
      <c r="E17" s="157">
        <v>9486</v>
      </c>
      <c r="F17" s="157">
        <v>9271</v>
      </c>
      <c r="G17" s="157">
        <f>G11*0.308</f>
        <v>8186.9480000000003</v>
      </c>
      <c r="H17" s="157">
        <f>H11*0.315</f>
        <v>8148.42</v>
      </c>
      <c r="I17" s="157">
        <f>I11*0.315</f>
        <v>8170.47</v>
      </c>
      <c r="J17" s="150"/>
      <c r="K17" s="292">
        <f t="shared" ref="K17:K20" si="9">(D17-E17)/E17</f>
        <v>0.11943917351886991</v>
      </c>
      <c r="L17" s="292">
        <f t="shared" si="7"/>
        <v>2.3190594326394132E-2</v>
      </c>
      <c r="M17" s="292">
        <f t="shared" si="7"/>
        <v>0.13241222492191224</v>
      </c>
      <c r="N17" s="292">
        <f t="shared" si="7"/>
        <v>4.7282786110681881E-3</v>
      </c>
      <c r="O17" s="292">
        <f t="shared" si="7"/>
        <v>-2.698743156758446E-3</v>
      </c>
      <c r="P17" s="150"/>
      <c r="R17" s="140"/>
      <c r="Z17" s="162"/>
    </row>
    <row r="18" spans="2:26" ht="13.9" thickBot="1">
      <c r="B18" s="152">
        <f t="shared" si="8"/>
        <v>0.12288982674366948</v>
      </c>
      <c r="C18" s="143" t="s">
        <v>197</v>
      </c>
      <c r="D18" s="157">
        <v>4426</v>
      </c>
      <c r="E18" s="157">
        <v>3412</v>
      </c>
      <c r="F18" s="157">
        <v>2872</v>
      </c>
      <c r="G18" s="157">
        <f>G11*0.1</f>
        <v>2658.1000000000004</v>
      </c>
      <c r="H18" s="157">
        <f>H11*0.13</f>
        <v>3362.84</v>
      </c>
      <c r="I18" s="157">
        <f>I11*0.134</f>
        <v>3475.692</v>
      </c>
      <c r="J18" s="150"/>
      <c r="K18" s="292">
        <f t="shared" si="9"/>
        <v>0.29718640093786636</v>
      </c>
      <c r="L18" s="292">
        <f t="shared" si="7"/>
        <v>0.18802228412256267</v>
      </c>
      <c r="M18" s="292">
        <f>(F18-G18)/G18</f>
        <v>8.0471013129678942E-2</v>
      </c>
      <c r="N18" s="292">
        <f t="shared" si="7"/>
        <v>-0.20956691368010366</v>
      </c>
      <c r="O18" s="292">
        <f t="shared" si="7"/>
        <v>-3.2468929928198428E-2</v>
      </c>
      <c r="P18" s="150"/>
      <c r="R18" s="140"/>
      <c r="Z18" s="162"/>
    </row>
    <row r="19" spans="2:26" ht="13.9" thickBot="1">
      <c r="B19" s="152">
        <f t="shared" si="8"/>
        <v>3.2902043536206134E-2</v>
      </c>
      <c r="C19" s="143" t="s">
        <v>198</v>
      </c>
      <c r="D19" s="157">
        <v>1185</v>
      </c>
      <c r="E19" s="157">
        <v>1100</v>
      </c>
      <c r="F19" s="157">
        <v>1035</v>
      </c>
      <c r="G19" s="157">
        <f>G11*0.039</f>
        <v>1036.6590000000001</v>
      </c>
      <c r="H19" s="157">
        <f>H11*0.042</f>
        <v>1086.4560000000001</v>
      </c>
      <c r="I19" s="157">
        <f>I11*0.046</f>
        <v>1193.1479999999999</v>
      </c>
      <c r="J19" s="150"/>
      <c r="K19" s="292">
        <f t="shared" si="9"/>
        <v>7.7272727272727271E-2</v>
      </c>
      <c r="L19" s="292">
        <f t="shared" si="7"/>
        <v>6.280193236714976E-2</v>
      </c>
      <c r="M19" s="292">
        <f t="shared" si="7"/>
        <v>-1.6003333786713909E-3</v>
      </c>
      <c r="N19" s="292">
        <f t="shared" si="7"/>
        <v>-4.5834345799553797E-2</v>
      </c>
      <c r="O19" s="292">
        <f t="shared" si="7"/>
        <v>-8.9420591577909686E-2</v>
      </c>
      <c r="P19" s="150"/>
      <c r="R19" s="140"/>
      <c r="Z19" s="162"/>
    </row>
    <row r="20" spans="2:26" ht="13.9" thickBot="1">
      <c r="B20" s="152">
        <f t="shared" si="8"/>
        <v>5.9890048867170149E-2</v>
      </c>
      <c r="C20" s="143" t="s">
        <v>199</v>
      </c>
      <c r="D20" s="157">
        <v>2157</v>
      </c>
      <c r="E20" s="157">
        <v>1890</v>
      </c>
      <c r="F20" s="157">
        <v>1990</v>
      </c>
      <c r="G20" s="157">
        <f>G11*0.073</f>
        <v>1940.4129999999998</v>
      </c>
      <c r="H20" s="157">
        <f>H11*0.071</f>
        <v>1836.6279999999999</v>
      </c>
      <c r="I20" s="157">
        <f>I11*0.074</f>
        <v>1919.4119999999998</v>
      </c>
      <c r="J20" s="150"/>
      <c r="K20" s="292">
        <f t="shared" si="9"/>
        <v>0.14126984126984127</v>
      </c>
      <c r="L20" s="292">
        <f t="shared" si="7"/>
        <v>-5.0251256281407038E-2</v>
      </c>
      <c r="M20" s="292">
        <f t="shared" si="7"/>
        <v>2.5554868989230758E-2</v>
      </c>
      <c r="N20" s="292">
        <f t="shared" si="7"/>
        <v>5.650844917969227E-2</v>
      </c>
      <c r="O20" s="292">
        <f t="shared" si="7"/>
        <v>-4.3129875190943835E-2</v>
      </c>
      <c r="P20" s="150"/>
      <c r="R20" s="140"/>
      <c r="Z20" s="162"/>
    </row>
    <row r="21" spans="2:26" ht="13.9" thickBot="1">
      <c r="B21" s="146">
        <f>SUM(B16:B20)</f>
        <v>1</v>
      </c>
      <c r="C21" s="689" t="s">
        <v>193</v>
      </c>
      <c r="D21" s="686">
        <f t="shared" ref="D21:I21" si="10">SUM(D16:D20)</f>
        <v>36016</v>
      </c>
      <c r="E21" s="687">
        <f t="shared" si="10"/>
        <v>31496</v>
      </c>
      <c r="F21" s="687">
        <f t="shared" si="10"/>
        <v>28720</v>
      </c>
      <c r="G21" s="687">
        <f t="shared" si="10"/>
        <v>26581</v>
      </c>
      <c r="H21" s="687">
        <f t="shared" si="10"/>
        <v>25868.000000000004</v>
      </c>
      <c r="I21" s="688">
        <f t="shared" si="10"/>
        <v>25938</v>
      </c>
      <c r="J21" s="690"/>
      <c r="K21" s="290">
        <f>(D21-E21)/E21</f>
        <v>0.14351028702057403</v>
      </c>
      <c r="L21" s="291">
        <f t="shared" ref="L21" si="11">(E21-F21)/F21</f>
        <v>9.6657381615598892E-2</v>
      </c>
      <c r="M21" s="291">
        <f t="shared" ref="M21" si="12">(F21-G21)/G21</f>
        <v>8.0471013129679095E-2</v>
      </c>
      <c r="N21" s="291">
        <f t="shared" ref="N21" si="13">(G21-H21)/H21</f>
        <v>2.7563012215865018E-2</v>
      </c>
      <c r="O21" s="291">
        <f t="shared" ref="O21" si="14">(H21-I21)/I21</f>
        <v>-2.6987431567582838E-3</v>
      </c>
      <c r="P21" s="150"/>
      <c r="R21" s="140"/>
      <c r="Z21" s="162"/>
    </row>
    <row r="22" spans="2:26" ht="13.9" thickBot="1">
      <c r="C22" s="14"/>
      <c r="D22" s="15"/>
      <c r="E22" s="16"/>
      <c r="F22" s="15"/>
      <c r="G22" s="16"/>
      <c r="H22" s="15"/>
      <c r="I22" s="16"/>
      <c r="R22" s="140"/>
      <c r="Z22" s="162"/>
    </row>
    <row r="23" spans="2:26" ht="21.6" thickBot="1">
      <c r="B23" s="1168" t="s">
        <v>69</v>
      </c>
      <c r="C23" s="1170"/>
      <c r="D23" s="1168" t="s">
        <v>200</v>
      </c>
      <c r="E23" s="1169"/>
      <c r="F23" s="1169"/>
      <c r="G23" s="1169"/>
      <c r="H23" s="1169"/>
      <c r="I23" s="1180" t="s">
        <v>201</v>
      </c>
      <c r="J23" s="1181"/>
      <c r="K23" s="1181"/>
      <c r="L23" s="1181"/>
      <c r="M23" s="1181"/>
      <c r="N23" s="1181"/>
      <c r="O23" s="1181"/>
      <c r="P23" s="1181"/>
      <c r="R23" s="140"/>
      <c r="Z23" s="162"/>
    </row>
    <row r="24" spans="2:26" ht="30.6" customHeight="1" thickBot="1">
      <c r="B24" s="1166" t="s">
        <v>195</v>
      </c>
      <c r="C24" s="1167"/>
      <c r="D24" s="1171" t="s">
        <v>202</v>
      </c>
      <c r="E24" s="1172"/>
      <c r="F24" s="1172"/>
      <c r="G24" s="1172"/>
      <c r="H24" s="1173"/>
      <c r="I24" s="140"/>
      <c r="R24" s="140"/>
      <c r="Z24" s="162"/>
    </row>
    <row r="25" spans="2:26" ht="41.25" customHeight="1" thickBot="1">
      <c r="B25" s="1166" t="s">
        <v>196</v>
      </c>
      <c r="C25" s="1167"/>
      <c r="D25" s="1174" t="s">
        <v>203</v>
      </c>
      <c r="E25" s="1175"/>
      <c r="F25" s="1175"/>
      <c r="G25" s="1175"/>
      <c r="H25" s="1175"/>
      <c r="I25" s="140"/>
      <c r="R25" s="140"/>
      <c r="Z25" s="162"/>
    </row>
    <row r="26" spans="2:26" ht="28.35" customHeight="1" thickBot="1">
      <c r="B26" s="1166" t="s">
        <v>197</v>
      </c>
      <c r="C26" s="1167"/>
      <c r="D26" s="1176" t="s">
        <v>204</v>
      </c>
      <c r="E26" s="1177"/>
      <c r="F26" s="1177"/>
      <c r="G26" s="1177"/>
      <c r="H26" s="1177"/>
      <c r="I26" s="140"/>
      <c r="R26" s="140"/>
      <c r="Z26" s="162"/>
    </row>
    <row r="27" spans="2:26" ht="30.6" customHeight="1" thickBot="1">
      <c r="B27" s="1166" t="s">
        <v>198</v>
      </c>
      <c r="C27" s="1167"/>
      <c r="D27" s="1176" t="s">
        <v>205</v>
      </c>
      <c r="E27" s="1177"/>
      <c r="F27" s="1177"/>
      <c r="G27" s="1177"/>
      <c r="H27" s="1177"/>
      <c r="I27" s="140"/>
      <c r="R27" s="140"/>
      <c r="Z27" s="162"/>
    </row>
    <row r="28" spans="2:26" ht="41.25" customHeight="1" thickBot="1">
      <c r="B28" s="1184" t="s">
        <v>199</v>
      </c>
      <c r="C28" s="1167"/>
      <c r="D28" s="1176" t="s">
        <v>206</v>
      </c>
      <c r="E28" s="1177"/>
      <c r="F28" s="1177"/>
      <c r="G28" s="1177"/>
      <c r="H28" s="1177"/>
      <c r="I28" s="140"/>
      <c r="R28" s="140"/>
      <c r="Z28" s="162"/>
    </row>
    <row r="29" spans="2:26" ht="28.35" hidden="1" customHeight="1">
      <c r="B29" s="1166"/>
      <c r="C29" s="1167"/>
      <c r="D29" s="1178"/>
      <c r="E29" s="1179"/>
      <c r="F29" s="1179"/>
      <c r="G29" s="1179"/>
      <c r="H29" s="1179"/>
      <c r="I29" s="140"/>
      <c r="R29" s="140"/>
      <c r="Z29" s="162"/>
    </row>
    <row r="30" spans="2:26" ht="55.9" customHeight="1" thickBot="1">
      <c r="I30" s="141"/>
      <c r="J30" s="163"/>
      <c r="K30" s="163"/>
      <c r="L30" s="163"/>
      <c r="M30" s="163"/>
      <c r="N30" s="163"/>
      <c r="O30" s="163"/>
      <c r="P30" s="163"/>
      <c r="Q30" s="163"/>
      <c r="R30" s="141"/>
      <c r="S30" s="163"/>
      <c r="T30" s="163"/>
      <c r="U30" s="163"/>
      <c r="V30" s="163"/>
      <c r="W30" s="163"/>
      <c r="X30" s="163"/>
      <c r="Y30" s="163"/>
      <c r="Z30" s="164"/>
    </row>
    <row r="31" spans="2:26" ht="21.6" thickBot="1">
      <c r="B31" s="1168" t="s">
        <v>207</v>
      </c>
      <c r="C31" s="1169"/>
      <c r="D31" s="1169"/>
      <c r="E31" s="1169"/>
      <c r="F31" s="1169"/>
      <c r="G31" s="1169"/>
      <c r="H31" s="1169"/>
      <c r="I31" s="1170"/>
      <c r="J31" s="1216" t="s">
        <v>208</v>
      </c>
      <c r="K31" s="1217"/>
      <c r="L31" s="1217"/>
      <c r="M31" s="1217"/>
      <c r="N31" s="1217"/>
      <c r="O31" s="1217"/>
      <c r="P31" s="1217"/>
      <c r="Q31" s="1218"/>
      <c r="R31" s="1219"/>
    </row>
    <row r="32" spans="2:26" ht="13.9" thickBot="1">
      <c r="B32" s="1187" t="s">
        <v>209</v>
      </c>
      <c r="C32" s="1188"/>
      <c r="D32" s="1187" t="s">
        <v>200</v>
      </c>
      <c r="E32" s="1223"/>
      <c r="F32" s="1223"/>
      <c r="G32" s="1223"/>
      <c r="H32" s="1223"/>
      <c r="I32" s="1188"/>
      <c r="J32" s="159"/>
      <c r="K32" s="160"/>
      <c r="L32" s="160"/>
      <c r="M32" s="160"/>
      <c r="N32" s="160"/>
      <c r="O32" s="160"/>
      <c r="P32" s="160"/>
      <c r="Q32" s="160"/>
      <c r="R32" s="161"/>
    </row>
    <row r="33" spans="2:22" ht="24" customHeight="1">
      <c r="B33" s="1185" t="s">
        <v>210</v>
      </c>
      <c r="C33" s="1186"/>
      <c r="D33" s="1228" t="s">
        <v>211</v>
      </c>
      <c r="E33" s="1229"/>
      <c r="F33" s="1229"/>
      <c r="G33" s="1229"/>
      <c r="H33" s="1229"/>
      <c r="I33" s="1230"/>
      <c r="J33" s="140"/>
      <c r="R33" s="162"/>
    </row>
    <row r="34" spans="2:22" ht="13.9" thickBot="1">
      <c r="B34" s="1194" t="s">
        <v>212</v>
      </c>
      <c r="C34" s="1195"/>
      <c r="D34" s="1231" t="s">
        <v>213</v>
      </c>
      <c r="E34" s="1232"/>
      <c r="F34" s="1232"/>
      <c r="G34" s="1232"/>
      <c r="H34" s="1232"/>
      <c r="I34" s="1233"/>
      <c r="J34" s="140"/>
      <c r="R34" s="162"/>
    </row>
    <row r="35" spans="2:22" ht="13.9" thickBot="1">
      <c r="B35" s="1187" t="s">
        <v>214</v>
      </c>
      <c r="C35" s="1223"/>
      <c r="D35" s="1223"/>
      <c r="E35" s="1223"/>
      <c r="F35" s="1223"/>
      <c r="G35" s="1223"/>
      <c r="H35" s="1223"/>
      <c r="I35" s="1188"/>
      <c r="J35" s="140"/>
      <c r="R35" s="162"/>
    </row>
    <row r="36" spans="2:22" ht="13.5" customHeight="1">
      <c r="B36" s="1191" t="s">
        <v>215</v>
      </c>
      <c r="C36" s="1193"/>
      <c r="D36" s="1191" t="s">
        <v>216</v>
      </c>
      <c r="E36" s="1192"/>
      <c r="F36" s="1193"/>
      <c r="G36" s="1191" t="s">
        <v>217</v>
      </c>
      <c r="H36" s="1192"/>
      <c r="I36" s="1193"/>
      <c r="J36" s="140"/>
      <c r="R36" s="162"/>
      <c r="U36" s="11"/>
      <c r="V36" s="11"/>
    </row>
    <row r="37" spans="2:22">
      <c r="B37" s="1196" t="s">
        <v>218</v>
      </c>
      <c r="C37" s="1197"/>
      <c r="D37" s="1201">
        <v>4.87E-2</v>
      </c>
      <c r="E37" s="1202"/>
      <c r="F37" s="1203"/>
      <c r="G37" s="1220" t="s">
        <v>219</v>
      </c>
      <c r="H37" s="1221"/>
      <c r="I37" s="1222"/>
      <c r="J37" s="140"/>
      <c r="R37" s="162"/>
      <c r="U37" s="11"/>
      <c r="V37" s="11"/>
    </row>
    <row r="38" spans="2:22">
      <c r="B38" s="1196" t="s">
        <v>218</v>
      </c>
      <c r="C38" s="1197"/>
      <c r="D38" s="1201">
        <v>5.0099999999999999E-2</v>
      </c>
      <c r="E38" s="1202"/>
      <c r="F38" s="1203"/>
      <c r="G38" s="1220" t="s">
        <v>220</v>
      </c>
      <c r="H38" s="1221"/>
      <c r="I38" s="1222"/>
      <c r="J38" s="140"/>
      <c r="R38" s="162"/>
      <c r="U38" s="11"/>
      <c r="V38" s="11"/>
    </row>
    <row r="39" spans="2:22" ht="13.9" thickBot="1">
      <c r="B39" s="1224" t="s">
        <v>221</v>
      </c>
      <c r="C39" s="1225"/>
      <c r="D39" s="1204">
        <v>6.3700000000000007E-2</v>
      </c>
      <c r="E39" s="1205"/>
      <c r="F39" s="1206"/>
      <c r="G39" s="1198" t="s">
        <v>222</v>
      </c>
      <c r="H39" s="1199"/>
      <c r="I39" s="1200"/>
      <c r="J39" s="140"/>
      <c r="R39" s="162"/>
      <c r="U39" s="11"/>
      <c r="V39" s="11"/>
    </row>
    <row r="40" spans="2:22" ht="12.4" customHeight="1" thickBot="1">
      <c r="B40" s="1226" t="s">
        <v>223</v>
      </c>
      <c r="C40" s="1227"/>
      <c r="D40" s="1189">
        <f>AVERAGE(D37:F39)</f>
        <v>5.4166666666666669E-2</v>
      </c>
      <c r="E40" s="1189"/>
      <c r="F40" s="1189"/>
      <c r="G40" s="1189"/>
      <c r="H40" s="1189"/>
      <c r="I40" s="1190"/>
      <c r="R40" s="162"/>
      <c r="U40" s="11"/>
      <c r="V40" s="11"/>
    </row>
    <row r="41" spans="2:22" ht="21.6" thickBot="1">
      <c r="B41" s="1207" t="s">
        <v>224</v>
      </c>
      <c r="C41" s="1208"/>
      <c r="D41" s="1208"/>
      <c r="E41" s="1208"/>
      <c r="F41" s="1208"/>
      <c r="G41" s="1208"/>
      <c r="H41" s="1208"/>
      <c r="I41" s="1209"/>
      <c r="J41" s="140"/>
      <c r="R41" s="162"/>
      <c r="U41" s="11"/>
      <c r="V41" s="11"/>
    </row>
    <row r="42" spans="2:22" ht="40.9" customHeight="1">
      <c r="B42" s="1158" t="s">
        <v>225</v>
      </c>
      <c r="C42" s="1159"/>
      <c r="D42" s="1159"/>
      <c r="E42" s="1159"/>
      <c r="F42" s="1159"/>
      <c r="G42" s="1159"/>
      <c r="H42" s="1159"/>
      <c r="I42" s="1160"/>
      <c r="J42" s="140"/>
      <c r="R42" s="162"/>
      <c r="U42" s="11"/>
      <c r="V42" s="11"/>
    </row>
    <row r="43" spans="2:22" ht="13.15" customHeight="1">
      <c r="B43" s="1161"/>
      <c r="C43" s="1162"/>
      <c r="D43" s="1162"/>
      <c r="E43" s="1162"/>
      <c r="F43" s="1162"/>
      <c r="G43" s="1162"/>
      <c r="H43" s="1162"/>
      <c r="I43" s="1163"/>
      <c r="J43" s="140"/>
      <c r="R43" s="162"/>
      <c r="U43" s="11"/>
      <c r="V43" s="11"/>
    </row>
    <row r="44" spans="2:22" ht="40.9" customHeight="1">
      <c r="B44" s="1155" t="s">
        <v>226</v>
      </c>
      <c r="C44" s="1156"/>
      <c r="D44" s="1156"/>
      <c r="E44" s="1156"/>
      <c r="F44" s="1156"/>
      <c r="G44" s="1156"/>
      <c r="H44" s="1156"/>
      <c r="I44" s="1157"/>
      <c r="J44" s="140"/>
      <c r="R44" s="162"/>
      <c r="U44" s="11"/>
      <c r="V44" s="11"/>
    </row>
    <row r="45" spans="2:22" ht="13.15" customHeight="1">
      <c r="B45" s="1161"/>
      <c r="C45" s="1162"/>
      <c r="D45" s="1162"/>
      <c r="E45" s="1162"/>
      <c r="F45" s="1162"/>
      <c r="G45" s="1162"/>
      <c r="H45" s="1162"/>
      <c r="I45" s="1163"/>
      <c r="J45" s="140"/>
      <c r="R45" s="162"/>
      <c r="U45" s="11"/>
      <c r="V45" s="11"/>
    </row>
    <row r="46" spans="2:22" ht="40.9" customHeight="1">
      <c r="B46" s="1155" t="s">
        <v>227</v>
      </c>
      <c r="C46" s="1156"/>
      <c r="D46" s="1156"/>
      <c r="E46" s="1156"/>
      <c r="F46" s="1156"/>
      <c r="G46" s="1156"/>
      <c r="H46" s="1156"/>
      <c r="I46" s="1157"/>
      <c r="J46" s="140"/>
      <c r="R46" s="162"/>
      <c r="U46" s="11"/>
      <c r="V46" s="11"/>
    </row>
    <row r="47" spans="2:22" ht="13.15" customHeight="1">
      <c r="B47" s="1155"/>
      <c r="C47" s="1156"/>
      <c r="D47" s="1156"/>
      <c r="E47" s="1156"/>
      <c r="F47" s="1156"/>
      <c r="G47" s="1156"/>
      <c r="H47" s="1156"/>
      <c r="I47" s="1157"/>
      <c r="J47" s="140"/>
      <c r="R47" s="162"/>
      <c r="U47" s="11"/>
      <c r="V47" s="11"/>
    </row>
    <row r="48" spans="2:22" ht="40.9" customHeight="1">
      <c r="B48" s="1155" t="s">
        <v>228</v>
      </c>
      <c r="C48" s="1156"/>
      <c r="D48" s="1156"/>
      <c r="E48" s="1156"/>
      <c r="F48" s="1156"/>
      <c r="G48" s="1156"/>
      <c r="H48" s="1156"/>
      <c r="I48" s="1157"/>
      <c r="J48" s="140"/>
      <c r="R48" s="162"/>
      <c r="U48" s="11"/>
      <c r="V48" s="11"/>
    </row>
    <row r="49" spans="2:22" ht="13.15" customHeight="1">
      <c r="B49" s="1155"/>
      <c r="C49" s="1156"/>
      <c r="D49" s="1156"/>
      <c r="E49" s="1156"/>
      <c r="F49" s="1156"/>
      <c r="G49" s="1156"/>
      <c r="H49" s="1156"/>
      <c r="I49" s="1157"/>
      <c r="J49" s="140"/>
      <c r="R49" s="162"/>
      <c r="U49" s="11"/>
      <c r="V49" s="11"/>
    </row>
    <row r="50" spans="2:22" ht="13.15" customHeight="1">
      <c r="B50" s="1155"/>
      <c r="C50" s="1156"/>
      <c r="D50" s="1156"/>
      <c r="E50" s="1156"/>
      <c r="F50" s="1156"/>
      <c r="G50" s="1156"/>
      <c r="H50" s="1156"/>
      <c r="I50" s="1157"/>
      <c r="J50" s="140"/>
      <c r="R50" s="162"/>
      <c r="U50" s="11"/>
      <c r="V50" s="11"/>
    </row>
    <row r="51" spans="2:22" ht="13.15" customHeight="1">
      <c r="B51" s="1155"/>
      <c r="C51" s="1156"/>
      <c r="D51" s="1156"/>
      <c r="E51" s="1156"/>
      <c r="F51" s="1156"/>
      <c r="G51" s="1156"/>
      <c r="H51" s="1156"/>
      <c r="I51" s="1157"/>
      <c r="J51" s="140"/>
      <c r="R51" s="162"/>
      <c r="U51" s="11"/>
      <c r="V51" s="11"/>
    </row>
    <row r="52" spans="2:22" ht="13.15" customHeight="1">
      <c r="B52" s="1155"/>
      <c r="C52" s="1156"/>
      <c r="D52" s="1156"/>
      <c r="E52" s="1156"/>
      <c r="F52" s="1156"/>
      <c r="G52" s="1156"/>
      <c r="H52" s="1156"/>
      <c r="I52" s="1157"/>
      <c r="J52" s="140"/>
      <c r="R52" s="162"/>
      <c r="U52" s="11"/>
      <c r="V52" s="11"/>
    </row>
    <row r="53" spans="2:22" ht="13.15" customHeight="1">
      <c r="B53" s="1155"/>
      <c r="C53" s="1156"/>
      <c r="D53" s="1156"/>
      <c r="E53" s="1156"/>
      <c r="F53" s="1156"/>
      <c r="G53" s="1156"/>
      <c r="H53" s="1156"/>
      <c r="I53" s="1157"/>
      <c r="J53" s="140"/>
      <c r="R53" s="162"/>
      <c r="U53" s="11"/>
      <c r="V53" s="11"/>
    </row>
    <row r="54" spans="2:22" ht="13.15" customHeight="1">
      <c r="B54" s="1155"/>
      <c r="C54" s="1156"/>
      <c r="D54" s="1156"/>
      <c r="E54" s="1156"/>
      <c r="F54" s="1156"/>
      <c r="G54" s="1156"/>
      <c r="H54" s="1156"/>
      <c r="I54" s="1157"/>
      <c r="J54" s="140"/>
      <c r="R54" s="162"/>
      <c r="U54" s="11"/>
      <c r="V54" s="11"/>
    </row>
    <row r="55" spans="2:22" ht="13.15" customHeight="1">
      <c r="B55" s="1155"/>
      <c r="C55" s="1156"/>
      <c r="D55" s="1156"/>
      <c r="E55" s="1156"/>
      <c r="F55" s="1156"/>
      <c r="G55" s="1156"/>
      <c r="H55" s="1156"/>
      <c r="I55" s="1157"/>
      <c r="J55" s="140"/>
      <c r="R55" s="162"/>
      <c r="U55" s="11"/>
      <c r="V55" s="11"/>
    </row>
    <row r="56" spans="2:22" ht="13.15" customHeight="1">
      <c r="B56" s="1155"/>
      <c r="C56" s="1156"/>
      <c r="D56" s="1156"/>
      <c r="E56" s="1156"/>
      <c r="F56" s="1156"/>
      <c r="G56" s="1156"/>
      <c r="H56" s="1156"/>
      <c r="I56" s="1157"/>
      <c r="J56" s="140"/>
      <c r="R56" s="162"/>
      <c r="U56" s="11"/>
      <c r="V56" s="11"/>
    </row>
    <row r="57" spans="2:22" ht="13.15" customHeight="1">
      <c r="B57" s="1155"/>
      <c r="C57" s="1156"/>
      <c r="D57" s="1156"/>
      <c r="E57" s="1156"/>
      <c r="F57" s="1156"/>
      <c r="G57" s="1156"/>
      <c r="H57" s="1156"/>
      <c r="I57" s="1157"/>
      <c r="J57" s="140"/>
      <c r="R57" s="162"/>
      <c r="U57" s="11"/>
      <c r="V57" s="11"/>
    </row>
    <row r="58" spans="2:22" ht="13.9" customHeight="1" thickBot="1">
      <c r="B58" s="1155"/>
      <c r="C58" s="1156"/>
      <c r="D58" s="1156"/>
      <c r="E58" s="1156"/>
      <c r="F58" s="1156"/>
      <c r="G58" s="1156"/>
      <c r="H58" s="1156"/>
      <c r="I58" s="1157"/>
      <c r="J58" s="141"/>
      <c r="K58" s="163"/>
      <c r="L58" s="163"/>
      <c r="M58" s="163"/>
      <c r="N58" s="163"/>
      <c r="O58" s="163"/>
      <c r="P58" s="163"/>
      <c r="Q58" s="163"/>
      <c r="R58" s="164"/>
      <c r="U58" s="11"/>
      <c r="V58" s="11"/>
    </row>
    <row r="59" spans="2:22">
      <c r="U59" s="11"/>
      <c r="V59" s="11"/>
    </row>
    <row r="60" spans="2:22">
      <c r="U60" s="11"/>
      <c r="V60" s="11"/>
    </row>
    <row r="61" spans="2:22">
      <c r="U61" s="11"/>
      <c r="V61" s="11"/>
    </row>
    <row r="62" spans="2:22">
      <c r="U62" s="11"/>
      <c r="V62" s="11"/>
    </row>
    <row r="63" spans="2:22">
      <c r="O63" s="294"/>
      <c r="U63" s="11"/>
      <c r="V63" s="11"/>
    </row>
    <row r="64" spans="2:22">
      <c r="O64" s="294"/>
      <c r="U64" s="11"/>
      <c r="V64" s="11"/>
    </row>
    <row r="65" spans="1:22">
      <c r="A65" s="898"/>
      <c r="C65" s="898"/>
      <c r="O65" s="294"/>
      <c r="U65" s="11"/>
      <c r="V65" s="11"/>
    </row>
    <row r="66" spans="1:22">
      <c r="C66" s="898"/>
      <c r="U66" s="11"/>
      <c r="V66" s="11"/>
    </row>
    <row r="67" spans="1:22">
      <c r="C67" s="898"/>
      <c r="U67" s="11"/>
      <c r="V67" s="11"/>
    </row>
    <row r="68" spans="1:22">
      <c r="U68" s="11"/>
      <c r="V68" s="11"/>
    </row>
    <row r="69" spans="1:22">
      <c r="U69" s="11"/>
      <c r="V69" s="11"/>
    </row>
    <row r="70" spans="1:22">
      <c r="U70" s="11"/>
      <c r="V70" s="11"/>
    </row>
    <row r="71" spans="1:22">
      <c r="U71" s="11"/>
      <c r="V71" s="11"/>
    </row>
    <row r="72" spans="1:22">
      <c r="U72" s="11"/>
      <c r="V72" s="11"/>
    </row>
  </sheetData>
  <mergeCells count="63">
    <mergeCell ref="B41:I41"/>
    <mergeCell ref="Q2:Z2"/>
    <mergeCell ref="K3:O3"/>
    <mergeCell ref="K14:O14"/>
    <mergeCell ref="J31:R31"/>
    <mergeCell ref="G38:I38"/>
    <mergeCell ref="B35:I35"/>
    <mergeCell ref="B36:C36"/>
    <mergeCell ref="B37:C37"/>
    <mergeCell ref="G37:I37"/>
    <mergeCell ref="B31:I31"/>
    <mergeCell ref="D32:I32"/>
    <mergeCell ref="B39:C39"/>
    <mergeCell ref="B40:C40"/>
    <mergeCell ref="D33:I33"/>
    <mergeCell ref="D34:I34"/>
    <mergeCell ref="D40:I40"/>
    <mergeCell ref="D36:F36"/>
    <mergeCell ref="G36:I36"/>
    <mergeCell ref="B34:C34"/>
    <mergeCell ref="B38:C38"/>
    <mergeCell ref="G39:I39"/>
    <mergeCell ref="D37:F37"/>
    <mergeCell ref="D38:F38"/>
    <mergeCell ref="D39:F39"/>
    <mergeCell ref="B23:C23"/>
    <mergeCell ref="B26:C26"/>
    <mergeCell ref="B25:C25"/>
    <mergeCell ref="B33:C33"/>
    <mergeCell ref="B32:C32"/>
    <mergeCell ref="B2:P2"/>
    <mergeCell ref="B29:C29"/>
    <mergeCell ref="B13:P13"/>
    <mergeCell ref="D14:I14"/>
    <mergeCell ref="D23:H23"/>
    <mergeCell ref="D24:H24"/>
    <mergeCell ref="D25:H25"/>
    <mergeCell ref="D26:H26"/>
    <mergeCell ref="D27:H27"/>
    <mergeCell ref="D28:H28"/>
    <mergeCell ref="D29:H29"/>
    <mergeCell ref="I23:P23"/>
    <mergeCell ref="D3:I3"/>
    <mergeCell ref="B24:C24"/>
    <mergeCell ref="B27:C27"/>
    <mergeCell ref="B28:C28"/>
    <mergeCell ref="B42:I42"/>
    <mergeCell ref="B43:I43"/>
    <mergeCell ref="B44:I44"/>
    <mergeCell ref="B45:I45"/>
    <mergeCell ref="B46:I46"/>
    <mergeCell ref="B47:I47"/>
    <mergeCell ref="B48:I48"/>
    <mergeCell ref="B49:I49"/>
    <mergeCell ref="B50:I50"/>
    <mergeCell ref="B51:I51"/>
    <mergeCell ref="B57:I57"/>
    <mergeCell ref="B58:I58"/>
    <mergeCell ref="B52:I52"/>
    <mergeCell ref="B53:I53"/>
    <mergeCell ref="B54:I54"/>
    <mergeCell ref="B55:I55"/>
    <mergeCell ref="B56:I56"/>
  </mergeCells>
  <phoneticPr fontId="0" type="noConversion"/>
  <conditionalFormatting sqref="B5:B10">
    <cfRule type="dataBar" priority="101">
      <dataBar>
        <cfvo type="min"/>
        <cfvo type="max"/>
        <color rgb="FF638EC6"/>
      </dataBar>
      <extLst>
        <ext xmlns:x14="http://schemas.microsoft.com/office/spreadsheetml/2009/9/main" uri="{B025F937-C7B1-47D3-B67F-A62EFF666E3E}">
          <x14:id>{6E381EE6-DF6C-4880-BDC6-793A4FBC9886}</x14:id>
        </ext>
      </extLst>
    </cfRule>
  </conditionalFormatting>
  <conditionalFormatting sqref="B16:B20">
    <cfRule type="dataBar" priority="120">
      <dataBar>
        <cfvo type="min"/>
        <cfvo type="max"/>
        <color rgb="FF638EC6"/>
      </dataBar>
      <extLst>
        <ext xmlns:x14="http://schemas.microsoft.com/office/spreadsheetml/2009/9/main" uri="{B025F937-C7B1-47D3-B67F-A62EFF666E3E}">
          <x14:id>{070902CC-8EB6-43DB-B9AD-5811F17D394B}</x14:id>
        </ext>
      </extLst>
    </cfRule>
  </conditionalFormatting>
  <conditionalFormatting sqref="D9:D10 D5:E8">
    <cfRule type="dataBar" priority="49">
      <dataBar>
        <cfvo type="min"/>
        <cfvo type="max"/>
        <color rgb="FF63C384"/>
      </dataBar>
      <extLst>
        <ext xmlns:x14="http://schemas.microsoft.com/office/spreadsheetml/2009/9/main" uri="{B025F937-C7B1-47D3-B67F-A62EFF666E3E}">
          <x14:id>{767D33FE-8570-4B26-81B7-5505E2A08A62}</x14:id>
        </ext>
      </extLst>
    </cfRule>
  </conditionalFormatting>
  <conditionalFormatting sqref="D16:H20">
    <cfRule type="dataBar" priority="7">
      <dataBar>
        <cfvo type="min"/>
        <cfvo type="max"/>
        <color rgb="FF63C384"/>
      </dataBar>
      <extLst>
        <ext xmlns:x14="http://schemas.microsoft.com/office/spreadsheetml/2009/9/main" uri="{B025F937-C7B1-47D3-B67F-A62EFF666E3E}">
          <x14:id>{3F107DCC-63A1-497B-B919-528218A545C1}</x14:id>
        </ext>
      </extLst>
    </cfRule>
  </conditionalFormatting>
  <conditionalFormatting sqref="D5:I8">
    <cfRule type="dataBar" priority="103">
      <dataBar>
        <cfvo type="min"/>
        <cfvo type="max"/>
        <color rgb="FF63C384"/>
      </dataBar>
      <extLst>
        <ext xmlns:x14="http://schemas.microsoft.com/office/spreadsheetml/2009/9/main" uri="{B025F937-C7B1-47D3-B67F-A62EFF666E3E}">
          <x14:id>{83BDDF4E-0A7D-4B3E-A60B-AD52AC0FFA68}</x14:id>
        </ext>
      </extLst>
    </cfRule>
  </conditionalFormatting>
  <conditionalFormatting sqref="D16:I20">
    <cfRule type="dataBar" priority="121">
      <dataBar>
        <cfvo type="min"/>
        <cfvo type="max"/>
        <color rgb="FF63C384"/>
      </dataBar>
      <extLst>
        <ext xmlns:x14="http://schemas.microsoft.com/office/spreadsheetml/2009/9/main" uri="{B025F937-C7B1-47D3-B67F-A62EFF666E3E}">
          <x14:id>{5BBC426E-7FA9-4F5C-AC78-B3996BA8F931}</x14:id>
        </ext>
      </extLst>
    </cfRule>
  </conditionalFormatting>
  <conditionalFormatting sqref="E9:E10 F5:F8">
    <cfRule type="dataBar" priority="104">
      <dataBar>
        <cfvo type="min"/>
        <cfvo type="max"/>
        <color rgb="FF63C384"/>
      </dataBar>
      <extLst>
        <ext xmlns:x14="http://schemas.microsoft.com/office/spreadsheetml/2009/9/main" uri="{B025F937-C7B1-47D3-B67F-A62EFF666E3E}">
          <x14:id>{740A2B96-C6E5-4177-AC04-9573B81E30EC}</x14:id>
        </ext>
      </extLst>
    </cfRule>
  </conditionalFormatting>
  <conditionalFormatting sqref="F9:F10 G5:G8">
    <cfRule type="dataBar" priority="106">
      <dataBar>
        <cfvo type="min"/>
        <cfvo type="max"/>
        <color rgb="FF63C384"/>
      </dataBar>
      <extLst>
        <ext xmlns:x14="http://schemas.microsoft.com/office/spreadsheetml/2009/9/main" uri="{B025F937-C7B1-47D3-B67F-A62EFF666E3E}">
          <x14:id>{5EFE30C4-0901-404E-9108-731E3BE4821E}</x14:id>
        </ext>
      </extLst>
    </cfRule>
  </conditionalFormatting>
  <conditionalFormatting sqref="F16:F20">
    <cfRule type="dataBar" priority="122">
      <dataBar>
        <cfvo type="min"/>
        <cfvo type="max"/>
        <color rgb="FF63C384"/>
      </dataBar>
      <extLst>
        <ext xmlns:x14="http://schemas.microsoft.com/office/spreadsheetml/2009/9/main" uri="{B025F937-C7B1-47D3-B67F-A62EFF666E3E}">
          <x14:id>{5AA7A103-2149-42E1-9BBB-48A01258D43D}</x14:id>
        </ext>
      </extLst>
    </cfRule>
  </conditionalFormatting>
  <conditionalFormatting sqref="G9:G10 H5:H8">
    <cfRule type="dataBar" priority="108">
      <dataBar>
        <cfvo type="min"/>
        <cfvo type="max"/>
        <color rgb="FF63C384"/>
      </dataBar>
      <extLst>
        <ext xmlns:x14="http://schemas.microsoft.com/office/spreadsheetml/2009/9/main" uri="{B025F937-C7B1-47D3-B67F-A62EFF666E3E}">
          <x14:id>{A1F44ECC-EF2B-4606-87E9-B7F443AC18BF}</x14:id>
        </ext>
      </extLst>
    </cfRule>
  </conditionalFormatting>
  <conditionalFormatting sqref="G16:G20">
    <cfRule type="dataBar" priority="123">
      <dataBar>
        <cfvo type="min"/>
        <cfvo type="max"/>
        <color rgb="FF63C384"/>
      </dataBar>
      <extLst>
        <ext xmlns:x14="http://schemas.microsoft.com/office/spreadsheetml/2009/9/main" uri="{B025F937-C7B1-47D3-B67F-A62EFF666E3E}">
          <x14:id>{5EE1521A-2483-44CA-9CCA-E5FC63E6246F}</x14:id>
        </ext>
      </extLst>
    </cfRule>
  </conditionalFormatting>
  <conditionalFormatting sqref="H9:H10 I5:I8">
    <cfRule type="dataBar" priority="110">
      <dataBar>
        <cfvo type="min"/>
        <cfvo type="max"/>
        <color rgb="FF63C384"/>
      </dataBar>
      <extLst>
        <ext xmlns:x14="http://schemas.microsoft.com/office/spreadsheetml/2009/9/main" uri="{B025F937-C7B1-47D3-B67F-A62EFF666E3E}">
          <x14:id>{4320827E-AAAF-46DA-9F47-1F13F9C2B2E6}</x14:id>
        </ext>
      </extLst>
    </cfRule>
  </conditionalFormatting>
  <conditionalFormatting sqref="H16:H20">
    <cfRule type="dataBar" priority="124">
      <dataBar>
        <cfvo type="min"/>
        <cfvo type="max"/>
        <color rgb="FF63C384"/>
      </dataBar>
      <extLst>
        <ext xmlns:x14="http://schemas.microsoft.com/office/spreadsheetml/2009/9/main" uri="{B025F937-C7B1-47D3-B67F-A62EFF666E3E}">
          <x14:id>{00DC50B7-1706-4DFB-A90F-9F95CB19CA6D}</x14:id>
        </ext>
      </extLst>
    </cfRule>
  </conditionalFormatting>
  <conditionalFormatting sqref="I9:I10">
    <cfRule type="dataBar" priority="112">
      <dataBar>
        <cfvo type="min"/>
        <cfvo type="max"/>
        <color rgb="FF63C384"/>
      </dataBar>
      <extLst>
        <ext xmlns:x14="http://schemas.microsoft.com/office/spreadsheetml/2009/9/main" uri="{B025F937-C7B1-47D3-B67F-A62EFF666E3E}">
          <x14:id>{5091493A-8CC0-4646-874A-93DEE51CD4AB}</x14:id>
        </ext>
      </extLst>
    </cfRule>
  </conditionalFormatting>
  <conditionalFormatting sqref="I16:I20">
    <cfRule type="dataBar" priority="125">
      <dataBar>
        <cfvo type="min"/>
        <cfvo type="max"/>
        <color rgb="FF63C384"/>
      </dataBar>
      <extLst>
        <ext xmlns:x14="http://schemas.microsoft.com/office/spreadsheetml/2009/9/main" uri="{B025F937-C7B1-47D3-B67F-A62EFF666E3E}">
          <x14:id>{EED505F4-1AE5-4E85-A25F-1DAC1EADC97D}</x14:id>
        </ext>
      </extLst>
    </cfRule>
  </conditionalFormatting>
  <conditionalFormatting sqref="K9:K10 K5:O8">
    <cfRule type="dataBar" priority="113">
      <dataBar>
        <cfvo type="min"/>
        <cfvo type="max"/>
        <color rgb="FF63C384"/>
      </dataBar>
      <extLst>
        <ext xmlns:x14="http://schemas.microsoft.com/office/spreadsheetml/2009/9/main" uri="{B025F937-C7B1-47D3-B67F-A62EFF666E3E}">
          <x14:id>{5A27FB5F-AC6D-40FD-B152-7630C251B9C8}</x14:id>
        </ext>
      </extLst>
    </cfRule>
  </conditionalFormatting>
  <conditionalFormatting sqref="K5:O8">
    <cfRule type="dataBar" priority="115">
      <dataBar>
        <cfvo type="min"/>
        <cfvo type="max"/>
        <color rgb="FF63C384"/>
      </dataBar>
      <extLst>
        <ext xmlns:x14="http://schemas.microsoft.com/office/spreadsheetml/2009/9/main" uri="{B025F937-C7B1-47D3-B67F-A62EFF666E3E}">
          <x14:id>{1642E512-5328-4DB9-81F4-5A67EFFA2D7A}</x14:id>
        </ext>
      </extLst>
    </cfRule>
    <cfRule type="dataBar" priority="116">
      <dataBar>
        <cfvo type="min"/>
        <cfvo type="max"/>
        <color rgb="FF63C384"/>
      </dataBar>
      <extLst>
        <ext xmlns:x14="http://schemas.microsoft.com/office/spreadsheetml/2009/9/main" uri="{B025F937-C7B1-47D3-B67F-A62EFF666E3E}">
          <x14:id>{5832A442-CC22-41FC-AD17-86122538435B}</x14:id>
        </ext>
      </extLst>
    </cfRule>
  </conditionalFormatting>
  <conditionalFormatting sqref="K16:O20">
    <cfRule type="dataBar" priority="8">
      <dataBar>
        <cfvo type="min"/>
        <cfvo type="max"/>
        <color rgb="FF63C384"/>
      </dataBar>
      <extLst>
        <ext xmlns:x14="http://schemas.microsoft.com/office/spreadsheetml/2009/9/main" uri="{B025F937-C7B1-47D3-B67F-A62EFF666E3E}">
          <x14:id>{A85696C3-3FD4-4347-BBC8-6CEF041D9BC2}</x14:id>
        </ext>
      </extLst>
    </cfRule>
    <cfRule type="dataBar" priority="14">
      <dataBar>
        <cfvo type="min"/>
        <cfvo type="max"/>
        <color rgb="FF63C384"/>
      </dataBar>
      <extLst>
        <ext xmlns:x14="http://schemas.microsoft.com/office/spreadsheetml/2009/9/main" uri="{B025F937-C7B1-47D3-B67F-A62EFF666E3E}">
          <x14:id>{60785AC6-7D44-400D-A2D8-9BBBDC5C548B}</x14:id>
        </ext>
      </extLst>
    </cfRule>
    <cfRule type="dataBar" priority="25">
      <dataBar>
        <cfvo type="min"/>
        <cfvo type="max"/>
        <color rgb="FF63C384"/>
      </dataBar>
      <extLst>
        <ext xmlns:x14="http://schemas.microsoft.com/office/spreadsheetml/2009/9/main" uri="{B025F937-C7B1-47D3-B67F-A62EFF666E3E}">
          <x14:id>{4CBCF4A4-EFBB-41F0-984E-0C4EF2D8C81C}</x14:id>
        </ext>
      </extLst>
    </cfRule>
    <cfRule type="dataBar" priority="27">
      <dataBar>
        <cfvo type="min"/>
        <cfvo type="max"/>
        <color rgb="FF63C384"/>
      </dataBar>
      <extLst>
        <ext xmlns:x14="http://schemas.microsoft.com/office/spreadsheetml/2009/9/main" uri="{B025F937-C7B1-47D3-B67F-A62EFF666E3E}">
          <x14:id>{9095667E-69EE-4811-BEDE-AFA010708C3B}</x14:id>
        </ext>
      </extLst>
    </cfRule>
    <cfRule type="dataBar" priority="32">
      <dataBar>
        <cfvo type="min"/>
        <cfvo type="max"/>
        <color rgb="FF63C384"/>
      </dataBar>
      <extLst>
        <ext xmlns:x14="http://schemas.microsoft.com/office/spreadsheetml/2009/9/main" uri="{B025F937-C7B1-47D3-B67F-A62EFF666E3E}">
          <x14:id>{00030478-9DDE-4C48-B970-8BFEEA7887D7}</x14:id>
        </ext>
      </extLst>
    </cfRule>
    <cfRule type="dataBar" priority="34">
      <dataBar>
        <cfvo type="min"/>
        <cfvo type="max"/>
        <color rgb="FF63C384"/>
      </dataBar>
      <extLst>
        <ext xmlns:x14="http://schemas.microsoft.com/office/spreadsheetml/2009/9/main" uri="{B025F937-C7B1-47D3-B67F-A62EFF666E3E}">
          <x14:id>{BE9D279A-ADD8-46F4-B26E-577DEFFA037B}</x14:id>
        </ext>
      </extLst>
    </cfRule>
    <cfRule type="dataBar" priority="126">
      <dataBar>
        <cfvo type="min"/>
        <cfvo type="max"/>
        <color rgb="FF63C384"/>
      </dataBar>
      <extLst>
        <ext xmlns:x14="http://schemas.microsoft.com/office/spreadsheetml/2009/9/main" uri="{B025F937-C7B1-47D3-B67F-A62EFF666E3E}">
          <x14:id>{CBC457F7-3DB8-46A0-988B-11CCF8FF31E5}</x14:id>
        </ext>
      </extLst>
    </cfRule>
    <cfRule type="dataBar" priority="127">
      <dataBar>
        <cfvo type="min"/>
        <cfvo type="max"/>
        <color rgb="FF63C384"/>
      </dataBar>
      <extLst>
        <ext xmlns:x14="http://schemas.microsoft.com/office/spreadsheetml/2009/9/main" uri="{B025F937-C7B1-47D3-B67F-A62EFF666E3E}">
          <x14:id>{589E11FE-E342-4D21-9EB3-CB0F15AE87A6}</x14:id>
        </ext>
      </extLst>
    </cfRule>
  </conditionalFormatting>
  <conditionalFormatting sqref="L5:L10">
    <cfRule type="dataBar" priority="117">
      <dataBar>
        <cfvo type="min"/>
        <cfvo type="max"/>
        <color rgb="FF63C384"/>
      </dataBar>
      <extLst>
        <ext xmlns:x14="http://schemas.microsoft.com/office/spreadsheetml/2009/9/main" uri="{B025F937-C7B1-47D3-B67F-A62EFF666E3E}">
          <x14:id>{086E2BE5-AF7D-45A1-A497-EB3FB49CEB4D}</x14:id>
        </ext>
      </extLst>
    </cfRule>
  </conditionalFormatting>
  <conditionalFormatting sqref="L16:L20">
    <cfRule type="dataBar" priority="13">
      <dataBar>
        <cfvo type="min"/>
        <cfvo type="max"/>
        <color rgb="FF63C384"/>
      </dataBar>
      <extLst>
        <ext xmlns:x14="http://schemas.microsoft.com/office/spreadsheetml/2009/9/main" uri="{B025F937-C7B1-47D3-B67F-A62EFF666E3E}">
          <x14:id>{4BEF7755-0998-42F9-BE2B-3DDE71DD6879}</x14:id>
        </ext>
      </extLst>
    </cfRule>
  </conditionalFormatting>
  <conditionalFormatting sqref="M9:M10">
    <cfRule type="dataBar" priority="53">
      <dataBar>
        <cfvo type="min"/>
        <cfvo type="max"/>
        <color rgb="FF63C384"/>
      </dataBar>
      <extLst>
        <ext xmlns:x14="http://schemas.microsoft.com/office/spreadsheetml/2009/9/main" uri="{B025F937-C7B1-47D3-B67F-A62EFF666E3E}">
          <x14:id>{CF921376-951B-44A1-A35C-F489AA25CABD}</x14:id>
        </ext>
      </extLst>
    </cfRule>
  </conditionalFormatting>
  <conditionalFormatting sqref="M18:M20">
    <cfRule type="dataBar" priority="12">
      <dataBar>
        <cfvo type="min"/>
        <cfvo type="max"/>
        <color rgb="FF63C384"/>
      </dataBar>
      <extLst>
        <ext xmlns:x14="http://schemas.microsoft.com/office/spreadsheetml/2009/9/main" uri="{B025F937-C7B1-47D3-B67F-A62EFF666E3E}">
          <x14:id>{56FDBD16-DDEB-4D7A-98AA-9D8D76CB1BBA}</x14:id>
        </ext>
      </extLst>
    </cfRule>
  </conditionalFormatting>
  <conditionalFormatting sqref="M5:O8">
    <cfRule type="dataBar" priority="119">
      <dataBar>
        <cfvo type="min"/>
        <cfvo type="max"/>
        <color rgb="FF63C384"/>
      </dataBar>
      <extLst>
        <ext xmlns:x14="http://schemas.microsoft.com/office/spreadsheetml/2009/9/main" uri="{B025F937-C7B1-47D3-B67F-A62EFF666E3E}">
          <x14:id>{418255D3-2B96-41A9-9582-87939D7FAE81}</x14:id>
        </ext>
      </extLst>
    </cfRule>
  </conditionalFormatting>
  <conditionalFormatting sqref="N9:N10">
    <cfRule type="dataBar" priority="52">
      <dataBar>
        <cfvo type="min"/>
        <cfvo type="max"/>
        <color rgb="FF63C384"/>
      </dataBar>
      <extLst>
        <ext xmlns:x14="http://schemas.microsoft.com/office/spreadsheetml/2009/9/main" uri="{B025F937-C7B1-47D3-B67F-A62EFF666E3E}">
          <x14:id>{13101FF6-2EA7-4030-B4D6-DA0DA1C2F6A6}</x14:id>
        </ext>
      </extLst>
    </cfRule>
  </conditionalFormatting>
  <conditionalFormatting sqref="N16:N20">
    <cfRule type="dataBar" priority="11">
      <dataBar>
        <cfvo type="min"/>
        <cfvo type="max"/>
        <color rgb="FF63C384"/>
      </dataBar>
      <extLst>
        <ext xmlns:x14="http://schemas.microsoft.com/office/spreadsheetml/2009/9/main" uri="{B025F937-C7B1-47D3-B67F-A62EFF666E3E}">
          <x14:id>{E359D2BF-B4C7-4D3A-9103-4CBEE70A31B4}</x14:id>
        </ext>
      </extLst>
    </cfRule>
  </conditionalFormatting>
  <conditionalFormatting sqref="O9:O10">
    <cfRule type="dataBar" priority="51">
      <dataBar>
        <cfvo type="min"/>
        <cfvo type="max"/>
        <color rgb="FF63C384"/>
      </dataBar>
      <extLst>
        <ext xmlns:x14="http://schemas.microsoft.com/office/spreadsheetml/2009/9/main" uri="{B025F937-C7B1-47D3-B67F-A62EFF666E3E}">
          <x14:id>{1F18C40A-A33A-4D0B-B57F-47D9D6CF0D64}</x14:id>
        </ext>
      </extLst>
    </cfRule>
  </conditionalFormatting>
  <conditionalFormatting sqref="O16:O20">
    <cfRule type="dataBar" priority="10">
      <dataBar>
        <cfvo type="min"/>
        <cfvo type="max"/>
        <color rgb="FF63C384"/>
      </dataBar>
      <extLst>
        <ext xmlns:x14="http://schemas.microsoft.com/office/spreadsheetml/2009/9/main" uri="{B025F937-C7B1-47D3-B67F-A62EFF666E3E}">
          <x14:id>{26AC0999-7FF4-4431-B91F-7A7C0E85B670}</x14:id>
        </ext>
      </extLst>
    </cfRule>
  </conditionalFormatting>
  <hyperlinks>
    <hyperlink ref="B38" r:id="rId1" display="Biscuits Market - Share, Trends &amp; Industry Analysis (mordorintelligence.com)" xr:uid="{ADB1FCBD-4433-4618-8F12-FB36E7FF497B}"/>
    <hyperlink ref="B37" r:id="rId2" display="Chocolate Market Size &amp; Share Analysis - Industry Research Report - Growth Trends (mordorintelligence.com)" xr:uid="{8BEAA45D-B9D6-4ADF-A2AF-9143BD7832EC}"/>
    <hyperlink ref="B39" r:id="rId3" display="Baked Savory Snacks Market Size, Share, Growth | Trends, 2029 (fortunebusinessinsights.com)" xr:uid="{70F85DCA-35CF-4F9C-AACD-13415AB0BB0C}"/>
  </hyperlinks>
  <pageMargins left="0.75" right="0.75" top="1" bottom="1" header="0" footer="0"/>
  <pageSetup orientation="landscape" r:id="rId4"/>
  <headerFooter alignWithMargins="0"/>
  <drawing r:id="rId5"/>
  <extLst>
    <ext xmlns:x14="http://schemas.microsoft.com/office/spreadsheetml/2009/9/main" uri="{78C0D931-6437-407d-A8EE-F0AAD7539E65}">
      <x14:conditionalFormattings>
        <x14:conditionalFormatting xmlns:xm="http://schemas.microsoft.com/office/excel/2006/main">
          <x14:cfRule type="dataBar" id="{6E381EE6-DF6C-4880-BDC6-793A4FBC9886}">
            <x14:dataBar minLength="0" maxLength="100" border="1" negativeBarBorderColorSameAsPositive="0">
              <x14:cfvo type="autoMin"/>
              <x14:cfvo type="autoMax"/>
              <x14:borderColor rgb="FF638EC6"/>
              <x14:negativeFillColor rgb="FFFF0000"/>
              <x14:negativeBorderColor rgb="FFFF0000"/>
              <x14:axisColor rgb="FF000000"/>
            </x14:dataBar>
          </x14:cfRule>
          <xm:sqref>B5:B10</xm:sqref>
        </x14:conditionalFormatting>
        <x14:conditionalFormatting xmlns:xm="http://schemas.microsoft.com/office/excel/2006/main">
          <x14:cfRule type="dataBar" id="{070902CC-8EB6-43DB-B9AD-5811F17D394B}">
            <x14:dataBar minLength="0" maxLength="100" border="1" negativeBarBorderColorSameAsPositive="0">
              <x14:cfvo type="autoMin"/>
              <x14:cfvo type="autoMax"/>
              <x14:borderColor rgb="FF638EC6"/>
              <x14:negativeFillColor rgb="FFFF0000"/>
              <x14:negativeBorderColor rgb="FFFF0000"/>
              <x14:axisColor rgb="FF000000"/>
            </x14:dataBar>
          </x14:cfRule>
          <xm:sqref>B16:B20</xm:sqref>
        </x14:conditionalFormatting>
        <x14:conditionalFormatting xmlns:xm="http://schemas.microsoft.com/office/excel/2006/main">
          <x14:cfRule type="dataBar" id="{767D33FE-8570-4B26-81B7-5505E2A08A62}">
            <x14:dataBar minLength="0" maxLength="100" gradient="0">
              <x14:cfvo type="autoMin"/>
              <x14:cfvo type="autoMax"/>
              <x14:negativeFillColor rgb="FFFF0000"/>
              <x14:axisColor rgb="FF000000"/>
            </x14:dataBar>
          </x14:cfRule>
          <xm:sqref>D9:D10 D5:E8</xm:sqref>
        </x14:conditionalFormatting>
        <x14:conditionalFormatting xmlns:xm="http://schemas.microsoft.com/office/excel/2006/main">
          <x14:cfRule type="dataBar" id="{3F107DCC-63A1-497B-B919-528218A545C1}">
            <x14:dataBar minLength="0" maxLength="100" gradient="0">
              <x14:cfvo type="autoMin"/>
              <x14:cfvo type="autoMax"/>
              <x14:negativeFillColor rgb="FFFF0000"/>
              <x14:axisColor rgb="FF000000"/>
            </x14:dataBar>
          </x14:cfRule>
          <xm:sqref>D16:H20</xm:sqref>
        </x14:conditionalFormatting>
        <x14:conditionalFormatting xmlns:xm="http://schemas.microsoft.com/office/excel/2006/main">
          <x14:cfRule type="dataBar" id="{83BDDF4E-0A7D-4B3E-A60B-AD52AC0FFA68}">
            <x14:dataBar minLength="0" maxLength="100" gradient="0">
              <x14:cfvo type="autoMin"/>
              <x14:cfvo type="autoMax"/>
              <x14:negativeFillColor rgb="FFFF0000"/>
              <x14:axisColor rgb="FF000000"/>
            </x14:dataBar>
          </x14:cfRule>
          <xm:sqref>D5:I8</xm:sqref>
        </x14:conditionalFormatting>
        <x14:conditionalFormatting xmlns:xm="http://schemas.microsoft.com/office/excel/2006/main">
          <x14:cfRule type="dataBar" id="{5BBC426E-7FA9-4F5C-AC78-B3996BA8F931}">
            <x14:dataBar minLength="0" maxLength="100" gradient="0">
              <x14:cfvo type="autoMin"/>
              <x14:cfvo type="autoMax"/>
              <x14:negativeFillColor rgb="FFFF0000"/>
              <x14:axisColor rgb="FF000000"/>
            </x14:dataBar>
          </x14:cfRule>
          <xm:sqref>D16:I20</xm:sqref>
        </x14:conditionalFormatting>
        <x14:conditionalFormatting xmlns:xm="http://schemas.microsoft.com/office/excel/2006/main">
          <x14:cfRule type="dataBar" id="{740A2B96-C6E5-4177-AC04-9573B81E30EC}">
            <x14:dataBar minLength="0" maxLength="100" gradient="0">
              <x14:cfvo type="autoMin"/>
              <x14:cfvo type="autoMax"/>
              <x14:negativeFillColor rgb="FFFF0000"/>
              <x14:axisColor rgb="FF000000"/>
            </x14:dataBar>
          </x14:cfRule>
          <xm:sqref>E9:E10 F5:F8</xm:sqref>
        </x14:conditionalFormatting>
        <x14:conditionalFormatting xmlns:xm="http://schemas.microsoft.com/office/excel/2006/main">
          <x14:cfRule type="dataBar" id="{5EFE30C4-0901-404E-9108-731E3BE4821E}">
            <x14:dataBar minLength="0" maxLength="100" gradient="0">
              <x14:cfvo type="autoMin"/>
              <x14:cfvo type="autoMax"/>
              <x14:negativeFillColor rgb="FFFF0000"/>
              <x14:axisColor rgb="FF000000"/>
            </x14:dataBar>
          </x14:cfRule>
          <xm:sqref>F9:F10 G5:G8</xm:sqref>
        </x14:conditionalFormatting>
        <x14:conditionalFormatting xmlns:xm="http://schemas.microsoft.com/office/excel/2006/main">
          <x14:cfRule type="dataBar" id="{5AA7A103-2149-42E1-9BBB-48A01258D43D}">
            <x14:dataBar minLength="0" maxLength="100" gradient="0">
              <x14:cfvo type="autoMin"/>
              <x14:cfvo type="autoMax"/>
              <x14:negativeFillColor rgb="FFFF0000"/>
              <x14:axisColor rgb="FF000000"/>
            </x14:dataBar>
          </x14:cfRule>
          <xm:sqref>F16:F20</xm:sqref>
        </x14:conditionalFormatting>
        <x14:conditionalFormatting xmlns:xm="http://schemas.microsoft.com/office/excel/2006/main">
          <x14:cfRule type="dataBar" id="{A1F44ECC-EF2B-4606-87E9-B7F443AC18BF}">
            <x14:dataBar minLength="0" maxLength="100" gradient="0">
              <x14:cfvo type="autoMin"/>
              <x14:cfvo type="autoMax"/>
              <x14:negativeFillColor rgb="FFFF0000"/>
              <x14:axisColor rgb="FF000000"/>
            </x14:dataBar>
          </x14:cfRule>
          <xm:sqref>G9:G10 H5:H8</xm:sqref>
        </x14:conditionalFormatting>
        <x14:conditionalFormatting xmlns:xm="http://schemas.microsoft.com/office/excel/2006/main">
          <x14:cfRule type="dataBar" id="{5EE1521A-2483-44CA-9CCA-E5FC63E6246F}">
            <x14:dataBar minLength="0" maxLength="100" gradient="0">
              <x14:cfvo type="autoMin"/>
              <x14:cfvo type="autoMax"/>
              <x14:negativeFillColor rgb="FFFF0000"/>
              <x14:axisColor rgb="FF000000"/>
            </x14:dataBar>
          </x14:cfRule>
          <xm:sqref>G16:G20</xm:sqref>
        </x14:conditionalFormatting>
        <x14:conditionalFormatting xmlns:xm="http://schemas.microsoft.com/office/excel/2006/main">
          <x14:cfRule type="dataBar" id="{4320827E-AAAF-46DA-9F47-1F13F9C2B2E6}">
            <x14:dataBar minLength="0" maxLength="100" gradient="0">
              <x14:cfvo type="autoMin"/>
              <x14:cfvo type="autoMax"/>
              <x14:negativeFillColor rgb="FFFF0000"/>
              <x14:axisColor rgb="FF000000"/>
            </x14:dataBar>
          </x14:cfRule>
          <xm:sqref>H9:H10 I5:I8</xm:sqref>
        </x14:conditionalFormatting>
        <x14:conditionalFormatting xmlns:xm="http://schemas.microsoft.com/office/excel/2006/main">
          <x14:cfRule type="dataBar" id="{00DC50B7-1706-4DFB-A90F-9F95CB19CA6D}">
            <x14:dataBar minLength="0" maxLength="100" gradient="0">
              <x14:cfvo type="autoMin"/>
              <x14:cfvo type="autoMax"/>
              <x14:negativeFillColor rgb="FFFF0000"/>
              <x14:axisColor rgb="FF000000"/>
            </x14:dataBar>
          </x14:cfRule>
          <xm:sqref>H16:H20</xm:sqref>
        </x14:conditionalFormatting>
        <x14:conditionalFormatting xmlns:xm="http://schemas.microsoft.com/office/excel/2006/main">
          <x14:cfRule type="dataBar" id="{5091493A-8CC0-4646-874A-93DEE51CD4AB}">
            <x14:dataBar minLength="0" maxLength="100" gradient="0">
              <x14:cfvo type="autoMin"/>
              <x14:cfvo type="autoMax"/>
              <x14:negativeFillColor rgb="FFFF0000"/>
              <x14:axisColor rgb="FF000000"/>
            </x14:dataBar>
          </x14:cfRule>
          <xm:sqref>I9:I10</xm:sqref>
        </x14:conditionalFormatting>
        <x14:conditionalFormatting xmlns:xm="http://schemas.microsoft.com/office/excel/2006/main">
          <x14:cfRule type="dataBar" id="{EED505F4-1AE5-4E85-A25F-1DAC1EADC97D}">
            <x14:dataBar minLength="0" maxLength="100" gradient="0">
              <x14:cfvo type="autoMin"/>
              <x14:cfvo type="autoMax"/>
              <x14:negativeFillColor rgb="FFFF0000"/>
              <x14:axisColor rgb="FF000000"/>
            </x14:dataBar>
          </x14:cfRule>
          <xm:sqref>I16:I20</xm:sqref>
        </x14:conditionalFormatting>
        <x14:conditionalFormatting xmlns:xm="http://schemas.microsoft.com/office/excel/2006/main">
          <x14:cfRule type="dataBar" id="{5A27FB5F-AC6D-40FD-B152-7630C251B9C8}">
            <x14:dataBar minLength="0" maxLength="100" gradient="0">
              <x14:cfvo type="autoMin"/>
              <x14:cfvo type="autoMax"/>
              <x14:negativeFillColor rgb="FFFF0000"/>
              <x14:axisColor rgb="FF000000"/>
            </x14:dataBar>
          </x14:cfRule>
          <xm:sqref>K9:K10 K5:O8</xm:sqref>
        </x14:conditionalFormatting>
        <x14:conditionalFormatting xmlns:xm="http://schemas.microsoft.com/office/excel/2006/main">
          <x14:cfRule type="dataBar" id="{1642E512-5328-4DB9-81F4-5A67EFFA2D7A}">
            <x14:dataBar minLength="0" maxLength="100" gradient="0">
              <x14:cfvo type="autoMin"/>
              <x14:cfvo type="autoMax"/>
              <x14:negativeFillColor rgb="FFFF0000"/>
              <x14:axisColor rgb="FF000000"/>
            </x14:dataBar>
          </x14:cfRule>
          <x14:cfRule type="dataBar" id="{5832A442-CC22-41FC-AD17-86122538435B}">
            <x14:dataBar minLength="0" maxLength="100" border="1" negativeBarBorderColorSameAsPositive="0">
              <x14:cfvo type="autoMin"/>
              <x14:cfvo type="autoMax"/>
              <x14:borderColor rgb="FF63C384"/>
              <x14:negativeFillColor rgb="FFFF0000"/>
              <x14:negativeBorderColor rgb="FFFF0000"/>
              <x14:axisColor rgb="FF000000"/>
            </x14:dataBar>
          </x14:cfRule>
          <xm:sqref>K5:O8</xm:sqref>
        </x14:conditionalFormatting>
        <x14:conditionalFormatting xmlns:xm="http://schemas.microsoft.com/office/excel/2006/main">
          <x14:cfRule type="dataBar" id="{A85696C3-3FD4-4347-BBC8-6CEF041D9BC2}">
            <x14:dataBar minLength="0" maxLength="100" gradient="0">
              <x14:cfvo type="autoMin"/>
              <x14:cfvo type="autoMax"/>
              <x14:negativeFillColor rgb="FFFF0000"/>
              <x14:axisColor rgb="FF000000"/>
            </x14:dataBar>
          </x14:cfRule>
          <x14:cfRule type="dataBar" id="{60785AC6-7D44-400D-A2D8-9BBBDC5C548B}">
            <x14:dataBar minLength="0" maxLength="100" gradient="0">
              <x14:cfvo type="autoMin"/>
              <x14:cfvo type="autoMax"/>
              <x14:negativeFillColor rgb="FFFF0000"/>
              <x14:axisColor rgb="FF000000"/>
            </x14:dataBar>
          </x14:cfRule>
          <x14:cfRule type="dataBar" id="{4CBCF4A4-EFBB-41F0-984E-0C4EF2D8C81C}">
            <x14:dataBar minLength="0" maxLength="100" gradient="0">
              <x14:cfvo type="autoMin"/>
              <x14:cfvo type="autoMax"/>
              <x14:negativeFillColor rgb="FFFF0000"/>
              <x14:axisColor rgb="FF000000"/>
            </x14:dataBar>
          </x14:cfRule>
          <x14:cfRule type="dataBar" id="{9095667E-69EE-4811-BEDE-AFA010708C3B}">
            <x14:dataBar minLength="0" maxLength="100" gradient="0">
              <x14:cfvo type="autoMin"/>
              <x14:cfvo type="autoMax"/>
              <x14:negativeFillColor rgb="FFFF0000"/>
              <x14:axisColor rgb="FF000000"/>
            </x14:dataBar>
          </x14:cfRule>
          <x14:cfRule type="dataBar" id="{00030478-9DDE-4C48-B970-8BFEEA7887D7}">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BE9D279A-ADD8-46F4-B26E-577DEFFA037B}">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CBC457F7-3DB8-46A0-988B-11CCF8FF31E5}">
            <x14:dataBar minLength="0" maxLength="100" gradient="0">
              <x14:cfvo type="autoMin"/>
              <x14:cfvo type="autoMax"/>
              <x14:negativeFillColor rgb="FFFF0000"/>
              <x14:axisColor rgb="FF000000"/>
            </x14:dataBar>
          </x14:cfRule>
          <x14:cfRule type="dataBar" id="{589E11FE-E342-4D21-9EB3-CB0F15AE87A6}">
            <x14:dataBar minLength="0" maxLength="100" gradient="0">
              <x14:cfvo type="autoMin"/>
              <x14:cfvo type="autoMax"/>
              <x14:negativeFillColor rgb="FFFF0000"/>
              <x14:axisColor rgb="FF000000"/>
            </x14:dataBar>
          </x14:cfRule>
          <xm:sqref>K16:O20</xm:sqref>
        </x14:conditionalFormatting>
        <x14:conditionalFormatting xmlns:xm="http://schemas.microsoft.com/office/excel/2006/main">
          <x14:cfRule type="dataBar" id="{086E2BE5-AF7D-45A1-A497-EB3FB49CEB4D}">
            <x14:dataBar minLength="0" maxLength="100" gradient="0">
              <x14:cfvo type="autoMin"/>
              <x14:cfvo type="autoMax"/>
              <x14:negativeFillColor rgb="FFFF0000"/>
              <x14:axisColor rgb="FF000000"/>
            </x14:dataBar>
          </x14:cfRule>
          <xm:sqref>L5:L10</xm:sqref>
        </x14:conditionalFormatting>
        <x14:conditionalFormatting xmlns:xm="http://schemas.microsoft.com/office/excel/2006/main">
          <x14:cfRule type="dataBar" id="{4BEF7755-0998-42F9-BE2B-3DDE71DD6879}">
            <x14:dataBar minLength="0" maxLength="100" gradient="0">
              <x14:cfvo type="autoMin"/>
              <x14:cfvo type="autoMax"/>
              <x14:negativeFillColor rgb="FFFF0000"/>
              <x14:axisColor rgb="FF000000"/>
            </x14:dataBar>
          </x14:cfRule>
          <xm:sqref>L16:L20</xm:sqref>
        </x14:conditionalFormatting>
        <x14:conditionalFormatting xmlns:xm="http://schemas.microsoft.com/office/excel/2006/main">
          <x14:cfRule type="dataBar" id="{CF921376-951B-44A1-A35C-F489AA25CABD}">
            <x14:dataBar minLength="0" maxLength="100" gradient="0">
              <x14:cfvo type="autoMin"/>
              <x14:cfvo type="autoMax"/>
              <x14:negativeFillColor rgb="FFFF0000"/>
              <x14:axisColor rgb="FF000000"/>
            </x14:dataBar>
          </x14:cfRule>
          <xm:sqref>M9:M10</xm:sqref>
        </x14:conditionalFormatting>
        <x14:conditionalFormatting xmlns:xm="http://schemas.microsoft.com/office/excel/2006/main">
          <x14:cfRule type="dataBar" id="{56FDBD16-DDEB-4D7A-98AA-9D8D76CB1BBA}">
            <x14:dataBar minLength="0" maxLength="100" gradient="0">
              <x14:cfvo type="autoMin"/>
              <x14:cfvo type="autoMax"/>
              <x14:negativeFillColor rgb="FFFF0000"/>
              <x14:axisColor rgb="FF000000"/>
            </x14:dataBar>
          </x14:cfRule>
          <xm:sqref>M18:M20</xm:sqref>
        </x14:conditionalFormatting>
        <x14:conditionalFormatting xmlns:xm="http://schemas.microsoft.com/office/excel/2006/main">
          <x14:cfRule type="dataBar" id="{418255D3-2B96-41A9-9582-87939D7FAE81}">
            <x14:dataBar minLength="0" maxLength="100" gradient="0">
              <x14:cfvo type="autoMin"/>
              <x14:cfvo type="autoMax"/>
              <x14:negativeFillColor rgb="FFFF0000"/>
              <x14:axisColor rgb="FF000000"/>
            </x14:dataBar>
          </x14:cfRule>
          <xm:sqref>M5:O8</xm:sqref>
        </x14:conditionalFormatting>
        <x14:conditionalFormatting xmlns:xm="http://schemas.microsoft.com/office/excel/2006/main">
          <x14:cfRule type="dataBar" id="{13101FF6-2EA7-4030-B4D6-DA0DA1C2F6A6}">
            <x14:dataBar minLength="0" maxLength="100" gradient="0">
              <x14:cfvo type="autoMin"/>
              <x14:cfvo type="autoMax"/>
              <x14:negativeFillColor rgb="FFFF0000"/>
              <x14:axisColor rgb="FF000000"/>
            </x14:dataBar>
          </x14:cfRule>
          <xm:sqref>N9:N10</xm:sqref>
        </x14:conditionalFormatting>
        <x14:conditionalFormatting xmlns:xm="http://schemas.microsoft.com/office/excel/2006/main">
          <x14:cfRule type="dataBar" id="{E359D2BF-B4C7-4D3A-9103-4CBEE70A31B4}">
            <x14:dataBar minLength="0" maxLength="100" gradient="0">
              <x14:cfvo type="autoMin"/>
              <x14:cfvo type="autoMax"/>
              <x14:negativeFillColor rgb="FFFF0000"/>
              <x14:axisColor rgb="FF000000"/>
            </x14:dataBar>
          </x14:cfRule>
          <xm:sqref>N16:N20</xm:sqref>
        </x14:conditionalFormatting>
        <x14:conditionalFormatting xmlns:xm="http://schemas.microsoft.com/office/excel/2006/main">
          <x14:cfRule type="dataBar" id="{1F18C40A-A33A-4D0B-B57F-47D9D6CF0D64}">
            <x14:dataBar minLength="0" maxLength="100" gradient="0">
              <x14:cfvo type="autoMin"/>
              <x14:cfvo type="autoMax"/>
              <x14:negativeFillColor rgb="FFFF0000"/>
              <x14:axisColor rgb="FF000000"/>
            </x14:dataBar>
          </x14:cfRule>
          <xm:sqref>O9:O10</xm:sqref>
        </x14:conditionalFormatting>
        <x14:conditionalFormatting xmlns:xm="http://schemas.microsoft.com/office/excel/2006/main">
          <x14:cfRule type="dataBar" id="{26AC0999-7FF4-4431-B91F-7A7C0E85B670}">
            <x14:dataBar minLength="0" maxLength="100" gradient="0">
              <x14:cfvo type="autoMin"/>
              <x14:cfvo type="autoMax"/>
              <x14:negativeFillColor rgb="FFFF0000"/>
              <x14:axisColor rgb="FF000000"/>
            </x14:dataBar>
          </x14:cfRule>
          <xm:sqref>O16:O20</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sheetPr>
  <dimension ref="A1:M90"/>
  <sheetViews>
    <sheetView showGridLines="0" topLeftCell="A22" zoomScale="85" zoomScaleNormal="85" workbookViewId="0">
      <selection activeCell="C45" sqref="C45"/>
    </sheetView>
  </sheetViews>
  <sheetFormatPr defaultColWidth="11.42578125" defaultRowHeight="12.75" customHeight="1"/>
  <cols>
    <col min="1" max="1" width="0.42578125" customWidth="1"/>
    <col min="2" max="2" width="31.7109375" bestFit="1" customWidth="1"/>
    <col min="3" max="4" width="32.140625" customWidth="1"/>
    <col min="5" max="5" width="33.42578125" customWidth="1"/>
    <col min="6" max="6" width="33.85546875" customWidth="1"/>
    <col min="7" max="7" width="32.140625" customWidth="1"/>
    <col min="8" max="8" width="15.42578125" customWidth="1"/>
    <col min="9" max="9" width="11.7109375" customWidth="1"/>
  </cols>
  <sheetData>
    <row r="1" spans="2:13" ht="13.9">
      <c r="B1" s="189" t="s">
        <v>229</v>
      </c>
      <c r="C1" s="190" t="s">
        <v>230</v>
      </c>
      <c r="D1" s="1237" t="s">
        <v>200</v>
      </c>
      <c r="E1" s="1237"/>
      <c r="F1" s="1237"/>
      <c r="G1" s="1237"/>
    </row>
    <row r="2" spans="2:13" ht="108" customHeight="1">
      <c r="B2" s="191"/>
      <c r="C2" s="382" t="e" vm="2">
        <v>#VALUE!</v>
      </c>
      <c r="D2" s="1234" t="s">
        <v>231</v>
      </c>
      <c r="E2" s="1235"/>
      <c r="F2" s="1235"/>
      <c r="G2" s="1236"/>
    </row>
    <row r="3" spans="2:13" ht="113.25" customHeight="1">
      <c r="B3" s="191"/>
      <c r="C3" s="383" t="e" vm="3">
        <v>#VALUE!</v>
      </c>
      <c r="D3" s="1234" t="s">
        <v>232</v>
      </c>
      <c r="E3" s="1235"/>
      <c r="F3" s="1235"/>
      <c r="G3" s="1236"/>
    </row>
    <row r="4" spans="2:13" ht="106.5" customHeight="1">
      <c r="B4" t="e" vm="6">
        <v>#VALUE!</v>
      </c>
      <c r="C4" s="384" t="e" vm="4">
        <v>#VALUE!</v>
      </c>
      <c r="D4" s="1234" t="s">
        <v>233</v>
      </c>
      <c r="E4" s="1235"/>
      <c r="F4" s="1235"/>
      <c r="G4" s="1236"/>
    </row>
    <row r="5" spans="2:13" ht="96.75" customHeight="1">
      <c r="B5" s="191"/>
      <c r="C5" s="385" t="e" vm="5">
        <v>#VALUE!</v>
      </c>
      <c r="D5" s="1234" t="s">
        <v>234</v>
      </c>
      <c r="E5" s="1235"/>
      <c r="F5" s="1235"/>
      <c r="G5" s="1236"/>
    </row>
    <row r="6" spans="2:13" ht="13.15">
      <c r="B6" s="11"/>
    </row>
    <row r="7" spans="2:13" ht="54.75" customHeight="1">
      <c r="B7" s="188" t="s">
        <v>235</v>
      </c>
      <c r="C7" s="378" t="e" vm="1">
        <f>OP!E2</f>
        <v>#VALUE!</v>
      </c>
      <c r="D7" s="379" t="e" vm="2">
        <f>C2</f>
        <v>#VALUE!</v>
      </c>
      <c r="E7" s="380" t="e" vm="3">
        <f>C3</f>
        <v>#VALUE!</v>
      </c>
      <c r="F7" s="381" t="e" vm="4">
        <f>C4</f>
        <v>#VALUE!</v>
      </c>
      <c r="G7" s="657" t="e" vm="5">
        <f>C5</f>
        <v>#VALUE!</v>
      </c>
      <c r="H7" s="184" t="s">
        <v>236</v>
      </c>
      <c r="I7" s="614" t="s">
        <v>237</v>
      </c>
    </row>
    <row r="8" spans="2:13" ht="16.5" customHeight="1" thickBot="1">
      <c r="B8" s="182" t="s">
        <v>238</v>
      </c>
      <c r="C8" s="171"/>
      <c r="D8" s="172"/>
      <c r="E8" s="172"/>
      <c r="F8" s="172"/>
      <c r="G8" s="172"/>
      <c r="H8" s="173" t="str">
        <f t="shared" ref="H8" si="0">IFERROR(AVERAGE(C8:G8),"")</f>
        <v/>
      </c>
      <c r="I8" s="590"/>
      <c r="K8" s="1241" t="s">
        <v>239</v>
      </c>
      <c r="L8" s="1242"/>
      <c r="M8" s="1243"/>
    </row>
    <row r="9" spans="2:13" ht="13.5" customHeight="1" thickBot="1">
      <c r="B9" s="181" t="s">
        <v>240</v>
      </c>
      <c r="C9" s="705" cm="1">
        <f t="array" aca="1" ref="C9" ca="1">_FV(C7,"Market cap",TRUE)/1000000</f>
        <v>99223.05</v>
      </c>
      <c r="D9" s="169" cm="1">
        <f t="array" aca="1" ref="D9" ca="1">_FV(D7,"Market cap",TRUE)/1000000</f>
        <v>39533.1</v>
      </c>
      <c r="E9" s="734" cm="1">
        <f t="array" aca="1" ref="E9" ca="1">_FV(E7,"Market cap",TRUE)/1000000</f>
        <v>2305.098</v>
      </c>
      <c r="F9" s="169">
        <v>31417.08</v>
      </c>
      <c r="G9" s="169" cm="1">
        <f t="array" aca="1" ref="G9" ca="1">_FV(G7,"Market cap",TRUE)/1000000</f>
        <v>24231.23</v>
      </c>
      <c r="H9" s="551">
        <f ca="1">IFERROR(AVERAGE(C9,D9,F9,G9),"")</f>
        <v>48601.114999999998</v>
      </c>
      <c r="I9" s="591">
        <f ca="1">SQRT((C9-H9)^2)</f>
        <v>50621.935000000005</v>
      </c>
      <c r="K9" s="1244"/>
      <c r="L9" s="1239" t="s">
        <v>241</v>
      </c>
      <c r="M9" s="1240"/>
    </row>
    <row r="10" spans="2:13" ht="13.9" thickBot="1">
      <c r="B10" s="524" t="s">
        <v>242</v>
      </c>
      <c r="C10" s="706">
        <f>C55</f>
        <v>36016</v>
      </c>
      <c r="D10" s="525">
        <f t="shared" ref="D10:G10" si="1">D55</f>
        <v>11165</v>
      </c>
      <c r="E10" s="735">
        <f t="shared" si="1"/>
        <v>789</v>
      </c>
      <c r="F10" s="525">
        <f t="shared" si="1"/>
        <v>103104.78</v>
      </c>
      <c r="G10" s="525">
        <f t="shared" si="1"/>
        <v>6185.2670399999997</v>
      </c>
      <c r="H10" s="551">
        <f>IFERROR(AVERAGE(C10,D10,F10,G10),"")</f>
        <v>39117.761760000001</v>
      </c>
      <c r="I10" s="592">
        <f>SQRT((C10-H10)^2)</f>
        <v>3101.7617600000012</v>
      </c>
      <c r="K10" s="1244"/>
      <c r="L10" s="1239"/>
      <c r="M10" s="1240"/>
    </row>
    <row r="11" spans="2:13" ht="16.5" customHeight="1" thickBot="1">
      <c r="B11" s="182" t="s">
        <v>243</v>
      </c>
      <c r="C11" s="187"/>
      <c r="D11" s="187"/>
      <c r="E11" s="187"/>
      <c r="F11" s="187"/>
      <c r="G11" s="187"/>
      <c r="H11" s="187" t="str">
        <f t="shared" ref="H11" si="2">IFERROR(AVERAGE(C11,D11,F11,G11),"")</f>
        <v/>
      </c>
      <c r="I11" s="593"/>
      <c r="K11" s="1238"/>
      <c r="L11" s="1239" t="s">
        <v>244</v>
      </c>
      <c r="M11" s="1240"/>
    </row>
    <row r="12" spans="2:13" ht="13.9" thickBot="1">
      <c r="B12" s="181" t="s">
        <v>245</v>
      </c>
      <c r="C12" s="701">
        <f>C55/C54-1</f>
        <v>0.143510287020574</v>
      </c>
      <c r="D12" s="534">
        <f t="shared" ref="D12:G12" si="3">D55/D54-1</f>
        <v>7.1599961608599605E-2</v>
      </c>
      <c r="E12" s="534">
        <f t="shared" si="3"/>
        <v>0.15014577259475215</v>
      </c>
      <c r="F12" s="534">
        <f t="shared" si="3"/>
        <v>-1.5077029155329602E-2</v>
      </c>
      <c r="G12" s="534">
        <f t="shared" si="3"/>
        <v>4.647700293750745E-2</v>
      </c>
      <c r="H12" s="552">
        <f>IFERROR(AVERAGE(C12,D12,F12,G12),"")</f>
        <v>6.1627555602837863E-2</v>
      </c>
      <c r="I12" s="594">
        <f t="shared" ref="I12:I17" si="4">SQRT((C12-H12)^2)</f>
        <v>8.1882731417736138E-2</v>
      </c>
      <c r="K12" s="1238"/>
      <c r="L12" s="1239"/>
      <c r="M12" s="1240"/>
    </row>
    <row r="13" spans="2:13" ht="13.9" thickBot="1">
      <c r="B13" s="526" t="s">
        <v>246</v>
      </c>
      <c r="C13" s="702">
        <f>C55/C53-1</f>
        <v>0.35495278582446099</v>
      </c>
      <c r="D13" s="702">
        <f t="shared" ref="D13:G13" si="5">D55/D53-1</f>
        <v>0.36993865030674855</v>
      </c>
      <c r="E13" s="703">
        <f>E55/E53-1</f>
        <v>0.67515923566878988</v>
      </c>
      <c r="F13" s="527">
        <f t="shared" si="5"/>
        <v>0.10238430072248272</v>
      </c>
      <c r="G13" s="527">
        <f t="shared" si="5"/>
        <v>0.29486158135829488</v>
      </c>
      <c r="H13" s="552">
        <f t="shared" ref="H13:H23" si="6">IFERROR(AVERAGE(C13,D13,F13,G13),"")</f>
        <v>0.28053432955299679</v>
      </c>
      <c r="I13" s="595">
        <f t="shared" si="4"/>
        <v>7.4418456271464206E-2</v>
      </c>
      <c r="K13" s="1245"/>
      <c r="L13" s="1239" t="s">
        <v>247</v>
      </c>
      <c r="M13" s="1240"/>
    </row>
    <row r="14" spans="2:13" ht="13.9" thickBot="1">
      <c r="B14" s="535" t="s">
        <v>123</v>
      </c>
      <c r="C14" s="703">
        <f>C58/C55</f>
        <v>0.15273767214571302</v>
      </c>
      <c r="D14" s="702">
        <f t="shared" ref="D14:G14" si="7">D58/D55</f>
        <v>0.22686968204209584</v>
      </c>
      <c r="E14" s="536">
        <f t="shared" si="7"/>
        <v>0.15209125475285171</v>
      </c>
      <c r="F14" s="536">
        <f t="shared" si="7"/>
        <v>0.15367803510176736</v>
      </c>
      <c r="G14" s="536">
        <f t="shared" si="7"/>
        <v>0.1578674152118742</v>
      </c>
      <c r="H14" s="552">
        <f t="shared" si="6"/>
        <v>0.17278820112536261</v>
      </c>
      <c r="I14" s="596">
        <f>SQRT((C14-H14)^2)</f>
        <v>2.0050528979649596E-2</v>
      </c>
      <c r="K14" s="1246"/>
      <c r="L14" s="1247"/>
      <c r="M14" s="1248"/>
    </row>
    <row r="15" spans="2:13" ht="13.9" thickBot="1">
      <c r="B15" s="526" t="s">
        <v>248</v>
      </c>
      <c r="C15" s="527">
        <f>C61/C55</f>
        <v>0.1376888049755664</v>
      </c>
      <c r="D15" s="702">
        <f t="shared" ref="D15:G15" si="8">D61/D55</f>
        <v>0.16739811912225705</v>
      </c>
      <c r="E15" s="527">
        <f t="shared" si="8"/>
        <v>0.11533586818757921</v>
      </c>
      <c r="F15" s="527">
        <f t="shared" si="8"/>
        <v>0.12007367650655965</v>
      </c>
      <c r="G15" s="527">
        <f t="shared" si="8"/>
        <v>0.12908559563177729</v>
      </c>
      <c r="H15" s="552">
        <f t="shared" si="6"/>
        <v>0.13856154905904011</v>
      </c>
      <c r="I15" s="595">
        <f t="shared" si="4"/>
        <v>8.727440834737088E-4</v>
      </c>
    </row>
    <row r="16" spans="2:13" ht="13.9" thickBot="1">
      <c r="B16" s="535" t="s">
        <v>249</v>
      </c>
      <c r="C16" s="702">
        <f>C61/C73</f>
        <v>0.17524206657714325</v>
      </c>
      <c r="D16" s="702">
        <f t="shared" ref="D16:G16" si="9">D61/D73</f>
        <v>0.45595530320661726</v>
      </c>
      <c r="E16" s="536">
        <f t="shared" si="9"/>
        <v>0.11057108140947752</v>
      </c>
      <c r="F16" s="536">
        <f t="shared" si="9"/>
        <v>0.26699532376404755</v>
      </c>
      <c r="G16" s="536">
        <f t="shared" si="9"/>
        <v>0.15769447576099208</v>
      </c>
      <c r="H16" s="552">
        <f t="shared" si="6"/>
        <v>0.26397179232720003</v>
      </c>
      <c r="I16" s="596">
        <f t="shared" si="4"/>
        <v>8.8729725750056776E-2</v>
      </c>
    </row>
    <row r="17" spans="1:9" ht="13.9" thickBot="1">
      <c r="B17" s="524" t="s">
        <v>250</v>
      </c>
      <c r="C17" s="703">
        <f>(1+C60/(C58+C59))*C58/(C72+C73-C64)</f>
        <v>8.6706661427519857E-2</v>
      </c>
      <c r="D17" s="528">
        <f t="shared" ref="D17:G17" si="10">(1+D60/(D58+D59))*D58/(D72+D73-D64)</f>
        <v>0.28164309069420296</v>
      </c>
      <c r="E17" s="528">
        <f t="shared" si="10"/>
        <v>0.1359021088258266</v>
      </c>
      <c r="F17" s="528">
        <f t="shared" si="10"/>
        <v>0.13693630615980099</v>
      </c>
      <c r="G17" s="528">
        <f t="shared" si="10"/>
        <v>0.13624704637535101</v>
      </c>
      <c r="H17" s="552">
        <f t="shared" si="6"/>
        <v>0.16038327616421871</v>
      </c>
      <c r="I17" s="597">
        <f t="shared" si="4"/>
        <v>7.3676614736698856E-2</v>
      </c>
    </row>
    <row r="18" spans="1:9" ht="16.149999999999999" thickBot="1">
      <c r="B18" s="182" t="s">
        <v>251</v>
      </c>
      <c r="C18" s="187"/>
      <c r="D18" s="187"/>
      <c r="E18" s="187"/>
      <c r="F18" s="187"/>
      <c r="G18" s="187"/>
      <c r="H18" s="187" t="str">
        <f t="shared" si="6"/>
        <v/>
      </c>
      <c r="I18" s="593"/>
    </row>
    <row r="19" spans="1:9" ht="13.9" thickBot="1">
      <c r="B19" s="181" t="s">
        <v>68</v>
      </c>
      <c r="C19" s="708">
        <f>C72/C69</f>
        <v>0.27185499572775279</v>
      </c>
      <c r="D19" s="708">
        <f t="shared" ref="D19:G19" si="11">D72/D69</f>
        <v>0.4306513191060326</v>
      </c>
      <c r="E19" s="707">
        <f t="shared" si="11"/>
        <v>1.4760147601476014E-2</v>
      </c>
      <c r="F19" s="537">
        <f t="shared" si="11"/>
        <v>0.40176947432090865</v>
      </c>
      <c r="G19" s="537">
        <f t="shared" si="11"/>
        <v>0.17885496183206107</v>
      </c>
      <c r="H19" s="730">
        <f t="shared" si="6"/>
        <v>0.32078268774668872</v>
      </c>
      <c r="I19" s="598">
        <f>SQRT((C19-H19)^2)</f>
        <v>4.8927692018935931E-2</v>
      </c>
    </row>
    <row r="20" spans="1:9" ht="13.9" thickBot="1">
      <c r="B20" s="526" t="s">
        <v>252</v>
      </c>
      <c r="C20" s="833">
        <f>(C72-C64)/C57</f>
        <v>3.046217760083088</v>
      </c>
      <c r="D20" s="529">
        <f t="shared" ref="D20:G20" si="12">(D72-D64)/D57</f>
        <v>1.7158409008354523</v>
      </c>
      <c r="E20" s="529">
        <f t="shared" si="12"/>
        <v>-1.1231884057971016</v>
      </c>
      <c r="F20" s="529">
        <f t="shared" si="12"/>
        <v>2.6749609062130517</v>
      </c>
      <c r="G20" s="529">
        <f t="shared" si="12"/>
        <v>0.85606679371993821</v>
      </c>
      <c r="H20" s="730">
        <f t="shared" si="6"/>
        <v>2.0732715902128827</v>
      </c>
      <c r="I20" s="599">
        <f>SQRT((C20-H20)^2)</f>
        <v>0.97294616987020532</v>
      </c>
    </row>
    <row r="21" spans="1:9" ht="13.9" thickBot="1">
      <c r="B21" s="538" t="s">
        <v>253</v>
      </c>
      <c r="C21" s="899">
        <f>-C57/C59</f>
        <v>-103.16071428571429</v>
      </c>
      <c r="D21" s="899">
        <f t="shared" ref="D21:G21" si="13">-D57/D59</f>
        <v>-18.162625762823687</v>
      </c>
      <c r="E21" s="899">
        <f t="shared" si="13"/>
        <v>27.6</v>
      </c>
      <c r="F21" s="899">
        <f t="shared" si="13"/>
        <v>-10.834297520661156</v>
      </c>
      <c r="G21" s="899">
        <f t="shared" si="13"/>
        <v>-43.04296875</v>
      </c>
      <c r="H21" s="976">
        <f t="shared" si="6"/>
        <v>-43.800151579799781</v>
      </c>
      <c r="I21" s="900">
        <f>SQRT((C21-H21)^2)</f>
        <v>59.360562705914511</v>
      </c>
    </row>
    <row r="22" spans="1:9" ht="16.149999999999999" thickBot="1">
      <c r="B22" s="182" t="s">
        <v>254</v>
      </c>
      <c r="C22" s="187"/>
      <c r="D22" s="187"/>
      <c r="E22" s="187"/>
      <c r="F22" s="187"/>
      <c r="G22" s="187"/>
      <c r="H22" s="187" t="str">
        <f t="shared" si="6"/>
        <v/>
      </c>
      <c r="I22" s="593"/>
    </row>
    <row r="23" spans="1:9" ht="13.9" thickBot="1">
      <c r="B23" s="530" t="s">
        <v>255</v>
      </c>
      <c r="C23" s="708">
        <f>C67/C71</f>
        <v>0.61552621890285597</v>
      </c>
      <c r="D23" s="531">
        <f t="shared" ref="D23:G23" si="14">D67/D71</f>
        <v>0.96800607109806303</v>
      </c>
      <c r="E23" s="707">
        <f t="shared" si="14"/>
        <v>3.5894736842105264</v>
      </c>
      <c r="F23" s="531">
        <f t="shared" si="14"/>
        <v>0.87707622309660815</v>
      </c>
      <c r="G23" s="531">
        <f t="shared" si="14"/>
        <v>1.4156266956049919</v>
      </c>
      <c r="H23" s="554">
        <f t="shared" si="6"/>
        <v>0.96905880217562979</v>
      </c>
      <c r="I23" s="600">
        <f>SQRT((C23-H23)^2)</f>
        <v>0.35353258327277381</v>
      </c>
    </row>
    <row r="24" spans="1:9" ht="13.9" thickBot="1">
      <c r="B24" s="538" t="s">
        <v>256</v>
      </c>
      <c r="C24" s="736">
        <f>(C64+C65)/C71</f>
        <v>0.2863304055120181</v>
      </c>
      <c r="D24" s="539">
        <f t="shared" ref="D24:G24" si="15">(D64+D65)/D71</f>
        <v>0.40737220910319005</v>
      </c>
      <c r="E24" s="539">
        <f t="shared" si="15"/>
        <v>2.4842105263157896</v>
      </c>
      <c r="F24" s="539">
        <f t="shared" si="15"/>
        <v>0.18100038298738769</v>
      </c>
      <c r="G24" s="539">
        <f t="shared" si="15"/>
        <v>0.79229517091698332</v>
      </c>
      <c r="H24" s="554">
        <f t="shared" ref="H24:H36" si="16">IFERROR(AVERAGE(C24,D24,F24,G24),"")</f>
        <v>0.41674954212989479</v>
      </c>
      <c r="I24" s="601">
        <f>SQRT((C24-H24)^2)</f>
        <v>0.13041913661787669</v>
      </c>
    </row>
    <row r="25" spans="1:9" ht="16.149999999999999" thickBot="1">
      <c r="B25" s="182" t="s">
        <v>257</v>
      </c>
      <c r="C25" s="187"/>
      <c r="D25" s="187"/>
      <c r="E25" s="187"/>
      <c r="F25" s="187"/>
      <c r="G25" s="187"/>
      <c r="H25" s="187" t="str">
        <f t="shared" si="16"/>
        <v/>
      </c>
      <c r="I25" s="593"/>
    </row>
    <row r="26" spans="1:9" ht="13.9" thickBot="1">
      <c r="B26" s="530" t="s">
        <v>258</v>
      </c>
      <c r="C26" s="835">
        <f>C56/C66</f>
        <v>6.1554633471645923</v>
      </c>
      <c r="D26" s="531">
        <f t="shared" ref="D26:G26" si="17">D56/D66</f>
        <v>4.5988205781374436</v>
      </c>
      <c r="E26" s="531">
        <f t="shared" si="17"/>
        <v>5.4</v>
      </c>
      <c r="F26" s="531">
        <f t="shared" si="17"/>
        <v>3.3509554347472248</v>
      </c>
      <c r="G26" s="531">
        <f t="shared" si="17"/>
        <v>1.851437873033098</v>
      </c>
      <c r="H26" s="554">
        <f t="shared" si="16"/>
        <v>3.9891693082705899</v>
      </c>
      <c r="I26" s="600">
        <f>SQRT((C26-H26)^2)</f>
        <v>2.1662940388940024</v>
      </c>
    </row>
    <row r="27" spans="1:9" ht="13.9" thickBot="1">
      <c r="B27" s="535" t="s">
        <v>259</v>
      </c>
      <c r="C27" s="539">
        <f>C55/C65</f>
        <v>9.9108420473307657</v>
      </c>
      <c r="D27" s="539">
        <f t="shared" ref="D27:F27" si="18">D55/D65</f>
        <v>13.556058216379702</v>
      </c>
      <c r="E27" s="539">
        <f>E55/E65</f>
        <v>12.138461538461538</v>
      </c>
      <c r="F27" s="737">
        <f t="shared" si="18"/>
        <v>170.13990099009899</v>
      </c>
      <c r="G27" s="539">
        <f>G55/G65</f>
        <v>5.2131903377768865</v>
      </c>
      <c r="H27" s="554">
        <f t="shared" si="16"/>
        <v>49.70499789789659</v>
      </c>
      <c r="I27" s="601">
        <f>SQRT((C27-H27)^2)</f>
        <v>39.794155850565822</v>
      </c>
    </row>
    <row r="28" spans="1:9" ht="13.9" thickBot="1">
      <c r="A28" s="11" t="s">
        <v>260</v>
      </c>
      <c r="B28" s="526" t="s">
        <v>261</v>
      </c>
      <c r="C28" s="532">
        <f>C56/C70</f>
        <v>2.6741978127628889</v>
      </c>
      <c r="D28" s="529">
        <f t="shared" ref="D28:G28" si="19">D56/D70</f>
        <v>5.6740237909692208</v>
      </c>
      <c r="E28" s="529">
        <f t="shared" si="19"/>
        <v>14.657142857142857</v>
      </c>
      <c r="F28" s="529">
        <f t="shared" si="19"/>
        <v>81.148204379562046</v>
      </c>
      <c r="G28" s="529">
        <f t="shared" si="19"/>
        <v>5.5773128473357305</v>
      </c>
      <c r="H28" s="554">
        <f t="shared" si="16"/>
        <v>23.768434707657473</v>
      </c>
      <c r="I28" s="599">
        <f>SQRT((C28-H28)^2)</f>
        <v>21.094236894894586</v>
      </c>
    </row>
    <row r="29" spans="1:9" ht="13.9" thickBot="1">
      <c r="B29" s="535" t="s">
        <v>262</v>
      </c>
      <c r="C29" s="539">
        <f>C55/C68</f>
        <v>3.4707526259998072</v>
      </c>
      <c r="D29" s="539">
        <f t="shared" ref="D29:G29" si="20">D55/D68</f>
        <v>3.0868122753663259</v>
      </c>
      <c r="E29" s="539">
        <f t="shared" si="20"/>
        <v>3.5381165919282513</v>
      </c>
      <c r="F29" s="539">
        <f t="shared" si="20"/>
        <v>0.9323911223840905</v>
      </c>
      <c r="G29" s="539">
        <f t="shared" si="20"/>
        <v>2.9806303724928367</v>
      </c>
      <c r="H29" s="554">
        <f t="shared" si="16"/>
        <v>2.6176465990607651</v>
      </c>
      <c r="I29" s="601">
        <f>SQRT((C29-H29)^2)</f>
        <v>0.85310602693904203</v>
      </c>
    </row>
    <row r="30" spans="1:9" ht="13.9" thickBot="1">
      <c r="B30" s="524" t="s">
        <v>263</v>
      </c>
      <c r="C30" s="540">
        <f>C55/C69</f>
        <v>0.5044893614040985</v>
      </c>
      <c r="D30" s="540">
        <f>D55/D69</f>
        <v>0.93807763401109057</v>
      </c>
      <c r="E30" s="540">
        <f t="shared" ref="E30:G30" si="21">E55/E69</f>
        <v>0.72785977859778594</v>
      </c>
      <c r="F30" s="540">
        <f t="shared" si="21"/>
        <v>0.69055792551281603</v>
      </c>
      <c r="G30" s="540">
        <f t="shared" si="21"/>
        <v>0.66173027989821875</v>
      </c>
      <c r="H30" s="554">
        <f t="shared" si="16"/>
        <v>0.69871380020655605</v>
      </c>
      <c r="I30" s="602">
        <f>SQRT((C30-H30)^2)</f>
        <v>0.19422443880245754</v>
      </c>
    </row>
    <row r="31" spans="1:9" ht="16.149999999999999" thickBot="1">
      <c r="B31" s="183" t="s">
        <v>110</v>
      </c>
      <c r="C31" s="187"/>
      <c r="D31" s="187"/>
      <c r="E31" s="187"/>
      <c r="F31" s="187"/>
      <c r="G31" s="187"/>
      <c r="H31" s="187" t="str">
        <f t="shared" si="16"/>
        <v/>
      </c>
      <c r="I31" s="593"/>
    </row>
    <row r="32" spans="1:9" ht="13.9" thickBot="1">
      <c r="B32" s="181" t="s">
        <v>264</v>
      </c>
      <c r="C32" s="958">
        <f ca="1">C9/C61</f>
        <v>20.008681185722928</v>
      </c>
      <c r="D32" s="548">
        <f t="shared" ref="D32:G32" ca="1" si="22">D9/D61</f>
        <v>21.152006420545746</v>
      </c>
      <c r="E32" s="548">
        <f t="shared" ca="1" si="22"/>
        <v>25.330747252747251</v>
      </c>
      <c r="F32" s="548">
        <f t="shared" si="22"/>
        <v>2.5376937473394956</v>
      </c>
      <c r="G32" s="548">
        <f t="shared" ca="1" si="22"/>
        <v>30.34863919251017</v>
      </c>
      <c r="H32" s="554">
        <f t="shared" ca="1" si="16"/>
        <v>18.511755136529587</v>
      </c>
      <c r="I32" s="603">
        <f ca="1">SQRT((C32-H32)^2)</f>
        <v>1.4969260491933412</v>
      </c>
    </row>
    <row r="33" spans="2:10" ht="13.9" thickBot="1">
      <c r="B33" s="526" t="s">
        <v>260</v>
      </c>
      <c r="C33" s="533">
        <f ca="1">C9/C55</f>
        <v>2.7549714015992892</v>
      </c>
      <c r="D33" s="533">
        <f t="shared" ref="D33:G33" ca="1" si="23">D9/D55</f>
        <v>3.5408060904612628</v>
      </c>
      <c r="E33" s="533">
        <f t="shared" ca="1" si="23"/>
        <v>2.9215437262357415</v>
      </c>
      <c r="F33" s="533">
        <f t="shared" si="23"/>
        <v>0.30471021809076165</v>
      </c>
      <c r="G33" s="533">
        <f t="shared" ca="1" si="23"/>
        <v>3.9175721667790757</v>
      </c>
      <c r="H33" s="554">
        <f t="shared" ca="1" si="16"/>
        <v>2.6295149692325972</v>
      </c>
      <c r="I33" s="604">
        <f ca="1">SQRT((C33-H33)^2)</f>
        <v>0.12545643236669202</v>
      </c>
    </row>
    <row r="34" spans="2:10" ht="13.9" thickBot="1">
      <c r="B34" s="535" t="s">
        <v>265</v>
      </c>
      <c r="C34" s="549">
        <f ca="1">C9/C73</f>
        <v>3.5063626404692911</v>
      </c>
      <c r="D34" s="549">
        <f t="shared" ref="D34:G34" ca="1" si="24">D9/D73</f>
        <v>9.6443695009082511</v>
      </c>
      <c r="E34" s="549">
        <f t="shared" ca="1" si="24"/>
        <v>2.8008481166464154</v>
      </c>
      <c r="F34" s="549">
        <f t="shared" si="24"/>
        <v>0.67755236368490768</v>
      </c>
      <c r="G34" s="549">
        <f t="shared" ca="1" si="24"/>
        <v>4.7858127475223888</v>
      </c>
      <c r="H34" s="554">
        <f t="shared" ca="1" si="16"/>
        <v>4.6535243131462103</v>
      </c>
      <c r="I34" s="605">
        <f ca="1">SQRT((C34-H34)^2)</f>
        <v>1.1471616726769192</v>
      </c>
    </row>
    <row r="35" spans="2:10" ht="13.9" thickBot="1">
      <c r="B35" s="526" t="s">
        <v>266</v>
      </c>
      <c r="C35" s="533">
        <f ca="1">(C72+C9-C64)/C55</f>
        <v>3.2435875721901377</v>
      </c>
      <c r="D35" s="533">
        <f t="shared" ref="D35:G35" ca="1" si="25">(D72+D9-D64)/D55</f>
        <v>3.9638880429914911</v>
      </c>
      <c r="E35" s="533">
        <f t="shared" ca="1" si="25"/>
        <v>2.7250925221799744</v>
      </c>
      <c r="F35" s="533">
        <f t="shared" si="25"/>
        <v>0.81488152149686943</v>
      </c>
      <c r="G35" s="533">
        <f t="shared" ca="1" si="25"/>
        <v>4.0989341601652169</v>
      </c>
      <c r="H35" s="554">
        <f t="shared" ca="1" si="16"/>
        <v>3.0303228242109288</v>
      </c>
      <c r="I35" s="604">
        <f ca="1">SQRT((C35-H35)^2)</f>
        <v>0.21326474797920891</v>
      </c>
    </row>
    <row r="36" spans="2:10" ht="13.9" thickBot="1">
      <c r="B36" s="538" t="s">
        <v>267</v>
      </c>
      <c r="C36" s="901">
        <f ca="1">(C72+C9-C64)/C57</f>
        <v>20.221750043275058</v>
      </c>
      <c r="D36" s="547">
        <f ca="1">(D72+D9-D64)/D57</f>
        <v>16.075848165637485</v>
      </c>
      <c r="E36" s="547">
        <f t="shared" ref="E36:G36" ca="1" si="26">(E72+E9-E64)/E57</f>
        <v>15.580420289855072</v>
      </c>
      <c r="F36" s="547">
        <f t="shared" si="26"/>
        <v>4.2726358747473201</v>
      </c>
      <c r="G36" s="959">
        <f t="shared" ca="1" si="26"/>
        <v>19.347832247800461</v>
      </c>
      <c r="H36" s="554">
        <f t="shared" ca="1" si="16"/>
        <v>14.979516582865083</v>
      </c>
      <c r="I36" s="606">
        <f ca="1">SQRT((C36-H36)^2)</f>
        <v>5.2422334604099756</v>
      </c>
    </row>
    <row r="37" spans="2:10" ht="16.149999999999999" thickBot="1">
      <c r="B37" s="183" t="s">
        <v>268</v>
      </c>
      <c r="C37" s="187"/>
      <c r="D37" s="187"/>
      <c r="E37" s="187"/>
      <c r="F37" s="187"/>
      <c r="G37" s="187"/>
      <c r="H37" s="187" t="str">
        <f t="shared" ref="H37:H49" si="27">IFERROR(AVERAGE(C37,D37,F37,G37),"")</f>
        <v/>
      </c>
      <c r="I37" s="593"/>
    </row>
    <row r="38" spans="2:10" ht="13.9" thickBot="1">
      <c r="B38" s="181" t="s">
        <v>42</v>
      </c>
      <c r="C38" s="550" t="str">
        <f>OP!M20</f>
        <v>99,26%</v>
      </c>
      <c r="D38" s="550">
        <f>(146.56/149.34)*100%</f>
        <v>0.981384759608946</v>
      </c>
      <c r="E38" s="902">
        <f>14.63/41.27</f>
        <v>0.35449479040465226</v>
      </c>
      <c r="F38" s="550">
        <f>2.62/2.63</f>
        <v>0.99619771863117879</v>
      </c>
      <c r="G38" s="550">
        <f>(205.6/(133.89+235.24))</f>
        <v>0.55698534391677723</v>
      </c>
      <c r="H38" s="552">
        <f t="shared" si="27"/>
        <v>0.84485594071896741</v>
      </c>
      <c r="I38" s="607">
        <f>SQRT((C38-H38)^2)</f>
        <v>0.14774405928103262</v>
      </c>
    </row>
    <row r="39" spans="2:10" ht="13.9" thickBot="1">
      <c r="B39" s="541" t="s">
        <v>269</v>
      </c>
      <c r="C39" s="542" t="str">
        <f>OP!M22</f>
        <v>0,58</v>
      </c>
      <c r="D39" s="542">
        <v>0.34</v>
      </c>
      <c r="E39" s="542">
        <v>0.15</v>
      </c>
      <c r="F39" s="542">
        <v>0.28000000000000003</v>
      </c>
      <c r="G39" s="542">
        <v>0.31</v>
      </c>
      <c r="H39" s="554">
        <f t="shared" si="27"/>
        <v>0.31000000000000005</v>
      </c>
      <c r="I39" s="608">
        <f>SQRT((C39-H39)^2)</f>
        <v>0.26999999999999991</v>
      </c>
    </row>
    <row r="40" spans="2:10" ht="13.9" thickBot="1">
      <c r="B40" s="538" t="s">
        <v>270</v>
      </c>
      <c r="C40" s="957">
        <f ca="1">OP!M32</f>
        <v>2.1769129715256082E-2</v>
      </c>
      <c r="D40" s="546">
        <v>5.4800000000000001E-2</v>
      </c>
      <c r="E40" s="546">
        <v>3.5999999999999999E-3</v>
      </c>
      <c r="F40" s="546">
        <v>3.2099999999999997E-2</v>
      </c>
      <c r="G40" s="546">
        <v>1.29E-2</v>
      </c>
      <c r="H40" s="552">
        <f t="shared" ca="1" si="27"/>
        <v>3.0392282428814019E-2</v>
      </c>
      <c r="I40" s="609">
        <f ca="1">SQRT((C40-H40)^2)</f>
        <v>8.6231527135579369E-3</v>
      </c>
    </row>
    <row r="41" spans="2:10" ht="16.149999999999999" thickBot="1">
      <c r="B41" s="183" t="s">
        <v>271</v>
      </c>
      <c r="C41" s="187"/>
      <c r="D41" s="187"/>
      <c r="E41" s="187"/>
      <c r="F41" s="187"/>
      <c r="G41" s="187"/>
      <c r="H41" s="187" t="str">
        <f t="shared" si="27"/>
        <v/>
      </c>
      <c r="I41" s="593"/>
    </row>
    <row r="42" spans="2:10" ht="13.9" thickBot="1">
      <c r="B42" s="185" t="s">
        <v>272</v>
      </c>
      <c r="C42" s="662">
        <f ca="1">(C44-70.85)/70.85</f>
        <v>4.8412138320395301E-2</v>
      </c>
      <c r="D42" s="692">
        <f ca="1">((D44-187.92)/187.92)*100%</f>
        <v>3.9963814389101848E-2</v>
      </c>
      <c r="E42" s="692">
        <f ca="1">(E44-31.57)/31.57</f>
        <v>1.4570795058599964E-2</v>
      </c>
      <c r="F42" s="692">
        <v>-0.1177</v>
      </c>
      <c r="G42" s="692">
        <f ca="1">(G44-108410)/108410</f>
        <v>3.1627248408818434E-2</v>
      </c>
      <c r="H42" s="552">
        <f t="shared" ca="1" si="27"/>
        <v>5.7580027957889607E-4</v>
      </c>
      <c r="I42" s="584">
        <f ca="1">SQRT((C42-H42)^2)</f>
        <v>4.7836338040816405E-2</v>
      </c>
    </row>
    <row r="43" spans="2:10" ht="13.9" thickBot="1">
      <c r="B43" s="526" t="s">
        <v>273</v>
      </c>
      <c r="C43" s="663">
        <f ca="1">(C44-63.56)/63.56</f>
        <v>0.1686595342983008</v>
      </c>
      <c r="D43" s="693">
        <f ca="1">((D44-202.26)/202.26)*100%</f>
        <v>-3.3768416889152497E-2</v>
      </c>
      <c r="E43" s="693">
        <f ca="1">(E44-30.89)/30.89</f>
        <v>3.6905147296859842E-2</v>
      </c>
      <c r="F43" s="693">
        <v>-0.14280000000000001</v>
      </c>
      <c r="G43" s="693">
        <f ca="1">(G44-99400)/99400</f>
        <v>0.12513792756539241</v>
      </c>
      <c r="H43" s="552">
        <f t="shared" ca="1" si="27"/>
        <v>2.9307261243635176E-2</v>
      </c>
      <c r="I43" s="610">
        <f ca="1">SQRT((C43-H43)^2)</f>
        <v>0.13935227305466563</v>
      </c>
    </row>
    <row r="44" spans="2:10" ht="13.9" thickBot="1">
      <c r="B44" s="186" t="s">
        <v>274</v>
      </c>
      <c r="C44" s="661" cm="1">
        <f t="array" aca="1" ref="C44" ca="1">_FV(C7,"Price")</f>
        <v>74.28</v>
      </c>
      <c r="D44" s="661" cm="1">
        <f t="array" aca="1" ref="D44" ca="1">_FV(D7,"Price")</f>
        <v>195.43</v>
      </c>
      <c r="E44" s="661" cm="1">
        <f t="array" aca="1" ref="E44" ca="1">_FV(E7,"Price")</f>
        <v>32.03</v>
      </c>
      <c r="F44" s="728">
        <v>93.26</v>
      </c>
      <c r="G44" s="729" cm="1">
        <f t="array" aca="1" ref="G44" ca="1">_FV(G7,"Price")</f>
        <v>111838.71</v>
      </c>
      <c r="H44" s="730">
        <f t="shared" ca="1" si="27"/>
        <v>28050.420000000002</v>
      </c>
      <c r="I44" s="611">
        <f ca="1">SQRT((C44-H44)^2)</f>
        <v>27976.140000000003</v>
      </c>
    </row>
    <row r="45" spans="2:10" ht="13.9" thickBot="1">
      <c r="B45" s="526" t="s">
        <v>275</v>
      </c>
      <c r="C45" s="732">
        <v>83.96</v>
      </c>
      <c r="D45" s="543">
        <v>212.57</v>
      </c>
      <c r="E45" s="543">
        <v>24.16</v>
      </c>
      <c r="F45" s="728">
        <v>108.08</v>
      </c>
      <c r="G45" s="731">
        <v>108800</v>
      </c>
      <c r="H45" s="730">
        <f t="shared" si="27"/>
        <v>27301.1525</v>
      </c>
      <c r="I45" s="612">
        <f>SQRT((C45-H45)^2)</f>
        <v>27217.192500000001</v>
      </c>
    </row>
    <row r="46" spans="2:10" ht="13.9" thickBot="1">
      <c r="B46" s="544" t="s">
        <v>276</v>
      </c>
      <c r="C46" s="704">
        <f ca="1">C45/C44-1</f>
        <v>0.13031771674744208</v>
      </c>
      <c r="D46" s="545">
        <f t="shared" ref="D46:G46" ca="1" si="28">D45/D44-1</f>
        <v>8.7704037251189693E-2</v>
      </c>
      <c r="E46" s="733">
        <f t="shared" ca="1" si="28"/>
        <v>-0.24570714954729944</v>
      </c>
      <c r="F46" s="545">
        <f t="shared" si="28"/>
        <v>0.15891057259275132</v>
      </c>
      <c r="G46" s="545">
        <f t="shared" ca="1" si="28"/>
        <v>-2.717046718439442E-2</v>
      </c>
      <c r="H46" s="552">
        <f t="shared" ca="1" si="27"/>
        <v>8.7440464851747168E-2</v>
      </c>
      <c r="I46" s="613">
        <f ca="1">SQRT((C46-H46)^2)</f>
        <v>4.2877251895694912E-2</v>
      </c>
    </row>
    <row r="47" spans="2:10" ht="16.149999999999999" thickBot="1">
      <c r="B47" s="183" t="s">
        <v>277</v>
      </c>
      <c r="C47" s="183"/>
      <c r="D47" s="183"/>
      <c r="E47" s="183"/>
      <c r="F47" s="183"/>
      <c r="G47" s="183"/>
      <c r="H47" s="183" t="str">
        <f t="shared" si="27"/>
        <v/>
      </c>
      <c r="I47" s="583"/>
      <c r="J47" s="588"/>
    </row>
    <row r="48" spans="2:10" ht="13.9" thickBot="1">
      <c r="B48" s="185" t="s">
        <v>278</v>
      </c>
      <c r="C48" s="615">
        <f>(Inputs!B59-Inputs!E59)/Inputs!E59</f>
        <v>0.18920282542885974</v>
      </c>
      <c r="D48" s="435">
        <f>((2323-1699)/1699)*100%</f>
        <v>0.36727486756915834</v>
      </c>
      <c r="E48" s="435">
        <f>(95-75)/75</f>
        <v>0.26666666666666666</v>
      </c>
      <c r="F48" s="435">
        <f>(17606.6-15879.18)/15879.18</f>
        <v>0.10878521434985926</v>
      </c>
      <c r="G48" s="435">
        <f>(778.6-787.6)/787.6</f>
        <v>-1.1427120365667851E-2</v>
      </c>
      <c r="H48" s="552">
        <f t="shared" si="27"/>
        <v>0.16345894674555236</v>
      </c>
      <c r="I48" s="584">
        <f>SQRT((C48-H48)^2)</f>
        <v>2.5743878683307381E-2</v>
      </c>
      <c r="J48" s="435"/>
    </row>
    <row r="49" spans="2:10" ht="13.9" thickBot="1">
      <c r="B49" s="585" t="s">
        <v>279</v>
      </c>
      <c r="C49" s="586">
        <f t="shared" ref="C49:G49" si="29">C62/C10</f>
        <v>9.6068414038205235E-3</v>
      </c>
      <c r="D49" s="586">
        <f t="shared" si="29"/>
        <v>4.4782803403493054E-3</v>
      </c>
      <c r="E49" s="586">
        <f t="shared" si="29"/>
        <v>7.6045627376425851E-4</v>
      </c>
      <c r="F49" s="586">
        <f t="shared" si="29"/>
        <v>1.9100134833709939E-2</v>
      </c>
      <c r="G49" s="586">
        <f t="shared" si="29"/>
        <v>3.8260401445820197E-3</v>
      </c>
      <c r="H49" s="552">
        <f t="shared" si="27"/>
        <v>9.2528241806154477E-3</v>
      </c>
      <c r="I49" s="587">
        <f>SQRT((C49-H49)^2)</f>
        <v>3.5401722320507582E-4</v>
      </c>
      <c r="J49" s="589"/>
    </row>
    <row r="50" spans="2:10" ht="13.9" thickBot="1"/>
    <row r="51" spans="2:10" ht="76.5" customHeight="1">
      <c r="B51" s="515" t="s">
        <v>280</v>
      </c>
      <c r="C51" s="514" t="e" vm="1">
        <f>OP!E2</f>
        <v>#VALUE!</v>
      </c>
      <c r="D51" s="379" t="e" vm="2">
        <f>D7</f>
        <v>#VALUE!</v>
      </c>
      <c r="E51" s="380" t="e" vm="3">
        <f>E7</f>
        <v>#VALUE!</v>
      </c>
      <c r="F51" s="381" t="e" vm="4">
        <f>F7</f>
        <v>#VALUE!</v>
      </c>
      <c r="G51" s="694" t="e" vm="5">
        <f>G7</f>
        <v>#VALUE!</v>
      </c>
    </row>
    <row r="52" spans="2:10" ht="13.9" thickBot="1">
      <c r="B52" s="177" t="s">
        <v>281</v>
      </c>
      <c r="C52" s="178"/>
      <c r="D52" s="178"/>
      <c r="E52" s="178"/>
      <c r="F52" s="178"/>
      <c r="G52" s="695"/>
    </row>
    <row r="53" spans="2:10" ht="13.9" thickBot="1">
      <c r="B53" s="174" t="s">
        <v>282</v>
      </c>
      <c r="C53" s="192">
        <f>'Fin. Data'!E5</f>
        <v>26581</v>
      </c>
      <c r="D53" s="170">
        <v>8150</v>
      </c>
      <c r="E53" s="170">
        <v>471</v>
      </c>
      <c r="F53" s="170">
        <v>93528.89</v>
      </c>
      <c r="G53" s="696">
        <f>4016.8*1.1892</f>
        <v>4776.7785600000007</v>
      </c>
    </row>
    <row r="54" spans="2:10" ht="13.9" thickBot="1">
      <c r="B54" s="174" t="s">
        <v>283</v>
      </c>
      <c r="C54" s="192">
        <f>'Fin. Data'!C5</f>
        <v>31496</v>
      </c>
      <c r="D54" s="170">
        <v>10419</v>
      </c>
      <c r="E54" s="170">
        <v>686</v>
      </c>
      <c r="F54" s="170">
        <v>104683.09</v>
      </c>
      <c r="G54" s="696">
        <f>4970.2*1.1892</f>
        <v>5910.5618400000003</v>
      </c>
    </row>
    <row r="55" spans="2:10" ht="13.9" thickBot="1">
      <c r="B55" s="174" t="s">
        <v>242</v>
      </c>
      <c r="C55" s="192">
        <f>'Fin. Data'!B5</f>
        <v>36016</v>
      </c>
      <c r="D55" s="170">
        <v>11165</v>
      </c>
      <c r="E55" s="170">
        <v>789</v>
      </c>
      <c r="F55" s="170">
        <v>103104.78</v>
      </c>
      <c r="G55" s="696">
        <f>5201.2*1.1892</f>
        <v>6185.2670399999997</v>
      </c>
    </row>
    <row r="56" spans="2:10" ht="13.9" thickBot="1">
      <c r="B56" s="174" t="s">
        <v>284</v>
      </c>
      <c r="C56" s="192">
        <f>'Fin. Data'!B5-'Fin. Data'!B7</f>
        <v>22252</v>
      </c>
      <c r="D56" s="170">
        <v>6167</v>
      </c>
      <c r="E56" s="170">
        <v>513</v>
      </c>
      <c r="F56" s="170">
        <v>55586.52</v>
      </c>
      <c r="G56" s="696">
        <f>1706.1*1.1892</f>
        <v>2028.8941199999999</v>
      </c>
    </row>
    <row r="57" spans="2:10" ht="13.9" thickBot="1">
      <c r="B57" s="174" t="s">
        <v>51</v>
      </c>
      <c r="C57" s="192">
        <f>'Fin. Data'!B19</f>
        <v>5777</v>
      </c>
      <c r="D57" s="170">
        <v>2753</v>
      </c>
      <c r="E57" s="170">
        <v>138</v>
      </c>
      <c r="F57" s="170">
        <v>19664.25</v>
      </c>
      <c r="G57" s="696">
        <f>1101.9*1.1892</f>
        <v>1310.3794800000001</v>
      </c>
    </row>
    <row r="58" spans="2:10" ht="13.9" thickBot="1">
      <c r="B58" s="174" t="s">
        <v>285</v>
      </c>
      <c r="C58" s="513">
        <f>'Fin. Data'!B11</f>
        <v>5501</v>
      </c>
      <c r="D58" s="170">
        <v>2533</v>
      </c>
      <c r="E58" s="170">
        <v>120</v>
      </c>
      <c r="F58" s="170">
        <v>15844.94</v>
      </c>
      <c r="G58" s="696">
        <f>821.1*1.1892</f>
        <v>976.45212000000004</v>
      </c>
    </row>
    <row r="59" spans="2:10" ht="13.9" thickBot="1">
      <c r="B59" s="174" t="s">
        <v>286</v>
      </c>
      <c r="C59" s="513">
        <f>'Fin. Data'!B14</f>
        <v>56</v>
      </c>
      <c r="D59" s="830">
        <v>151.57499999999999</v>
      </c>
      <c r="E59" s="830">
        <v>-5</v>
      </c>
      <c r="F59" s="834">
        <v>1815</v>
      </c>
      <c r="G59" s="831">
        <f>25.6*1.1892</f>
        <v>30.443520000000003</v>
      </c>
    </row>
    <row r="60" spans="2:10" ht="13.9" thickBot="1">
      <c r="B60" s="174" t="s">
        <v>287</v>
      </c>
      <c r="C60" s="513">
        <f>'Fin. Data'!B21</f>
        <v>-1537</v>
      </c>
      <c r="D60" s="830">
        <v>-51</v>
      </c>
      <c r="E60" s="830">
        <v>-28</v>
      </c>
      <c r="F60" s="830">
        <v>-2555</v>
      </c>
      <c r="G60" s="831">
        <f>-116*1.1892</f>
        <v>-137.94720000000001</v>
      </c>
    </row>
    <row r="61" spans="2:10" ht="13.9" thickBot="1">
      <c r="B61" s="174" t="s">
        <v>65</v>
      </c>
      <c r="C61" s="513">
        <f>'Fin. Data'!B23</f>
        <v>4959</v>
      </c>
      <c r="D61" s="170">
        <v>1869</v>
      </c>
      <c r="E61" s="170">
        <v>91</v>
      </c>
      <c r="F61" s="170">
        <v>12380.17</v>
      </c>
      <c r="G61" s="696">
        <f>671.4*1.1892</f>
        <v>798.42888000000005</v>
      </c>
    </row>
    <row r="62" spans="2:10" ht="13.9" thickBot="1">
      <c r="B62" s="174" t="s">
        <v>288</v>
      </c>
      <c r="C62" s="513">
        <v>346</v>
      </c>
      <c r="D62" s="170">
        <v>50</v>
      </c>
      <c r="E62" s="170">
        <v>0.6</v>
      </c>
      <c r="F62" s="170">
        <f>1656*1.1892</f>
        <v>1969.3152</v>
      </c>
      <c r="G62" s="696">
        <f>19.9*1.1892</f>
        <v>23.66508</v>
      </c>
    </row>
    <row r="63" spans="2:10" ht="13.9" thickBot="1">
      <c r="B63" s="179" t="s">
        <v>289</v>
      </c>
      <c r="C63" s="180"/>
      <c r="D63" s="180"/>
      <c r="E63" s="180"/>
      <c r="F63" s="180"/>
      <c r="G63" s="697"/>
    </row>
    <row r="64" spans="2:10" ht="13.9" thickBot="1">
      <c r="B64" s="174" t="s">
        <v>290</v>
      </c>
      <c r="C64" s="192">
        <f>'Fin. Data'!B39</f>
        <v>1810</v>
      </c>
      <c r="D64" s="170">
        <v>401.90199999999999</v>
      </c>
      <c r="E64" s="170">
        <v>171</v>
      </c>
      <c r="F64" s="170">
        <v>7385.69</v>
      </c>
      <c r="G64" s="696">
        <f>462.5*1.1892</f>
        <v>550.005</v>
      </c>
    </row>
    <row r="65" spans="2:7" ht="13.9" thickBot="1">
      <c r="B65" s="174" t="s">
        <v>291</v>
      </c>
      <c r="C65" s="192">
        <f>'Fin. Data'!B40</f>
        <v>3634</v>
      </c>
      <c r="D65" s="170">
        <v>823.61699999999996</v>
      </c>
      <c r="E65" s="170">
        <v>65</v>
      </c>
      <c r="F65" s="170">
        <v>606</v>
      </c>
      <c r="G65" s="696">
        <f>997.7*1.1892</f>
        <v>1186.4648400000001</v>
      </c>
    </row>
    <row r="66" spans="2:7" ht="13.9" thickBot="1">
      <c r="B66" s="174" t="s">
        <v>292</v>
      </c>
      <c r="C66" s="192">
        <f>'Fin. Data'!B41</f>
        <v>3615</v>
      </c>
      <c r="D66" s="170">
        <v>1340.9960000000001</v>
      </c>
      <c r="E66" s="170">
        <v>95</v>
      </c>
      <c r="F66" s="170">
        <v>16588.259999999998</v>
      </c>
      <c r="G66" s="696">
        <f>921.5*1.1892</f>
        <v>1095.8478</v>
      </c>
    </row>
    <row r="67" spans="2:7" ht="13.9" thickBot="1">
      <c r="B67" s="174" t="s">
        <v>293</v>
      </c>
      <c r="C67" s="192">
        <f>Inputs!B27</f>
        <v>11703</v>
      </c>
      <c r="D67" s="170">
        <v>2912.1030000000001</v>
      </c>
      <c r="E67" s="170">
        <v>341</v>
      </c>
      <c r="F67" s="170">
        <v>38725.449999999997</v>
      </c>
      <c r="G67" s="696">
        <f>2609*1.1892</f>
        <v>3102.6228000000001</v>
      </c>
    </row>
    <row r="68" spans="2:7" ht="13.9" thickBot="1">
      <c r="B68" s="174" t="s">
        <v>294</v>
      </c>
      <c r="C68" s="192">
        <f>'Fin. Data'!B42</f>
        <v>10377</v>
      </c>
      <c r="D68" s="170">
        <v>3617</v>
      </c>
      <c r="E68" s="170">
        <v>223</v>
      </c>
      <c r="F68" s="170">
        <v>110581.04</v>
      </c>
      <c r="G68" s="696">
        <f>1745*1.1892</f>
        <v>2075.154</v>
      </c>
    </row>
    <row r="69" spans="2:7" ht="13.9" thickBot="1">
      <c r="B69" s="174" t="s">
        <v>38</v>
      </c>
      <c r="C69" s="192">
        <f>'Fin. Data'!B44</f>
        <v>71391</v>
      </c>
      <c r="D69" s="170">
        <v>11902</v>
      </c>
      <c r="E69" s="170">
        <v>1084</v>
      </c>
      <c r="F69" s="170">
        <f>F68+F67</f>
        <v>149306.49</v>
      </c>
      <c r="G69" s="696">
        <f>7860*1.1892</f>
        <v>9347.112000000001</v>
      </c>
    </row>
    <row r="70" spans="2:7" ht="13.9" thickBot="1">
      <c r="B70" s="174" t="s">
        <v>295</v>
      </c>
      <c r="C70" s="192">
        <f>Inputs!B43</f>
        <v>8321</v>
      </c>
      <c r="D70" s="170">
        <v>1086.883</v>
      </c>
      <c r="E70" s="170">
        <v>35</v>
      </c>
      <c r="F70" s="170">
        <v>685</v>
      </c>
      <c r="G70" s="696">
        <f>305.9*1.1892</f>
        <v>363.77627999999999</v>
      </c>
    </row>
    <row r="71" spans="2:7" ht="13.9" thickBot="1">
      <c r="B71" s="174" t="s">
        <v>296</v>
      </c>
      <c r="C71" s="192">
        <f>Inputs!B42</f>
        <v>19013</v>
      </c>
      <c r="D71" s="170">
        <v>3008.3519999999999</v>
      </c>
      <c r="E71" s="170">
        <v>95</v>
      </c>
      <c r="F71" s="170">
        <v>44152.89</v>
      </c>
      <c r="G71" s="696">
        <f>1843*1.1892</f>
        <v>2191.6956</v>
      </c>
    </row>
    <row r="72" spans="2:7" ht="13.9" thickBot="1">
      <c r="B72" s="174" t="s">
        <v>297</v>
      </c>
      <c r="C72" s="192">
        <f>'Fin. Data'!B68</f>
        <v>19408</v>
      </c>
      <c r="D72" s="170">
        <v>5125.6120000000001</v>
      </c>
      <c r="E72" s="170">
        <v>16</v>
      </c>
      <c r="F72" s="170">
        <v>59986.79</v>
      </c>
      <c r="G72" s="696">
        <f>1405.8*1.1892</f>
        <v>1671.77736</v>
      </c>
    </row>
    <row r="73" spans="2:7" ht="13.9" thickBot="1">
      <c r="B73" s="175" t="s">
        <v>298</v>
      </c>
      <c r="C73" s="193">
        <f>'Fin. Data'!B74</f>
        <v>28298</v>
      </c>
      <c r="D73" s="176">
        <v>4099.0860000000002</v>
      </c>
      <c r="E73" s="176">
        <v>823</v>
      </c>
      <c r="F73" s="176">
        <v>46368.49</v>
      </c>
      <c r="G73" s="698">
        <f>4257.6*1.1892</f>
        <v>5063.137920000001</v>
      </c>
    </row>
    <row r="78" spans="2:7" ht="12.75" customHeight="1">
      <c r="B78" s="807"/>
      <c r="C78" s="913" t="s">
        <v>299</v>
      </c>
      <c r="D78" s="914" t="s">
        <v>300</v>
      </c>
    </row>
    <row r="79" spans="2:7" ht="12.75" customHeight="1">
      <c r="B79" s="92" t="s">
        <v>301</v>
      </c>
      <c r="C79" s="165">
        <f>C16</f>
        <v>0.17524206657714325</v>
      </c>
      <c r="D79" s="808">
        <f>D16</f>
        <v>0.45595530320661726</v>
      </c>
    </row>
    <row r="80" spans="2:7" ht="12.75" customHeight="1">
      <c r="B80" s="92" t="s">
        <v>302</v>
      </c>
      <c r="C80" s="809">
        <f>C69/C73</f>
        <v>2.5228284684429996</v>
      </c>
      <c r="D80" s="810">
        <f>D69/D73</f>
        <v>2.9035741138390363</v>
      </c>
    </row>
    <row r="81" spans="2:7" ht="12.75" customHeight="1">
      <c r="B81" s="92" t="s">
        <v>74</v>
      </c>
      <c r="C81" s="811">
        <f>C61/C69</f>
        <v>6.9462537294616974E-2</v>
      </c>
      <c r="D81" s="812">
        <f>D61/D69</f>
        <v>0.15703243152411359</v>
      </c>
    </row>
    <row r="82" spans="2:7" ht="12.75" customHeight="1">
      <c r="B82" s="813" t="s">
        <v>303</v>
      </c>
      <c r="C82" s="814">
        <f>C81*C80</f>
        <v>0.17524206657714328</v>
      </c>
      <c r="D82" s="815">
        <f>D81*D80</f>
        <v>0.45595530320661726</v>
      </c>
    </row>
    <row r="83" spans="2:7" ht="12.75" customHeight="1">
      <c r="B83" s="825" t="s">
        <v>263</v>
      </c>
      <c r="C83" s="828">
        <f>C30</f>
        <v>0.5044893614040985</v>
      </c>
      <c r="D83" s="829">
        <f>D30</f>
        <v>0.93807763401109057</v>
      </c>
    </row>
    <row r="84" spans="2:7" ht="12.75" customHeight="1">
      <c r="B84" s="95" t="s">
        <v>304</v>
      </c>
      <c r="C84" s="816">
        <f>C15</f>
        <v>0.1376888049755664</v>
      </c>
      <c r="D84" s="817">
        <f>D15</f>
        <v>0.16739811912225705</v>
      </c>
      <c r="E84" s="915" t="s">
        <v>305</v>
      </c>
      <c r="F84" s="915" t="s">
        <v>306</v>
      </c>
      <c r="G84" s="915" t="s">
        <v>307</v>
      </c>
    </row>
    <row r="85" spans="2:7" ht="12.75" customHeight="1">
      <c r="B85" s="807" t="s">
        <v>79</v>
      </c>
      <c r="C85" s="818">
        <f>C17</f>
        <v>8.6706661427519857E-2</v>
      </c>
      <c r="D85" s="819">
        <f>D17</f>
        <v>0.28164309069420296</v>
      </c>
      <c r="E85" s="819">
        <f t="shared" ref="E85:G85" si="30">E17</f>
        <v>0.1359021088258266</v>
      </c>
      <c r="F85" s="819">
        <f t="shared" si="30"/>
        <v>0.13693630615980099</v>
      </c>
      <c r="G85" s="819">
        <f t="shared" si="30"/>
        <v>0.13624704637535101</v>
      </c>
    </row>
    <row r="86" spans="2:7" ht="12.75" customHeight="1">
      <c r="B86" s="92" t="s">
        <v>61</v>
      </c>
      <c r="C86" s="820">
        <f>C58</f>
        <v>5501</v>
      </c>
      <c r="D86" s="821">
        <f>D58</f>
        <v>2533</v>
      </c>
      <c r="E86" s="821">
        <f t="shared" ref="E86:G86" si="31">E58</f>
        <v>120</v>
      </c>
      <c r="F86" s="821">
        <f t="shared" si="31"/>
        <v>15844.94</v>
      </c>
      <c r="G86" s="821">
        <f t="shared" si="31"/>
        <v>976.45212000000004</v>
      </c>
    </row>
    <row r="87" spans="2:7" ht="12.75" customHeight="1">
      <c r="B87" s="825" t="s">
        <v>308</v>
      </c>
      <c r="C87" s="826">
        <f>-C60/C58</f>
        <v>0.27940374477367752</v>
      </c>
      <c r="D87" s="827">
        <f>-D60/D58</f>
        <v>2.0134228187919462E-2</v>
      </c>
      <c r="E87" s="827">
        <f t="shared" ref="E87:G87" si="32">-E60/E58</f>
        <v>0.23333333333333334</v>
      </c>
      <c r="F87" s="827">
        <f t="shared" si="32"/>
        <v>0.16125021615733476</v>
      </c>
      <c r="G87" s="827">
        <f t="shared" si="32"/>
        <v>0.14127390086469371</v>
      </c>
    </row>
    <row r="88" spans="2:7" ht="12.75" customHeight="1">
      <c r="B88" s="92" t="s">
        <v>309</v>
      </c>
      <c r="C88" s="820">
        <f>C86*(1-C87)</f>
        <v>3964.0000000000005</v>
      </c>
      <c r="D88" s="821">
        <f>D86*(1-D87)</f>
        <v>2482</v>
      </c>
      <c r="E88" s="821">
        <f>E86*(1-E87)</f>
        <v>92</v>
      </c>
      <c r="F88" s="821">
        <f>F86*(1-F87)</f>
        <v>13289.94</v>
      </c>
      <c r="G88" s="821">
        <f t="shared" ref="G88" si="33">G86*(1-G87)</f>
        <v>838.50491999999997</v>
      </c>
    </row>
    <row r="89" spans="2:7" ht="12.75" customHeight="1">
      <c r="B89" s="92" t="s">
        <v>310</v>
      </c>
      <c r="C89" s="820">
        <f>C72+C73</f>
        <v>47706</v>
      </c>
      <c r="D89" s="821">
        <f>D72+D73</f>
        <v>9224.6980000000003</v>
      </c>
      <c r="E89" s="821">
        <f t="shared" ref="E89:G89" si="34">E72+E73</f>
        <v>839</v>
      </c>
      <c r="F89" s="821">
        <f t="shared" si="34"/>
        <v>106355.28</v>
      </c>
      <c r="G89" s="821">
        <f t="shared" si="34"/>
        <v>6734.9152800000011</v>
      </c>
    </row>
    <row r="90" spans="2:7" ht="12.75" customHeight="1">
      <c r="B90" s="822" t="s">
        <v>311</v>
      </c>
      <c r="C90" s="823">
        <f>C88/C89</f>
        <v>8.3092273508573358E-2</v>
      </c>
      <c r="D90" s="824">
        <f>D88/D89</f>
        <v>0.26906029877617671</v>
      </c>
      <c r="E90" s="832">
        <f t="shared" ref="E90:G90" si="35">E88/E89</f>
        <v>0.10965435041716329</v>
      </c>
      <c r="F90" s="832">
        <f t="shared" si="35"/>
        <v>0.12495797105700818</v>
      </c>
      <c r="G90" s="832">
        <f t="shared" si="35"/>
        <v>0.12450118303492599</v>
      </c>
    </row>
  </sheetData>
  <mergeCells count="12">
    <mergeCell ref="K11:K12"/>
    <mergeCell ref="L11:M12"/>
    <mergeCell ref="K8:M8"/>
    <mergeCell ref="K9:K10"/>
    <mergeCell ref="K13:K14"/>
    <mergeCell ref="L13:M14"/>
    <mergeCell ref="L9:M10"/>
    <mergeCell ref="D4:G4"/>
    <mergeCell ref="D1:G1"/>
    <mergeCell ref="D2:G2"/>
    <mergeCell ref="D3:G3"/>
    <mergeCell ref="D5:G5"/>
  </mergeCells>
  <pageMargins left="0.7" right="0.7" top="0.75" bottom="0.75" header="0.3" footer="0.3"/>
  <pageSetup orientation="portrait" r:id="rId1"/>
  <ignoredErrors>
    <ignoredError sqref="I45" evalError="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A82E0-A099-472F-B885-77443363F881}">
  <sheetPr>
    <tabColor rgb="FF00B050"/>
  </sheetPr>
  <dimension ref="A1:AA100"/>
  <sheetViews>
    <sheetView showGridLines="0" topLeftCell="B1" zoomScale="80" zoomScaleNormal="80" workbookViewId="0">
      <selection activeCell="C6" sqref="C6"/>
    </sheetView>
  </sheetViews>
  <sheetFormatPr defaultColWidth="11.42578125" defaultRowHeight="13.15"/>
  <cols>
    <col min="1" max="1" width="1.140625" style="74" customWidth="1"/>
    <col min="2" max="2" width="59.42578125" style="74" customWidth="1"/>
    <col min="3" max="4" width="12.85546875" style="74" customWidth="1"/>
    <col min="5" max="5" width="11.42578125" style="74" bestFit="1" customWidth="1"/>
    <col min="6" max="6" width="11" style="74" customWidth="1"/>
    <col min="7" max="7" width="10.42578125" style="74" customWidth="1"/>
    <col min="8" max="8" width="20.28515625" style="501" customWidth="1"/>
    <col min="9" max="9" width="22.42578125" style="501" customWidth="1"/>
    <col min="10" max="10" width="64.140625" style="74" customWidth="1"/>
    <col min="11" max="11" width="34.7109375" style="74" bestFit="1" customWidth="1"/>
    <col min="12" max="12" width="21.28515625" style="74" customWidth="1"/>
    <col min="13" max="13" width="19.85546875" style="74" customWidth="1"/>
    <col min="14" max="14" width="20.85546875" style="74" bestFit="1" customWidth="1"/>
    <col min="15" max="15" width="19.85546875" style="74" bestFit="1" customWidth="1"/>
    <col min="16" max="16" width="19.85546875" style="74" customWidth="1"/>
    <col min="17" max="17" width="22.28515625" style="74" bestFit="1" customWidth="1"/>
    <col min="18" max="18" width="11.42578125" style="74" customWidth="1"/>
    <col min="19" max="19" width="10.42578125" style="74" customWidth="1"/>
    <col min="20" max="20" width="12.28515625" style="74" bestFit="1" customWidth="1"/>
    <col min="21" max="21" width="15.42578125" style="74" customWidth="1"/>
    <col min="22" max="22" width="18.140625" style="74" bestFit="1" customWidth="1"/>
    <col min="23" max="23" width="18.28515625" style="74" bestFit="1" customWidth="1"/>
    <col min="24" max="24" width="17.28515625" style="74" bestFit="1" customWidth="1"/>
    <col min="25" max="30" width="11.42578125" style="74"/>
    <col min="31" max="31" width="13" style="74" bestFit="1" customWidth="1"/>
    <col min="32" max="16384" width="11.42578125" style="74"/>
  </cols>
  <sheetData>
    <row r="1" spans="1:24">
      <c r="B1" s="209" t="s">
        <v>312</v>
      </c>
      <c r="C1" s="78"/>
      <c r="D1" s="78"/>
      <c r="E1" s="78"/>
      <c r="F1" s="78"/>
      <c r="G1" s="78"/>
      <c r="H1" s="495"/>
      <c r="I1" s="495"/>
      <c r="J1" s="78"/>
      <c r="T1" s="88" t="s">
        <v>10</v>
      </c>
    </row>
    <row r="2" spans="1:24" ht="13.9" thickBot="1">
      <c r="B2" s="84" t="s">
        <v>313</v>
      </c>
      <c r="C2" s="210" t="s">
        <v>314</v>
      </c>
      <c r="D2" s="78"/>
      <c r="E2" s="78"/>
      <c r="F2" s="78"/>
      <c r="G2" s="78"/>
      <c r="H2" s="495"/>
      <c r="I2" s="495"/>
      <c r="J2" s="78"/>
      <c r="T2" s="88" t="s">
        <v>13</v>
      </c>
    </row>
    <row r="3" spans="1:24" ht="21.6" thickBot="1">
      <c r="B3" s="1250" t="s">
        <v>315</v>
      </c>
      <c r="C3" s="1250"/>
      <c r="D3" s="1250"/>
      <c r="E3" s="1250"/>
      <c r="F3" s="1250"/>
      <c r="G3" s="1250"/>
      <c r="H3" s="1250"/>
      <c r="I3" s="1250"/>
      <c r="J3" s="1250"/>
      <c r="K3" s="1251" t="s">
        <v>316</v>
      </c>
      <c r="L3" s="1251"/>
      <c r="M3" s="1251"/>
      <c r="N3" s="1251"/>
      <c r="O3" s="1251"/>
      <c r="P3" s="1251"/>
      <c r="Q3" s="1251"/>
    </row>
    <row r="4" spans="1:24" ht="31.9" thickBot="1">
      <c r="B4" s="200" t="s">
        <v>317</v>
      </c>
      <c r="C4" s="230" t="s">
        <v>318</v>
      </c>
      <c r="D4" s="230" t="s">
        <v>319</v>
      </c>
      <c r="E4" s="230" t="s">
        <v>320</v>
      </c>
      <c r="F4" s="230" t="s">
        <v>321</v>
      </c>
      <c r="G4" s="230" t="s">
        <v>322</v>
      </c>
      <c r="H4" s="201" t="s">
        <v>323</v>
      </c>
      <c r="I4" s="201" t="s">
        <v>324</v>
      </c>
      <c r="J4" s="202" t="s">
        <v>325</v>
      </c>
      <c r="K4" s="200" t="s">
        <v>317</v>
      </c>
      <c r="L4" s="233" t="e" vm="1">
        <f>Peers!C7</f>
        <v>#VALUE!</v>
      </c>
      <c r="M4" s="233" t="e" vm="2">
        <f>Peers!D7</f>
        <v>#VALUE!</v>
      </c>
      <c r="N4" s="233" t="e" vm="3">
        <f>Peers!E7</f>
        <v>#VALUE!</v>
      </c>
      <c r="O4" s="233" t="e" vm="4">
        <f>Peers!F7</f>
        <v>#VALUE!</v>
      </c>
      <c r="P4" s="233" t="e" vm="5">
        <f>Peers!G7</f>
        <v>#VALUE!</v>
      </c>
      <c r="Q4" s="233" t="e">
        <f>Peers!#REF!</f>
        <v>#REF!</v>
      </c>
      <c r="R4" s="656" t="s">
        <v>236</v>
      </c>
    </row>
    <row r="5" spans="1:24" ht="13.9">
      <c r="B5" s="211" t="s">
        <v>326</v>
      </c>
      <c r="C5" s="212"/>
      <c r="D5" s="213"/>
      <c r="E5" s="213"/>
      <c r="F5" s="213"/>
      <c r="G5" s="213"/>
      <c r="H5" s="496"/>
      <c r="I5" s="496"/>
      <c r="J5" s="214"/>
      <c r="K5" s="211" t="s">
        <v>327</v>
      </c>
      <c r="L5" s="213"/>
      <c r="M5" s="213"/>
      <c r="N5" s="213"/>
      <c r="O5" s="213"/>
      <c r="P5" s="214"/>
      <c r="Q5" s="214"/>
      <c r="R5" s="214"/>
    </row>
    <row r="6" spans="1:24" ht="185.45">
      <c r="A6" s="74">
        <v>1</v>
      </c>
      <c r="B6" s="205" t="s">
        <v>328</v>
      </c>
      <c r="C6" s="203" t="str">
        <f>VLOOKUP($B$2,'Sector Impact'!$K$4:$AA$16,A6+1,FALSE)</f>
        <v>High</v>
      </c>
      <c r="D6" s="203" t="s">
        <v>10</v>
      </c>
      <c r="E6" s="203" t="s">
        <v>329</v>
      </c>
      <c r="F6" s="215" t="s">
        <v>10</v>
      </c>
      <c r="G6" s="299"/>
      <c r="H6" s="868" t="s">
        <v>330</v>
      </c>
      <c r="I6" s="868" t="s">
        <v>331</v>
      </c>
      <c r="J6" s="502" t="s">
        <v>332</v>
      </c>
      <c r="K6" s="205" t="s">
        <v>333</v>
      </c>
      <c r="L6" s="471" t="e">
        <f>L12/L$11</f>
        <v>#VALUE!</v>
      </c>
      <c r="M6" s="471" t="e">
        <f t="shared" ref="M6:O6" si="0">M12/M$11</f>
        <v>#VALUE!</v>
      </c>
      <c r="N6" s="471" t="e">
        <f t="shared" si="0"/>
        <v>#VALUE!</v>
      </c>
      <c r="O6" s="471" t="e">
        <f t="shared" si="0"/>
        <v>#VALUE!</v>
      </c>
      <c r="P6" s="471" t="e">
        <f t="shared" ref="P6:Q9" si="1">P12/P$11</f>
        <v>#VALUE!</v>
      </c>
      <c r="Q6" s="471" t="e">
        <f t="shared" si="1"/>
        <v>#DIV/0!</v>
      </c>
      <c r="R6" s="552" t="str">
        <f t="shared" ref="R6:R9" si="2">IFERROR(AVERAGE(L6:Q6),"")</f>
        <v/>
      </c>
    </row>
    <row r="7" spans="1:24" s="78" customFormat="1" ht="211.9">
      <c r="A7" s="78">
        <v>2</v>
      </c>
      <c r="B7" s="205" t="s">
        <v>334</v>
      </c>
      <c r="C7" s="203" t="str">
        <f>VLOOKUP($B$2,'Sector Impact'!$K$4:$AA$16,A7+1,FALSE)</f>
        <v>Very High</v>
      </c>
      <c r="D7" s="203" t="s">
        <v>10</v>
      </c>
      <c r="E7" s="203" t="s">
        <v>329</v>
      </c>
      <c r="F7" s="215" t="s">
        <v>10</v>
      </c>
      <c r="G7" s="299"/>
      <c r="H7" s="868" t="s">
        <v>335</v>
      </c>
      <c r="I7" s="868" t="s">
        <v>336</v>
      </c>
      <c r="J7" s="868" t="s">
        <v>337</v>
      </c>
      <c r="K7" s="205" t="s">
        <v>338</v>
      </c>
      <c r="L7" s="471" t="e">
        <f t="shared" ref="L7:O9" si="3">L13/L$11</f>
        <v>#VALUE!</v>
      </c>
      <c r="M7" s="471" t="e">
        <f t="shared" si="3"/>
        <v>#VALUE!</v>
      </c>
      <c r="N7" s="471" t="e">
        <f t="shared" si="3"/>
        <v>#VALUE!</v>
      </c>
      <c r="O7" s="471" t="e">
        <f t="shared" si="3"/>
        <v>#VALUE!</v>
      </c>
      <c r="P7" s="471" t="e">
        <f t="shared" si="1"/>
        <v>#VALUE!</v>
      </c>
      <c r="Q7" s="471" t="e">
        <f t="shared" si="1"/>
        <v>#DIV/0!</v>
      </c>
      <c r="R7" s="553" t="str">
        <f t="shared" si="2"/>
        <v/>
      </c>
    </row>
    <row r="8" spans="1:24" ht="119.45">
      <c r="A8" s="74">
        <v>3</v>
      </c>
      <c r="B8" s="205" t="s">
        <v>339</v>
      </c>
      <c r="C8" s="203" t="str">
        <f>VLOOKUP($B$2,'Sector Impact'!$K$4:$AA$16,A8+1,FALSE)</f>
        <v>High</v>
      </c>
      <c r="D8" s="203" t="s">
        <v>10</v>
      </c>
      <c r="E8" s="203" t="s">
        <v>340</v>
      </c>
      <c r="F8" s="215" t="s">
        <v>10</v>
      </c>
      <c r="G8" s="298"/>
      <c r="H8" s="868" t="s">
        <v>341</v>
      </c>
      <c r="I8" s="868" t="s">
        <v>342</v>
      </c>
      <c r="J8" s="868" t="s">
        <v>343</v>
      </c>
      <c r="K8" s="205" t="s">
        <v>344</v>
      </c>
      <c r="L8" s="471" t="e">
        <f t="shared" si="3"/>
        <v>#VALUE!</v>
      </c>
      <c r="M8" s="471" t="e">
        <f t="shared" si="3"/>
        <v>#VALUE!</v>
      </c>
      <c r="N8" s="471" t="e">
        <f t="shared" si="3"/>
        <v>#VALUE!</v>
      </c>
      <c r="O8" s="471" t="e">
        <f t="shared" si="3"/>
        <v>#VALUE!</v>
      </c>
      <c r="P8" s="471" t="e">
        <f t="shared" si="1"/>
        <v>#VALUE!</v>
      </c>
      <c r="Q8" s="471" t="e">
        <f t="shared" si="1"/>
        <v>#DIV/0!</v>
      </c>
      <c r="R8" s="553" t="str">
        <f>IFERROR(AVERAGE(L8:Q8),"")</f>
        <v/>
      </c>
    </row>
    <row r="9" spans="1:24" ht="185.45">
      <c r="A9" s="74">
        <v>4</v>
      </c>
      <c r="B9" s="205" t="s">
        <v>345</v>
      </c>
      <c r="C9" s="203" t="str">
        <f>VLOOKUP($B$2,'Sector Impact'!$K$4:$AA$16,A9+1,FALSE)</f>
        <v>High</v>
      </c>
      <c r="D9" s="203" t="s">
        <v>10</v>
      </c>
      <c r="E9" s="203" t="s">
        <v>340</v>
      </c>
      <c r="F9" s="215" t="s">
        <v>10</v>
      </c>
      <c r="G9" s="298"/>
      <c r="H9" s="868" t="s">
        <v>346</v>
      </c>
      <c r="I9" s="868" t="s">
        <v>347</v>
      </c>
      <c r="J9" s="868" t="s">
        <v>348</v>
      </c>
      <c r="K9" s="205" t="s">
        <v>349</v>
      </c>
      <c r="L9" s="471" t="e">
        <f t="shared" si="3"/>
        <v>#VALUE!</v>
      </c>
      <c r="M9" s="471" t="e">
        <f t="shared" si="3"/>
        <v>#VALUE!</v>
      </c>
      <c r="N9" s="471" t="e">
        <f t="shared" si="3"/>
        <v>#VALUE!</v>
      </c>
      <c r="O9" s="471" t="e">
        <f t="shared" si="3"/>
        <v>#VALUE!</v>
      </c>
      <c r="P9" s="471" t="e">
        <f t="shared" si="1"/>
        <v>#VALUE!</v>
      </c>
      <c r="Q9" s="471" t="e">
        <f t="shared" si="1"/>
        <v>#DIV/0!</v>
      </c>
      <c r="R9" s="553" t="str">
        <f t="shared" si="2"/>
        <v/>
      </c>
    </row>
    <row r="10" spans="1:24" ht="13.9">
      <c r="A10" s="74">
        <v>5</v>
      </c>
      <c r="B10" s="205" t="s">
        <v>350</v>
      </c>
      <c r="C10" s="203" t="str">
        <f>VLOOKUP($B$2,'Sector Impact'!$K$4:$AA$16,A10+1,FALSE)</f>
        <v>High</v>
      </c>
      <c r="D10" s="208"/>
      <c r="E10" s="208"/>
      <c r="F10" s="208"/>
      <c r="G10" s="208"/>
      <c r="H10" s="204" t="s">
        <v>351</v>
      </c>
      <c r="I10" s="204" t="s">
        <v>351</v>
      </c>
      <c r="J10" s="206" t="s">
        <v>351</v>
      </c>
      <c r="K10" s="211" t="s">
        <v>352</v>
      </c>
      <c r="L10" s="213"/>
      <c r="M10" s="213"/>
      <c r="N10" s="213"/>
      <c r="O10" s="213"/>
      <c r="P10" s="213"/>
      <c r="Q10" s="214"/>
      <c r="S10"/>
      <c r="V10" s="78"/>
      <c r="W10" s="78"/>
      <c r="X10" s="78"/>
    </row>
    <row r="11" spans="1:24" ht="13.9">
      <c r="B11" s="211" t="s">
        <v>353</v>
      </c>
      <c r="C11" s="208"/>
      <c r="D11" s="208"/>
      <c r="E11" s="208"/>
      <c r="F11" s="217"/>
      <c r="G11" s="218"/>
      <c r="H11" s="497"/>
      <c r="I11" s="497"/>
      <c r="J11" s="219"/>
      <c r="K11" s="205" t="s">
        <v>354</v>
      </c>
      <c r="L11" s="889" t="s">
        <v>355</v>
      </c>
      <c r="M11" s="890" t="s">
        <v>356</v>
      </c>
      <c r="N11" s="890" t="s">
        <v>357</v>
      </c>
      <c r="O11" s="890" t="s">
        <v>358</v>
      </c>
      <c r="P11" s="890" t="s">
        <v>359</v>
      </c>
      <c r="Q11" s="472"/>
      <c r="S11"/>
    </row>
    <row r="12" spans="1:24">
      <c r="A12" s="74">
        <v>6</v>
      </c>
      <c r="B12" s="205" t="s">
        <v>360</v>
      </c>
      <c r="C12" s="203" t="str">
        <f>VLOOKUP($B$2,'Sector Impact'!$K$4:$AA$16,A12+1,FALSE)</f>
        <v>Medium</v>
      </c>
      <c r="D12" s="208"/>
      <c r="E12" s="208"/>
      <c r="F12" s="208"/>
      <c r="G12" s="208"/>
      <c r="H12" s="204" t="s">
        <v>351</v>
      </c>
      <c r="I12" s="204" t="s">
        <v>351</v>
      </c>
      <c r="J12" s="220" t="s">
        <v>351</v>
      </c>
      <c r="K12" s="205" t="s">
        <v>361</v>
      </c>
      <c r="L12" s="891">
        <v>29925000</v>
      </c>
      <c r="M12" s="892">
        <v>6189527</v>
      </c>
      <c r="N12" s="895" t="s">
        <v>362</v>
      </c>
      <c r="O12" s="893">
        <v>2070000</v>
      </c>
      <c r="P12" s="893">
        <v>3700000</v>
      </c>
      <c r="Q12" s="232"/>
      <c r="S12"/>
    </row>
    <row r="13" spans="1:24" ht="250.9">
      <c r="A13" s="74">
        <v>7</v>
      </c>
      <c r="B13" s="205" t="s">
        <v>363</v>
      </c>
      <c r="C13" s="203" t="str">
        <f>VLOOKUP($B$2,'Sector Impact'!$K$4:$AA$16,A13+1,FALSE)</f>
        <v>High</v>
      </c>
      <c r="D13" s="203" t="s">
        <v>13</v>
      </c>
      <c r="E13" s="203" t="s">
        <v>329</v>
      </c>
      <c r="F13" s="221" t="s">
        <v>13</v>
      </c>
      <c r="G13" s="299"/>
      <c r="H13" s="868" t="s">
        <v>364</v>
      </c>
      <c r="I13" s="869" t="s">
        <v>365</v>
      </c>
      <c r="J13" s="868" t="s">
        <v>366</v>
      </c>
      <c r="K13" s="205" t="s">
        <v>367</v>
      </c>
      <c r="L13" s="892">
        <v>9540000</v>
      </c>
      <c r="M13" s="894">
        <v>5783000</v>
      </c>
      <c r="N13" s="896" t="s">
        <v>362</v>
      </c>
      <c r="O13" s="893">
        <v>873000</v>
      </c>
      <c r="P13" s="893">
        <v>735000</v>
      </c>
      <c r="Q13" s="232"/>
      <c r="S13"/>
    </row>
    <row r="14" spans="1:24">
      <c r="A14" s="74">
        <v>8</v>
      </c>
      <c r="B14" s="223" t="s">
        <v>368</v>
      </c>
      <c r="C14" s="203" t="str">
        <f>VLOOKUP($B$2,'Sector Impact'!$K$4:$AA$16,A14+1,FALSE)</f>
        <v>High</v>
      </c>
      <c r="D14" s="208"/>
      <c r="E14" s="208"/>
      <c r="F14" s="208"/>
      <c r="G14" s="208"/>
      <c r="H14" s="204" t="s">
        <v>351</v>
      </c>
      <c r="I14" s="204" t="s">
        <v>351</v>
      </c>
      <c r="J14" s="222" t="s">
        <v>351</v>
      </c>
      <c r="K14" s="205" t="s">
        <v>369</v>
      </c>
      <c r="L14" s="894">
        <v>17900000</v>
      </c>
      <c r="M14" s="893">
        <v>5683133</v>
      </c>
      <c r="N14" s="896" t="s">
        <v>362</v>
      </c>
      <c r="O14" s="893">
        <v>1479716</v>
      </c>
      <c r="P14" s="893">
        <v>2437200</v>
      </c>
      <c r="Q14" s="232"/>
      <c r="S14"/>
    </row>
    <row r="15" spans="1:24">
      <c r="A15" s="74">
        <v>9</v>
      </c>
      <c r="B15" s="223" t="s">
        <v>370</v>
      </c>
      <c r="C15" s="203" t="str">
        <f>VLOOKUP($B$2,'Sector Impact'!$K$4:$AA$16,A15+1,FALSE)</f>
        <v>Low</v>
      </c>
      <c r="D15" s="203"/>
      <c r="E15" s="203"/>
      <c r="F15" s="215" t="s">
        <v>10</v>
      </c>
      <c r="G15" s="216"/>
      <c r="H15" s="498"/>
      <c r="I15" s="498"/>
      <c r="J15" s="222"/>
      <c r="K15" s="205" t="s">
        <v>371</v>
      </c>
      <c r="L15" s="891">
        <v>280000</v>
      </c>
      <c r="M15" s="893">
        <v>87188</v>
      </c>
      <c r="N15" s="896" t="s">
        <v>362</v>
      </c>
      <c r="O15" s="893">
        <v>27272</v>
      </c>
      <c r="P15" s="893">
        <v>3200</v>
      </c>
      <c r="Q15" s="232"/>
      <c r="S15"/>
    </row>
    <row r="16" spans="1:24" ht="42" customHeight="1">
      <c r="A16" s="74">
        <v>10</v>
      </c>
      <c r="B16" s="205" t="s">
        <v>372</v>
      </c>
      <c r="C16" s="203" t="str">
        <f>VLOOKUP($B$2,'Sector Impact'!$K$4:$AA$16,A16+1,FALSE)</f>
        <v>Medium</v>
      </c>
      <c r="D16" s="203" t="s">
        <v>10</v>
      </c>
      <c r="E16" s="203" t="s">
        <v>329</v>
      </c>
      <c r="F16" s="215" t="s">
        <v>10</v>
      </c>
      <c r="G16" s="517"/>
      <c r="H16" s="868" t="s">
        <v>364</v>
      </c>
      <c r="I16" s="868" t="s">
        <v>364</v>
      </c>
      <c r="J16" s="868" t="s">
        <v>366</v>
      </c>
      <c r="K16" s="211" t="s">
        <v>373</v>
      </c>
      <c r="L16" s="213"/>
      <c r="M16" s="213"/>
      <c r="N16" s="213"/>
      <c r="O16" s="213"/>
      <c r="P16" s="214"/>
      <c r="Q16" s="214"/>
      <c r="S16"/>
    </row>
    <row r="17" spans="1:19">
      <c r="A17" s="74">
        <v>11</v>
      </c>
      <c r="B17" s="205" t="s">
        <v>374</v>
      </c>
      <c r="C17" s="203" t="str">
        <f>VLOOKUP($B$2,'Sector Impact'!$K$4:$AA$16,A17+1,FALSE)</f>
        <v>Medium</v>
      </c>
      <c r="D17" s="867"/>
      <c r="E17" s="867"/>
      <c r="F17" s="867"/>
      <c r="G17" s="867"/>
      <c r="H17" s="204" t="s">
        <v>351</v>
      </c>
      <c r="I17" s="499" t="s">
        <v>351</v>
      </c>
      <c r="J17" s="222" t="s">
        <v>351</v>
      </c>
      <c r="K17" s="205" t="s">
        <v>375</v>
      </c>
      <c r="L17" s="873">
        <v>80</v>
      </c>
      <c r="M17" s="874">
        <v>85</v>
      </c>
      <c r="N17" s="874">
        <v>8</v>
      </c>
      <c r="O17" s="874">
        <v>89</v>
      </c>
      <c r="P17" s="874">
        <v>72</v>
      </c>
      <c r="Q17" s="231"/>
      <c r="S17"/>
    </row>
    <row r="18" spans="1:19">
      <c r="A18" s="74">
        <v>12</v>
      </c>
      <c r="B18" s="205" t="s">
        <v>376</v>
      </c>
      <c r="C18" s="203" t="str">
        <f>VLOOKUP($B$2,'Sector Impact'!$K$4:$AA$16,A18+1,FALSE)</f>
        <v>Low</v>
      </c>
      <c r="D18" s="203"/>
      <c r="E18" s="203"/>
      <c r="F18" s="215"/>
      <c r="G18" s="216"/>
      <c r="H18" s="498"/>
      <c r="I18" s="498"/>
      <c r="J18" s="224"/>
      <c r="K18" s="205" t="s">
        <v>377</v>
      </c>
      <c r="L18" s="875" t="s">
        <v>378</v>
      </c>
      <c r="M18" s="876" t="s">
        <v>379</v>
      </c>
      <c r="N18" s="876" t="s">
        <v>380</v>
      </c>
      <c r="O18" s="876" t="s">
        <v>381</v>
      </c>
      <c r="P18" s="876" t="s">
        <v>382</v>
      </c>
      <c r="Q18" s="231"/>
    </row>
    <row r="19" spans="1:19" ht="158.44999999999999">
      <c r="A19" s="74">
        <v>13</v>
      </c>
      <c r="B19" s="205" t="s">
        <v>383</v>
      </c>
      <c r="C19" s="203" t="str">
        <f>VLOOKUP($B$2,'Sector Impact'!$K$4:$AA$16,A19+1,FALSE)</f>
        <v>High</v>
      </c>
      <c r="D19" s="203" t="s">
        <v>10</v>
      </c>
      <c r="E19" s="203" t="s">
        <v>329</v>
      </c>
      <c r="F19" s="215" t="s">
        <v>10</v>
      </c>
      <c r="G19" s="295"/>
      <c r="H19" s="868" t="s">
        <v>384</v>
      </c>
      <c r="I19" s="869" t="s">
        <v>385</v>
      </c>
      <c r="J19" s="868" t="s">
        <v>386</v>
      </c>
      <c r="K19" s="205" t="s">
        <v>387</v>
      </c>
      <c r="L19" s="875" t="s">
        <v>388</v>
      </c>
      <c r="M19" s="876" t="s">
        <v>388</v>
      </c>
      <c r="N19" s="876" t="s">
        <v>389</v>
      </c>
      <c r="O19" s="876" t="s">
        <v>388</v>
      </c>
      <c r="P19" s="876" t="s">
        <v>388</v>
      </c>
      <c r="Q19" s="232"/>
    </row>
    <row r="20" spans="1:19">
      <c r="A20" s="74">
        <v>14</v>
      </c>
      <c r="B20" s="205" t="s">
        <v>390</v>
      </c>
      <c r="C20" s="203" t="str">
        <f>VLOOKUP($B$2,'Sector Impact'!$K$4:$AA$16,A20+1,FALSE)</f>
        <v>Low</v>
      </c>
      <c r="D20" s="203"/>
      <c r="E20" s="203"/>
      <c r="F20" s="215"/>
      <c r="G20" s="216"/>
      <c r="H20" s="498"/>
      <c r="I20" s="498"/>
      <c r="J20" s="222"/>
      <c r="K20" s="205" t="s">
        <v>391</v>
      </c>
      <c r="L20" s="875" t="s">
        <v>392</v>
      </c>
      <c r="M20" s="876" t="s">
        <v>393</v>
      </c>
      <c r="N20" s="876" t="s">
        <v>394</v>
      </c>
      <c r="O20" s="876" t="s">
        <v>395</v>
      </c>
      <c r="P20" s="876" t="s">
        <v>396</v>
      </c>
      <c r="Q20" s="231"/>
    </row>
    <row r="21" spans="1:19">
      <c r="A21" s="74">
        <v>15</v>
      </c>
      <c r="B21" s="205" t="s">
        <v>397</v>
      </c>
      <c r="C21" s="203" t="str">
        <f>VLOOKUP($B$2,'Sector Impact'!$K$4:$AA$16,A21+1,FALSE)</f>
        <v>Very High</v>
      </c>
      <c r="D21" s="203"/>
      <c r="E21" s="203"/>
      <c r="F21" s="203"/>
      <c r="G21" s="203"/>
      <c r="H21" s="204" t="s">
        <v>351</v>
      </c>
      <c r="I21" s="499" t="s">
        <v>351</v>
      </c>
      <c r="J21" s="222" t="s">
        <v>351</v>
      </c>
    </row>
    <row r="22" spans="1:19" ht="13.9" thickBot="1">
      <c r="A22" s="74">
        <v>16</v>
      </c>
      <c r="B22" s="205" t="s">
        <v>398</v>
      </c>
      <c r="C22" s="207" t="str">
        <f>VLOOKUP($B$2,'Sector Impact'!$K$4:$AA$16,A22+1,FALSE)</f>
        <v>Low</v>
      </c>
      <c r="D22" s="203" t="s">
        <v>10</v>
      </c>
      <c r="E22" s="203"/>
      <c r="F22" s="215"/>
      <c r="G22" s="216"/>
      <c r="H22" s="498"/>
      <c r="I22" s="498"/>
      <c r="J22" s="206"/>
    </row>
    <row r="23" spans="1:19" ht="13.9">
      <c r="B23" s="211" t="s">
        <v>399</v>
      </c>
      <c r="C23" s="225"/>
      <c r="D23" s="208"/>
      <c r="E23" s="217"/>
      <c r="F23" s="217"/>
      <c r="G23" s="218"/>
      <c r="H23" s="497"/>
      <c r="I23" s="497"/>
      <c r="J23" s="219"/>
      <c r="K23" s="1253" t="s">
        <v>400</v>
      </c>
      <c r="L23" s="1254"/>
      <c r="M23" s="1255"/>
    </row>
    <row r="24" spans="1:19" ht="66">
      <c r="A24" s="74">
        <v>17</v>
      </c>
      <c r="B24" s="205" t="s">
        <v>401</v>
      </c>
      <c r="C24" s="226"/>
      <c r="D24" s="227"/>
      <c r="E24" s="221" t="s">
        <v>340</v>
      </c>
      <c r="F24" s="221" t="s">
        <v>13</v>
      </c>
      <c r="G24" s="298"/>
      <c r="H24" s="868" t="s">
        <v>402</v>
      </c>
      <c r="I24" s="869" t="s">
        <v>351</v>
      </c>
      <c r="J24" s="869" t="s">
        <v>403</v>
      </c>
      <c r="K24" s="250" t="s">
        <v>404</v>
      </c>
      <c r="L24" s="75" t="s">
        <v>405</v>
      </c>
      <c r="M24" s="76" t="s">
        <v>406</v>
      </c>
      <c r="O24" s="616" t="s">
        <v>239</v>
      </c>
    </row>
    <row r="25" spans="1:19" ht="15.75" customHeight="1">
      <c r="A25" s="74">
        <v>18</v>
      </c>
      <c r="B25" s="205" t="s">
        <v>407</v>
      </c>
      <c r="C25" s="226"/>
      <c r="D25" s="227"/>
      <c r="E25" s="221" t="s">
        <v>329</v>
      </c>
      <c r="F25" s="221" t="s">
        <v>13</v>
      </c>
      <c r="G25" s="295"/>
      <c r="H25" s="869" t="s">
        <v>351</v>
      </c>
      <c r="I25" s="869" t="s">
        <v>351</v>
      </c>
      <c r="J25" s="870" t="s">
        <v>408</v>
      </c>
      <c r="K25" s="194" t="s">
        <v>409</v>
      </c>
      <c r="L25" s="195" t="s">
        <v>410</v>
      </c>
      <c r="M25" s="1256" t="s">
        <v>411</v>
      </c>
      <c r="O25" s="617"/>
    </row>
    <row r="26" spans="1:19" ht="15.75" customHeight="1">
      <c r="A26" s="74">
        <v>19</v>
      </c>
      <c r="B26" s="205" t="s">
        <v>412</v>
      </c>
      <c r="C26" s="226"/>
      <c r="D26" s="227"/>
      <c r="E26" s="221" t="s">
        <v>329</v>
      </c>
      <c r="F26" s="221" t="s">
        <v>13</v>
      </c>
      <c r="G26" s="295"/>
      <c r="H26" s="869" t="s">
        <v>351</v>
      </c>
      <c r="I26" s="869" t="s">
        <v>351</v>
      </c>
      <c r="J26" s="871" t="s">
        <v>413</v>
      </c>
      <c r="K26" s="194" t="s">
        <v>329</v>
      </c>
      <c r="L26" s="195" t="s">
        <v>340</v>
      </c>
      <c r="M26" s="1257"/>
      <c r="O26" s="618"/>
    </row>
    <row r="27" spans="1:19" ht="26.45">
      <c r="A27" s="74">
        <v>20</v>
      </c>
      <c r="B27" s="205" t="s">
        <v>414</v>
      </c>
      <c r="C27" s="226"/>
      <c r="D27" s="227"/>
      <c r="E27" s="221" t="s">
        <v>329</v>
      </c>
      <c r="F27" s="221" t="s">
        <v>13</v>
      </c>
      <c r="G27" s="295"/>
      <c r="H27" s="869" t="s">
        <v>351</v>
      </c>
      <c r="I27" s="869" t="s">
        <v>351</v>
      </c>
      <c r="J27" s="871" t="s">
        <v>415</v>
      </c>
      <c r="K27" s="196" t="s">
        <v>416</v>
      </c>
      <c r="L27" s="197" t="s">
        <v>329</v>
      </c>
      <c r="M27" s="1257"/>
      <c r="O27" s="619"/>
    </row>
    <row r="28" spans="1:19" ht="17.45">
      <c r="A28" s="74">
        <v>21</v>
      </c>
      <c r="B28" s="205" t="s">
        <v>417</v>
      </c>
      <c r="C28" s="226"/>
      <c r="D28" s="227"/>
      <c r="E28" s="221" t="s">
        <v>418</v>
      </c>
      <c r="F28" s="221" t="s">
        <v>13</v>
      </c>
      <c r="G28" s="516"/>
      <c r="H28" s="869" t="s">
        <v>351</v>
      </c>
      <c r="I28" s="869" t="s">
        <v>351</v>
      </c>
      <c r="J28" s="872" t="s">
        <v>419</v>
      </c>
      <c r="K28" s="198" t="s">
        <v>420</v>
      </c>
      <c r="L28" s="199" t="s">
        <v>418</v>
      </c>
      <c r="M28" s="1258"/>
    </row>
    <row r="29" spans="1:19" ht="26.45">
      <c r="A29" s="74">
        <v>22</v>
      </c>
      <c r="B29" s="205" t="s">
        <v>421</v>
      </c>
      <c r="C29" s="226"/>
      <c r="D29" s="227"/>
      <c r="E29" s="221" t="s">
        <v>329</v>
      </c>
      <c r="F29" s="221" t="s">
        <v>13</v>
      </c>
      <c r="G29" s="295"/>
      <c r="H29" s="869" t="s">
        <v>351</v>
      </c>
      <c r="I29" s="869" t="s">
        <v>351</v>
      </c>
      <c r="J29" s="868" t="s">
        <v>422</v>
      </c>
    </row>
    <row r="30" spans="1:19" ht="26.1" customHeight="1">
      <c r="A30" s="74">
        <v>23</v>
      </c>
      <c r="B30" s="205" t="s">
        <v>423</v>
      </c>
      <c r="C30" s="226"/>
      <c r="D30" s="227"/>
      <c r="E30" s="221" t="s">
        <v>410</v>
      </c>
      <c r="F30" s="221" t="s">
        <v>13</v>
      </c>
      <c r="G30" s="298"/>
      <c r="H30" s="869" t="s">
        <v>351</v>
      </c>
      <c r="I30" s="869" t="s">
        <v>351</v>
      </c>
      <c r="J30" s="871" t="s">
        <v>424</v>
      </c>
    </row>
    <row r="31" spans="1:19" ht="20.25" customHeight="1">
      <c r="A31" s="74">
        <v>24</v>
      </c>
      <c r="B31" s="228" t="s">
        <v>425</v>
      </c>
      <c r="C31" s="226"/>
      <c r="D31" s="227"/>
      <c r="E31" s="221" t="s">
        <v>340</v>
      </c>
      <c r="F31" s="221" t="s">
        <v>13</v>
      </c>
      <c r="G31" s="298"/>
      <c r="H31" s="869" t="s">
        <v>351</v>
      </c>
      <c r="I31" s="869" t="s">
        <v>351</v>
      </c>
      <c r="J31" s="870" t="s">
        <v>426</v>
      </c>
      <c r="L31" s="581"/>
    </row>
    <row r="32" spans="1:19" ht="66.75" customHeight="1">
      <c r="A32" s="74">
        <v>25</v>
      </c>
      <c r="B32" s="205" t="s">
        <v>427</v>
      </c>
      <c r="C32" s="226"/>
      <c r="D32" s="221" t="s">
        <v>10</v>
      </c>
      <c r="E32" s="221" t="s">
        <v>329</v>
      </c>
      <c r="F32" s="221" t="s">
        <v>13</v>
      </c>
      <c r="G32" s="295"/>
      <c r="H32" s="869" t="s">
        <v>351</v>
      </c>
      <c r="I32" s="869" t="s">
        <v>351</v>
      </c>
      <c r="J32" s="870" t="s">
        <v>428</v>
      </c>
      <c r="L32" s="582"/>
    </row>
    <row r="33" spans="1:27" ht="13.5" customHeight="1">
      <c r="A33" s="74">
        <v>26</v>
      </c>
      <c r="B33" s="205" t="s">
        <v>429</v>
      </c>
      <c r="C33" s="226"/>
      <c r="D33" s="221" t="s">
        <v>13</v>
      </c>
      <c r="E33" s="221" t="s">
        <v>418</v>
      </c>
      <c r="F33" s="221" t="s">
        <v>13</v>
      </c>
      <c r="G33" s="516"/>
      <c r="H33" s="869" t="s">
        <v>351</v>
      </c>
      <c r="I33" s="869" t="s">
        <v>351</v>
      </c>
      <c r="J33" s="870" t="s">
        <v>351</v>
      </c>
      <c r="L33" s="296"/>
      <c r="N33" s="296"/>
    </row>
    <row r="34" spans="1:27" ht="13.5" customHeight="1">
      <c r="A34" s="74">
        <v>27</v>
      </c>
      <c r="B34" s="205" t="s">
        <v>430</v>
      </c>
      <c r="C34" s="226"/>
      <c r="D34" s="229" t="s">
        <v>10</v>
      </c>
      <c r="E34" s="221" t="s">
        <v>410</v>
      </c>
      <c r="F34" s="221" t="s">
        <v>13</v>
      </c>
      <c r="G34" s="298"/>
      <c r="H34" s="869" t="s">
        <v>351</v>
      </c>
      <c r="I34" s="869" t="s">
        <v>351</v>
      </c>
      <c r="J34" s="870" t="s">
        <v>431</v>
      </c>
      <c r="L34" s="297"/>
      <c r="N34" s="297"/>
    </row>
    <row r="35" spans="1:27">
      <c r="B35" s="81"/>
      <c r="C35" s="81"/>
      <c r="D35" s="81"/>
      <c r="E35" s="81"/>
      <c r="F35" s="81"/>
      <c r="G35" s="81"/>
      <c r="H35" s="500"/>
      <c r="I35" s="500"/>
      <c r="J35" s="81"/>
      <c r="T35" s="82"/>
    </row>
    <row r="36" spans="1:27" ht="17.45">
      <c r="B36" s="83"/>
      <c r="T36" s="82"/>
    </row>
    <row r="37" spans="1:27">
      <c r="K37"/>
      <c r="T37" s="82"/>
    </row>
    <row r="38" spans="1:27">
      <c r="C38"/>
      <c r="D38"/>
      <c r="E38"/>
      <c r="F38"/>
      <c r="G38"/>
      <c r="H38" s="502"/>
      <c r="I38" s="502"/>
      <c r="J38"/>
      <c r="K38"/>
      <c r="L38"/>
      <c r="M38"/>
      <c r="N38"/>
      <c r="O38"/>
      <c r="P38"/>
      <c r="Q38"/>
      <c r="R38"/>
      <c r="S38"/>
      <c r="T38"/>
      <c r="U38"/>
      <c r="V38"/>
      <c r="W38"/>
      <c r="X38"/>
      <c r="Y38"/>
      <c r="Z38"/>
      <c r="AA38"/>
    </row>
    <row r="39" spans="1:27">
      <c r="C39"/>
      <c r="D39"/>
      <c r="E39"/>
      <c r="F39"/>
      <c r="G39"/>
      <c r="H39" s="502"/>
      <c r="I39" s="502"/>
      <c r="J39"/>
      <c r="M39"/>
      <c r="N39"/>
      <c r="O39"/>
      <c r="P39"/>
      <c r="Q39"/>
      <c r="R39"/>
      <c r="S39"/>
      <c r="T39"/>
      <c r="U39"/>
      <c r="V39"/>
      <c r="W39"/>
      <c r="X39"/>
      <c r="Y39"/>
      <c r="Z39"/>
      <c r="AA39"/>
    </row>
    <row r="54" spans="14:19">
      <c r="N54" s="1252"/>
      <c r="O54" s="1252"/>
      <c r="P54" s="1252"/>
      <c r="Q54" s="1252"/>
      <c r="R54" s="1252"/>
      <c r="S54" s="1252"/>
    </row>
    <row r="55" spans="14:19">
      <c r="O55" s="504"/>
      <c r="P55" s="504"/>
      <c r="Q55" s="504"/>
      <c r="R55" s="504"/>
      <c r="S55" s="504"/>
    </row>
    <row r="56" spans="14:19">
      <c r="N56" s="505"/>
      <c r="O56" s="505"/>
      <c r="P56" s="505"/>
      <c r="Q56" s="505"/>
      <c r="R56" s="505"/>
      <c r="S56" s="505"/>
    </row>
    <row r="57" spans="14:19">
      <c r="N57" s="505"/>
      <c r="O57" s="505"/>
      <c r="P57" s="505"/>
      <c r="Q57" s="505"/>
      <c r="R57" s="505"/>
      <c r="S57" s="505"/>
    </row>
    <row r="58" spans="14:19">
      <c r="N58" s="505"/>
      <c r="O58" s="505"/>
      <c r="P58" s="505"/>
      <c r="Q58" s="505"/>
      <c r="R58" s="505"/>
      <c r="S58" s="505"/>
    </row>
    <row r="59" spans="14:19">
      <c r="N59" s="505"/>
      <c r="O59" s="505"/>
      <c r="P59" s="505"/>
      <c r="Q59" s="505"/>
      <c r="R59" s="505"/>
      <c r="S59" s="505"/>
    </row>
    <row r="60" spans="14:19">
      <c r="N60" s="505"/>
      <c r="O60" s="505"/>
      <c r="P60" s="505"/>
      <c r="Q60" s="505"/>
      <c r="R60" s="505"/>
      <c r="S60" s="505"/>
    </row>
    <row r="61" spans="14:19">
      <c r="N61" s="505"/>
      <c r="O61" s="505"/>
      <c r="P61" s="505"/>
      <c r="Q61" s="505"/>
      <c r="R61" s="505"/>
      <c r="S61" s="505"/>
    </row>
    <row r="62" spans="14:19">
      <c r="N62" s="505"/>
      <c r="O62" s="505"/>
      <c r="P62" s="505"/>
      <c r="Q62" s="505"/>
      <c r="R62" s="505"/>
      <c r="S62" s="505"/>
    </row>
    <row r="63" spans="14:19">
      <c r="N63" s="505"/>
      <c r="O63" s="505"/>
      <c r="P63" s="505"/>
      <c r="Q63" s="505"/>
      <c r="R63" s="505"/>
      <c r="S63" s="505"/>
    </row>
    <row r="64" spans="14:19">
      <c r="N64" s="505"/>
      <c r="O64" s="505"/>
      <c r="P64" s="505"/>
      <c r="Q64" s="505"/>
      <c r="R64" s="505"/>
      <c r="S64" s="505"/>
    </row>
    <row r="65" spans="14:19">
      <c r="N65" s="505"/>
      <c r="O65" s="505"/>
      <c r="P65" s="505"/>
      <c r="Q65" s="505"/>
      <c r="R65" s="505"/>
      <c r="S65" s="505"/>
    </row>
    <row r="66" spans="14:19">
      <c r="N66" s="1249"/>
      <c r="O66" s="1249"/>
      <c r="P66" s="1249"/>
      <c r="Q66" s="1249"/>
      <c r="R66" s="1249"/>
      <c r="S66" s="1249"/>
    </row>
    <row r="67" spans="14:19">
      <c r="N67" s="505"/>
      <c r="O67" s="505"/>
      <c r="P67" s="505"/>
      <c r="Q67" s="505"/>
      <c r="R67" s="505"/>
      <c r="S67" s="505"/>
    </row>
    <row r="68" spans="14:19">
      <c r="N68" s="505"/>
      <c r="O68" s="505"/>
      <c r="P68" s="505"/>
      <c r="Q68" s="505"/>
      <c r="R68" s="505"/>
      <c r="S68" s="505"/>
    </row>
    <row r="69" spans="14:19">
      <c r="N69" s="505"/>
      <c r="O69" s="505"/>
      <c r="P69" s="505"/>
      <c r="Q69" s="505"/>
      <c r="R69" s="505"/>
      <c r="S69" s="505"/>
    </row>
    <row r="70" spans="14:19">
      <c r="N70" s="505"/>
      <c r="O70" s="505"/>
      <c r="P70" s="505"/>
      <c r="Q70" s="505"/>
      <c r="R70" s="505"/>
      <c r="S70" s="505"/>
    </row>
    <row r="71" spans="14:19">
      <c r="N71" s="505"/>
      <c r="O71" s="505"/>
      <c r="P71" s="505"/>
      <c r="Q71" s="505"/>
      <c r="R71" s="505"/>
      <c r="S71" s="505"/>
    </row>
    <row r="72" spans="14:19">
      <c r="N72" s="505"/>
      <c r="O72" s="505"/>
      <c r="P72" s="505"/>
      <c r="Q72" s="505"/>
      <c r="R72" s="505"/>
      <c r="S72" s="505"/>
    </row>
    <row r="73" spans="14:19">
      <c r="N73" s="505"/>
      <c r="O73" s="505"/>
      <c r="P73" s="505"/>
      <c r="Q73" s="505"/>
      <c r="R73" s="505"/>
      <c r="S73" s="505"/>
    </row>
    <row r="74" spans="14:19">
      <c r="N74" s="506"/>
      <c r="O74" s="505"/>
      <c r="P74" s="505"/>
      <c r="Q74" s="505"/>
      <c r="R74" s="505"/>
      <c r="S74" s="505"/>
    </row>
    <row r="75" spans="14:19">
      <c r="N75" s="506"/>
      <c r="O75" s="505"/>
      <c r="P75" s="505"/>
      <c r="Q75" s="505"/>
      <c r="R75" s="505"/>
      <c r="S75" s="505"/>
    </row>
    <row r="76" spans="14:19">
      <c r="N76" s="506"/>
      <c r="O76" s="505"/>
      <c r="P76" s="505"/>
      <c r="Q76" s="505"/>
      <c r="R76" s="505"/>
      <c r="S76" s="505"/>
    </row>
    <row r="77" spans="14:19">
      <c r="N77" s="505"/>
      <c r="O77" s="505"/>
      <c r="P77" s="505"/>
      <c r="Q77" s="505"/>
      <c r="R77" s="505"/>
      <c r="S77" s="505"/>
    </row>
    <row r="78" spans="14:19">
      <c r="N78" s="1249"/>
      <c r="O78" s="1249"/>
      <c r="P78" s="1249"/>
      <c r="Q78" s="1249"/>
      <c r="R78" s="1249"/>
      <c r="S78" s="1249"/>
    </row>
    <row r="79" spans="14:19">
      <c r="N79" s="505"/>
      <c r="O79" s="505"/>
      <c r="P79" s="505"/>
      <c r="Q79" s="505"/>
      <c r="R79" s="505"/>
      <c r="S79" s="505"/>
    </row>
    <row r="80" spans="14:19">
      <c r="N80" s="505"/>
      <c r="O80" s="505"/>
      <c r="P80" s="505"/>
      <c r="Q80" s="505"/>
      <c r="R80" s="505"/>
      <c r="S80" s="505"/>
    </row>
    <row r="81" spans="14:19">
      <c r="N81" s="505"/>
      <c r="O81" s="505"/>
      <c r="P81" s="505"/>
      <c r="Q81" s="505"/>
      <c r="R81" s="505"/>
      <c r="S81" s="505"/>
    </row>
    <row r="82" spans="14:19">
      <c r="N82" s="505"/>
      <c r="O82" s="505"/>
      <c r="P82" s="505"/>
      <c r="Q82" s="505"/>
      <c r="R82" s="505"/>
      <c r="S82" s="505"/>
    </row>
    <row r="83" spans="14:19">
      <c r="N83" s="505"/>
      <c r="O83" s="505"/>
      <c r="P83" s="505"/>
      <c r="Q83" s="505"/>
      <c r="R83" s="505"/>
      <c r="S83" s="505"/>
    </row>
    <row r="84" spans="14:19">
      <c r="N84" s="505"/>
      <c r="O84" s="505"/>
      <c r="P84" s="505"/>
      <c r="Q84" s="505"/>
      <c r="R84" s="505"/>
      <c r="S84" s="505"/>
    </row>
    <row r="85" spans="14:19">
      <c r="N85" s="505"/>
      <c r="O85" s="505"/>
      <c r="P85" s="505"/>
      <c r="Q85" s="505"/>
      <c r="R85" s="505"/>
      <c r="S85" s="505"/>
    </row>
    <row r="86" spans="14:19">
      <c r="N86" s="506"/>
      <c r="O86" s="505"/>
      <c r="P86" s="505"/>
      <c r="Q86" s="505"/>
      <c r="R86" s="505"/>
      <c r="S86" s="505"/>
    </row>
    <row r="87" spans="14:19">
      <c r="N87" s="506"/>
      <c r="O87" s="505"/>
      <c r="P87" s="505"/>
      <c r="Q87" s="505"/>
      <c r="R87" s="505"/>
      <c r="S87" s="505"/>
    </row>
    <row r="88" spans="14:19">
      <c r="N88" s="506"/>
      <c r="O88" s="505"/>
      <c r="P88" s="505"/>
      <c r="Q88" s="505"/>
      <c r="R88" s="505"/>
      <c r="S88" s="505"/>
    </row>
    <row r="89" spans="14:19">
      <c r="N89" s="505"/>
      <c r="O89" s="505"/>
      <c r="P89" s="505"/>
      <c r="Q89" s="505"/>
      <c r="R89" s="505"/>
      <c r="S89" s="505"/>
    </row>
    <row r="90" spans="14:19">
      <c r="N90" s="1249"/>
      <c r="O90" s="1249"/>
      <c r="P90" s="1249"/>
      <c r="Q90" s="1249"/>
      <c r="R90" s="1249"/>
      <c r="S90" s="1249"/>
    </row>
    <row r="91" spans="14:19">
      <c r="N91" s="505"/>
      <c r="O91" s="505"/>
      <c r="P91" s="505"/>
      <c r="Q91" s="505"/>
      <c r="R91" s="505"/>
      <c r="S91" s="505"/>
    </row>
    <row r="92" spans="14:19">
      <c r="N92" s="506"/>
      <c r="O92" s="505"/>
      <c r="P92" s="505"/>
      <c r="Q92" s="505"/>
      <c r="R92" s="505"/>
      <c r="S92" s="505"/>
    </row>
    <row r="93" spans="14:19">
      <c r="N93" s="506"/>
      <c r="O93" s="505"/>
      <c r="P93" s="505"/>
      <c r="Q93" s="505"/>
      <c r="R93" s="505"/>
      <c r="S93" s="505"/>
    </row>
    <row r="94" spans="14:19">
      <c r="N94" s="506"/>
      <c r="O94" s="505"/>
      <c r="P94" s="505"/>
      <c r="Q94" s="505"/>
      <c r="R94" s="505"/>
      <c r="S94" s="505"/>
    </row>
    <row r="95" spans="14:19">
      <c r="N95" s="506"/>
      <c r="O95" s="505"/>
      <c r="P95" s="505"/>
      <c r="Q95" s="505"/>
      <c r="R95" s="505"/>
      <c r="S95" s="505"/>
    </row>
    <row r="96" spans="14:19">
      <c r="N96" s="506"/>
      <c r="O96" s="505"/>
      <c r="P96" s="505"/>
      <c r="Q96" s="505"/>
      <c r="R96" s="505"/>
      <c r="S96" s="505"/>
    </row>
    <row r="97" spans="14:19">
      <c r="N97" s="506"/>
      <c r="O97" s="505"/>
      <c r="P97" s="505"/>
      <c r="Q97" s="505"/>
      <c r="R97" s="505"/>
      <c r="S97" s="505"/>
    </row>
    <row r="98" spans="14:19">
      <c r="N98" s="506"/>
      <c r="O98" s="505"/>
      <c r="P98" s="505"/>
      <c r="Q98" s="505"/>
      <c r="R98" s="505"/>
      <c r="S98" s="505"/>
    </row>
    <row r="99" spans="14:19">
      <c r="N99" s="506"/>
      <c r="O99" s="505"/>
      <c r="P99" s="505"/>
      <c r="Q99" s="505"/>
      <c r="R99" s="505"/>
      <c r="S99" s="505"/>
    </row>
    <row r="100" spans="14:19">
      <c r="N100" s="506"/>
      <c r="O100" s="505"/>
      <c r="P100" s="505"/>
      <c r="Q100" s="505"/>
      <c r="R100" s="505"/>
      <c r="S100" s="505"/>
    </row>
  </sheetData>
  <mergeCells count="8">
    <mergeCell ref="N90:S90"/>
    <mergeCell ref="B3:J3"/>
    <mergeCell ref="K3:Q3"/>
    <mergeCell ref="N54:S54"/>
    <mergeCell ref="N66:S66"/>
    <mergeCell ref="N78:S78"/>
    <mergeCell ref="K23:M23"/>
    <mergeCell ref="M25:M28"/>
  </mergeCells>
  <conditionalFormatting sqref="C10">
    <cfRule type="expression" dxfId="30" priority="29">
      <formula>$C$10="Low"</formula>
    </cfRule>
  </conditionalFormatting>
  <conditionalFormatting sqref="D6:F6">
    <cfRule type="expression" dxfId="29" priority="46">
      <formula>$C$6="Low"</formula>
    </cfRule>
  </conditionalFormatting>
  <conditionalFormatting sqref="D7:F7">
    <cfRule type="expression" dxfId="28" priority="45">
      <formula>$C$7="Low"</formula>
    </cfRule>
  </conditionalFormatting>
  <conditionalFormatting sqref="D8:F8">
    <cfRule type="expression" dxfId="27" priority="44">
      <formula>$C$8="Low"</formula>
    </cfRule>
  </conditionalFormatting>
  <conditionalFormatting sqref="D9:F9 J10">
    <cfRule type="expression" dxfId="26" priority="43">
      <formula>$C$9="Low"</formula>
    </cfRule>
  </conditionalFormatting>
  <conditionalFormatting sqref="D13:F13">
    <cfRule type="expression" dxfId="25" priority="40">
      <formula>$C$13="Low"</formula>
    </cfRule>
  </conditionalFormatting>
  <conditionalFormatting sqref="D19:F19 J20">
    <cfRule type="expression" dxfId="24" priority="34">
      <formula>$C$19="Low"</formula>
    </cfRule>
  </conditionalFormatting>
  <conditionalFormatting sqref="D16:G16">
    <cfRule type="expression" dxfId="23" priority="37">
      <formula>$C$16="Low"</formula>
    </cfRule>
  </conditionalFormatting>
  <conditionalFormatting sqref="D17:G17">
    <cfRule type="expression" dxfId="22" priority="11">
      <formula>$C$18="Low"</formula>
    </cfRule>
  </conditionalFormatting>
  <conditionalFormatting sqref="D21:G21">
    <cfRule type="expression" dxfId="21" priority="1">
      <formula>$C$20="Low"</formula>
    </cfRule>
  </conditionalFormatting>
  <conditionalFormatting sqref="D15:J15">
    <cfRule type="expression" dxfId="20" priority="38">
      <formula>$C$15="Low"</formula>
    </cfRule>
  </conditionalFormatting>
  <conditionalFormatting sqref="D18:J18">
    <cfRule type="expression" dxfId="19" priority="35">
      <formula>$C$18="Low"</formula>
    </cfRule>
  </conditionalFormatting>
  <conditionalFormatting sqref="D20:J20">
    <cfRule type="expression" dxfId="18" priority="33">
      <formula>$C$20="Low"</formula>
    </cfRule>
  </conditionalFormatting>
  <conditionalFormatting sqref="D22:J22">
    <cfRule type="expression" dxfId="17" priority="31">
      <formula>$C$22="Low"</formula>
    </cfRule>
  </conditionalFormatting>
  <conditionalFormatting sqref="G6:G7">
    <cfRule type="expression" dxfId="16" priority="5">
      <formula>$C$12="Low"</formula>
    </cfRule>
  </conditionalFormatting>
  <conditionalFormatting sqref="G13">
    <cfRule type="expression" dxfId="15" priority="7">
      <formula>$C$12="Low"</formula>
    </cfRule>
  </conditionalFormatting>
  <conditionalFormatting sqref="G19">
    <cfRule type="expression" dxfId="14" priority="8">
      <formula>$C$21="Low"</formula>
    </cfRule>
  </conditionalFormatting>
  <conditionalFormatting sqref="G28">
    <cfRule type="expression" dxfId="13" priority="9">
      <formula>$C$14="Low"</formula>
    </cfRule>
  </conditionalFormatting>
  <conditionalFormatting sqref="G33">
    <cfRule type="expression" dxfId="12" priority="10">
      <formula>$C$14="Low"</formula>
    </cfRule>
  </conditionalFormatting>
  <conditionalFormatting sqref="H17">
    <cfRule type="expression" dxfId="11" priority="16">
      <formula>$C$6="Low"</formula>
    </cfRule>
  </conditionalFormatting>
  <conditionalFormatting sqref="H21">
    <cfRule type="expression" dxfId="10" priority="14">
      <formula>$C$6="Low"</formula>
    </cfRule>
  </conditionalFormatting>
  <conditionalFormatting sqref="H10:I10">
    <cfRule type="expression" dxfId="9" priority="24">
      <formula>$C$6="Low"</formula>
    </cfRule>
  </conditionalFormatting>
  <conditionalFormatting sqref="H12:I12 H14:I14">
    <cfRule type="expression" dxfId="8" priority="17">
      <formula>$C$6="Low"</formula>
    </cfRule>
  </conditionalFormatting>
  <conditionalFormatting sqref="I17">
    <cfRule type="expression" dxfId="7" priority="21">
      <formula>$C$16="Low"</formula>
    </cfRule>
  </conditionalFormatting>
  <conditionalFormatting sqref="I21">
    <cfRule type="expression" dxfId="6" priority="19">
      <formula>$C$16="Low"</formula>
    </cfRule>
  </conditionalFormatting>
  <conditionalFormatting sqref="J12">
    <cfRule type="expression" dxfId="5" priority="41">
      <formula>$C$12="Low"</formula>
    </cfRule>
  </conditionalFormatting>
  <conditionalFormatting sqref="J14">
    <cfRule type="expression" dxfId="4" priority="39">
      <formula>$C$14="Low"</formula>
    </cfRule>
  </conditionalFormatting>
  <conditionalFormatting sqref="J17">
    <cfRule type="expression" dxfId="3" priority="36">
      <formula>$C$17="Low"</formula>
    </cfRule>
  </conditionalFormatting>
  <conditionalFormatting sqref="J21">
    <cfRule type="expression" dxfId="2" priority="32">
      <formula>$C$21="Low"</formula>
    </cfRule>
  </conditionalFormatting>
  <dataValidations count="3">
    <dataValidation type="list" allowBlank="1" showInputMessage="1" showErrorMessage="1" sqref="C11 D32:D34 F24:F34 E10:E11 E17:G17 F13 E14:G14 E21:G21 E12:G12 F15:F16 G10 F6:F10 D6:D22 F18:F20 F22" xr:uid="{3F3EAFB5-AA53-4ACB-815F-B2974A5D886C}">
      <formula1>$T$1:$T$2</formula1>
    </dataValidation>
    <dataValidation type="list" showInputMessage="1" showErrorMessage="1" sqref="B2" xr:uid="{A02853CE-D21D-44BD-9939-055BC887EFBD}">
      <formula1>Sectors</formula1>
    </dataValidation>
    <dataValidation type="list" allowBlank="1" showInputMessage="1" showErrorMessage="1" sqref="E13 E24:E34 E6:E9 E15:E16 E18:E20 E22" xr:uid="{21B53BAA-5CFE-4F77-8669-06D93A31F2C2}">
      <formula1>$L$25:$L$28</formula1>
    </dataValidation>
  </dataValidations>
  <pageMargins left="0.7" right="0.7" top="0.75" bottom="0.75" header="0.3" footer="0.3"/>
  <pageSetup paperSize="9" orientation="portrait" horizontalDpi="4294967293" verticalDpi="0"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4465F-F60F-4DA4-8EB4-9D275D264FB2}">
  <dimension ref="A2:AU312"/>
  <sheetViews>
    <sheetView showGridLines="0" topLeftCell="A174" zoomScale="80" zoomScaleNormal="80" workbookViewId="0">
      <selection activeCell="C224" sqref="C224"/>
    </sheetView>
  </sheetViews>
  <sheetFormatPr defaultColWidth="9.140625" defaultRowHeight="13.15"/>
  <cols>
    <col min="1" max="1" width="29" style="624" customWidth="1"/>
    <col min="2" max="2" width="38.7109375" style="624" customWidth="1"/>
    <col min="3" max="3" width="19.7109375" style="624" customWidth="1"/>
    <col min="4" max="4" width="12.7109375" style="624" customWidth="1"/>
    <col min="5" max="5" width="13.42578125" style="624" customWidth="1"/>
    <col min="6" max="6" width="12.85546875" style="624" customWidth="1"/>
    <col min="7" max="7" width="14.140625" style="624" customWidth="1"/>
    <col min="8" max="8" width="15.42578125" style="624" customWidth="1"/>
    <col min="9" max="9" width="14.140625" style="624" customWidth="1"/>
    <col min="10" max="10" width="23.7109375" style="624" bestFit="1" customWidth="1"/>
    <col min="11" max="12" width="17.7109375" style="624" customWidth="1"/>
    <col min="13" max="17" width="12.5703125" style="624" bestFit="1" customWidth="1"/>
    <col min="18" max="18" width="11.28515625" style="624" bestFit="1" customWidth="1"/>
    <col min="19" max="19" width="11.5703125" style="624" bestFit="1" customWidth="1"/>
    <col min="20" max="26" width="14.85546875" style="624" bestFit="1" customWidth="1"/>
    <col min="27" max="27" width="16.28515625" style="624" customWidth="1"/>
    <col min="28" max="29" width="15.7109375" style="624" customWidth="1"/>
    <col min="30" max="30" width="15.85546875" style="624" customWidth="1"/>
    <col min="31" max="31" width="14.42578125" style="624" customWidth="1"/>
    <col min="32" max="32" width="17.28515625" style="624" customWidth="1"/>
    <col min="33" max="33" width="14.85546875" style="624" bestFit="1" customWidth="1"/>
    <col min="34" max="44" width="12.5703125" style="624" bestFit="1" customWidth="1"/>
    <col min="45" max="45" width="9.85546875" style="624" bestFit="1" customWidth="1"/>
    <col min="46" max="16384" width="9.140625" style="624"/>
  </cols>
  <sheetData>
    <row r="2" spans="1:44" s="623" customFormat="1" ht="12.6" customHeight="1">
      <c r="A2" s="620"/>
      <c r="B2" s="621" t="s">
        <v>432</v>
      </c>
      <c r="C2" s="622"/>
      <c r="D2" s="620"/>
      <c r="E2" s="620"/>
      <c r="F2" s="620"/>
      <c r="G2" s="620"/>
      <c r="H2" s="620"/>
      <c r="I2" s="620"/>
      <c r="J2" s="620"/>
      <c r="K2" s="620"/>
      <c r="L2" s="620"/>
      <c r="M2" s="620"/>
      <c r="N2" s="620"/>
      <c r="O2" s="620"/>
      <c r="P2" s="620"/>
      <c r="Q2" s="620"/>
      <c r="R2" s="620"/>
      <c r="S2" s="620"/>
      <c r="T2" s="620"/>
      <c r="U2" s="620"/>
      <c r="V2" s="620"/>
      <c r="W2" s="620"/>
      <c r="X2" s="620"/>
      <c r="Y2" s="620"/>
      <c r="Z2" s="620"/>
      <c r="AA2" s="620"/>
      <c r="AB2" s="620"/>
      <c r="AC2" s="620"/>
      <c r="AD2" s="620"/>
      <c r="AE2" s="620"/>
      <c r="AF2" s="620"/>
      <c r="AG2" s="620"/>
      <c r="AH2" s="620"/>
      <c r="AI2" s="620"/>
    </row>
    <row r="3" spans="1:44" ht="12.6" customHeight="1">
      <c r="C3" s="625"/>
    </row>
    <row r="4" spans="1:44">
      <c r="B4" s="624" t="s">
        <v>433</v>
      </c>
      <c r="F4" s="626"/>
      <c r="G4" s="627"/>
      <c r="H4" s="627"/>
      <c r="I4" s="627"/>
      <c r="J4" s="627"/>
      <c r="K4" s="627"/>
      <c r="L4" s="627"/>
    </row>
    <row r="5" spans="1:44">
      <c r="B5" s="628"/>
      <c r="G5" s="629"/>
      <c r="H5" s="629"/>
      <c r="I5" s="629"/>
      <c r="J5" s="629"/>
      <c r="K5" s="629"/>
      <c r="L5" s="629"/>
    </row>
    <row r="6" spans="1:44">
      <c r="B6" s="624" t="s">
        <v>434</v>
      </c>
      <c r="P6" s="1261" t="s">
        <v>435</v>
      </c>
      <c r="Q6" s="1262"/>
      <c r="R6" s="1262"/>
      <c r="S6" s="1262"/>
      <c r="T6" s="1262"/>
      <c r="U6" s="1262"/>
      <c r="V6" s="1262"/>
      <c r="W6" s="1262"/>
      <c r="X6" s="1262"/>
      <c r="Y6" s="1263"/>
      <c r="AA6" s="721" t="s">
        <v>436</v>
      </c>
      <c r="AB6" s="722"/>
      <c r="AC6" s="723">
        <v>6.6000000000000003E-2</v>
      </c>
      <c r="AD6" s="722"/>
      <c r="AE6" s="1264" t="s">
        <v>437</v>
      </c>
      <c r="AF6" s="1265"/>
      <c r="AI6" s="715" cm="1">
        <f t="array" ref="AI6:AR6">'Fin. Data'!B4:K4</f>
        <v>2023</v>
      </c>
      <c r="AJ6" s="711">
        <v>2022</v>
      </c>
      <c r="AK6" s="711">
        <v>2021</v>
      </c>
      <c r="AL6" s="711">
        <v>2020</v>
      </c>
      <c r="AM6" s="711">
        <v>2019</v>
      </c>
      <c r="AN6" s="711">
        <v>2018</v>
      </c>
      <c r="AO6" s="711">
        <v>2017</v>
      </c>
      <c r="AP6" s="711">
        <v>2016</v>
      </c>
      <c r="AQ6" s="711">
        <v>2015</v>
      </c>
      <c r="AR6" s="717">
        <v>2014</v>
      </c>
    </row>
    <row r="7" spans="1:44">
      <c r="P7" s="719" cm="1">
        <f t="array" ref="P7:Y9">'Fin. Data'!B4:K6</f>
        <v>2023</v>
      </c>
      <c r="Q7" s="624">
        <v>2022</v>
      </c>
      <c r="R7" s="624">
        <v>2021</v>
      </c>
      <c r="S7" s="624">
        <v>2020</v>
      </c>
      <c r="T7" s="624">
        <v>2019</v>
      </c>
      <c r="U7" s="624">
        <v>2018</v>
      </c>
      <c r="V7" s="624">
        <v>2017</v>
      </c>
      <c r="W7" s="624">
        <v>2016</v>
      </c>
      <c r="X7" s="624">
        <v>2015</v>
      </c>
      <c r="Y7" s="720">
        <v>2014</v>
      </c>
      <c r="AA7" s="715">
        <f>P7</f>
        <v>2023</v>
      </c>
      <c r="AB7" s="711">
        <f>AA7+1</f>
        <v>2024</v>
      </c>
      <c r="AC7" s="711">
        <f t="shared" ref="AC7:AF7" si="0">AB7+1</f>
        <v>2025</v>
      </c>
      <c r="AD7" s="711">
        <f t="shared" si="0"/>
        <v>2026</v>
      </c>
      <c r="AE7" s="711">
        <f t="shared" si="0"/>
        <v>2027</v>
      </c>
      <c r="AF7" s="717">
        <f t="shared" si="0"/>
        <v>2028</v>
      </c>
      <c r="AH7" s="796" t="str" cm="1">
        <f t="array" ref="AH7:AR7">'Fin. Data'!A5:K5</f>
        <v>Net Sales</v>
      </c>
      <c r="AI7" s="711">
        <v>36016</v>
      </c>
      <c r="AJ7" s="711">
        <v>31496</v>
      </c>
      <c r="AK7" s="711">
        <v>28720</v>
      </c>
      <c r="AL7" s="711">
        <v>26581</v>
      </c>
      <c r="AM7" s="711">
        <v>25868</v>
      </c>
      <c r="AN7" s="711">
        <v>25938</v>
      </c>
      <c r="AO7" s="711">
        <v>25896</v>
      </c>
      <c r="AP7" s="711">
        <v>25923</v>
      </c>
      <c r="AQ7" s="717">
        <v>29636</v>
      </c>
      <c r="AR7" s="717">
        <v>34244</v>
      </c>
    </row>
    <row r="8" spans="1:44">
      <c r="B8" s="627"/>
      <c r="C8" s="654">
        <v>2023</v>
      </c>
      <c r="D8" s="654">
        <f>C8-1</f>
        <v>2022</v>
      </c>
      <c r="E8" s="654">
        <f t="shared" ref="E8:G8" si="1">D8-1</f>
        <v>2021</v>
      </c>
      <c r="F8" s="654">
        <f t="shared" si="1"/>
        <v>2020</v>
      </c>
      <c r="G8" s="654">
        <f t="shared" si="1"/>
        <v>2019</v>
      </c>
      <c r="I8" s="653" t="s">
        <v>438</v>
      </c>
      <c r="K8" s="648" t="s">
        <v>439</v>
      </c>
      <c r="L8" s="648" t="s">
        <v>440</v>
      </c>
      <c r="P8" s="715">
        <v>36016</v>
      </c>
      <c r="Q8" s="711">
        <v>31496</v>
      </c>
      <c r="R8" s="711">
        <v>28720</v>
      </c>
      <c r="S8" s="711">
        <v>26581</v>
      </c>
      <c r="T8" s="711">
        <v>25868</v>
      </c>
      <c r="U8" s="711">
        <v>25938</v>
      </c>
      <c r="V8" s="711">
        <v>25896</v>
      </c>
      <c r="W8" s="711">
        <v>25923</v>
      </c>
      <c r="X8" s="711">
        <v>29636</v>
      </c>
      <c r="Y8" s="717">
        <v>34244</v>
      </c>
      <c r="AA8" s="715">
        <f>P8</f>
        <v>36016</v>
      </c>
      <c r="AB8" s="724">
        <f>AA8*(1+AB9)</f>
        <v>38393.056000000004</v>
      </c>
      <c r="AC8" s="724">
        <f t="shared" ref="AC8:AF8" si="2">AB8*(1+AC9)</f>
        <v>40926.997696000006</v>
      </c>
      <c r="AD8" s="724">
        <f t="shared" si="2"/>
        <v>43628.179543936007</v>
      </c>
      <c r="AE8" s="724">
        <f t="shared" si="2"/>
        <v>46507.639393835787</v>
      </c>
      <c r="AF8" s="725">
        <f t="shared" si="2"/>
        <v>49577.143593828951</v>
      </c>
      <c r="AH8" s="797" t="s">
        <v>61</v>
      </c>
      <c r="AI8" s="791" cm="1">
        <f t="array" ref="AI8:AR8">'Fin. Data'!B11:K11</f>
        <v>5501</v>
      </c>
      <c r="AJ8" s="624">
        <v>3405</v>
      </c>
      <c r="AK8" s="624">
        <v>4516</v>
      </c>
      <c r="AL8" s="624">
        <v>3668</v>
      </c>
      <c r="AM8" s="624">
        <v>3843</v>
      </c>
      <c r="AN8" s="624">
        <v>3172</v>
      </c>
      <c r="AO8" s="624">
        <v>3495</v>
      </c>
      <c r="AP8" s="624">
        <v>2142</v>
      </c>
      <c r="AQ8" s="624">
        <v>8897</v>
      </c>
      <c r="AR8" s="720">
        <v>2747</v>
      </c>
    </row>
    <row r="9" spans="1:44">
      <c r="B9" s="652" t="s">
        <v>441</v>
      </c>
      <c r="C9" s="294">
        <f>(Inputs!B6-Inputs!C6)/Inputs!C6</f>
        <v>0.14351028702057403</v>
      </c>
      <c r="D9" s="294">
        <f>(Inputs!C6-Inputs!D6)/Inputs!D6</f>
        <v>9.6657381615598892E-2</v>
      </c>
      <c r="E9" s="294">
        <f>(Inputs!D6-Inputs!E6)/Inputs!E6</f>
        <v>8.0471013129679095E-2</v>
      </c>
      <c r="F9" s="294">
        <f>(Inputs!E6-Inputs!F6)/Inputs!F6</f>
        <v>2.756301221586516E-2</v>
      </c>
      <c r="G9" s="294">
        <f>(Inputs!F6-Inputs!G6)/Inputs!G6</f>
        <v>-2.6987431567584239E-3</v>
      </c>
      <c r="H9" s="294"/>
      <c r="I9" s="629">
        <f>AVERAGE(C9:G9)</f>
        <v>6.9100590164991746E-2</v>
      </c>
      <c r="K9" s="919">
        <f>AVERAGE(S62:V62)</f>
        <v>6.4305886061750472E-2</v>
      </c>
      <c r="L9" s="919">
        <f>AVERAGE(W62:AR62)</f>
        <v>3.5105910413741073E-2</v>
      </c>
      <c r="P9" s="716">
        <v>0.143510287020574</v>
      </c>
      <c r="Q9" s="714">
        <v>9.6657381615598892E-2</v>
      </c>
      <c r="R9" s="714">
        <v>8.0471013129679081E-2</v>
      </c>
      <c r="S9" s="713">
        <v>2.7563012215865212E-2</v>
      </c>
      <c r="T9" s="713">
        <v>-2.698743156758443E-3</v>
      </c>
      <c r="U9" s="713">
        <v>1.6218721037997152E-3</v>
      </c>
      <c r="V9" s="713">
        <v>-1.0415461173475249E-3</v>
      </c>
      <c r="W9" s="713">
        <v>-0.12528681333513292</v>
      </c>
      <c r="X9" s="713">
        <v>-0.1345637191916832</v>
      </c>
      <c r="Y9" s="718" t="str">
        <v>-</v>
      </c>
      <c r="AA9" s="726"/>
      <c r="AB9" s="712">
        <f>AC6</f>
        <v>6.6000000000000003E-2</v>
      </c>
      <c r="AC9" s="712">
        <f>AB9</f>
        <v>6.6000000000000003E-2</v>
      </c>
      <c r="AD9" s="712">
        <f>AB9</f>
        <v>6.6000000000000003E-2</v>
      </c>
      <c r="AE9" s="712">
        <f>AB9</f>
        <v>6.6000000000000003E-2</v>
      </c>
      <c r="AF9" s="727">
        <f>AB9</f>
        <v>6.6000000000000003E-2</v>
      </c>
      <c r="AH9" s="798" t="s">
        <v>442</v>
      </c>
      <c r="AI9" s="633">
        <f>AI8/AI7</f>
        <v>0.15273767214571302</v>
      </c>
      <c r="AJ9" s="793">
        <f t="shared" ref="AJ9:AR9" si="3">AJ8/AJ7</f>
        <v>0.10810896621793244</v>
      </c>
      <c r="AK9" s="792">
        <f t="shared" si="3"/>
        <v>0.15724233983286909</v>
      </c>
      <c r="AL9" s="792">
        <f t="shared" si="3"/>
        <v>0.13799330348745345</v>
      </c>
      <c r="AM9" s="792">
        <f t="shared" si="3"/>
        <v>0.14856192979743313</v>
      </c>
      <c r="AN9" s="792">
        <f t="shared" si="3"/>
        <v>0.12229161847482459</v>
      </c>
      <c r="AO9" s="792">
        <f t="shared" si="3"/>
        <v>0.13496292863762743</v>
      </c>
      <c r="AP9" s="793">
        <f t="shared" si="3"/>
        <v>8.262932530957065E-2</v>
      </c>
      <c r="AQ9" s="792">
        <f t="shared" si="3"/>
        <v>0.30020920502092052</v>
      </c>
      <c r="AR9" s="794">
        <f t="shared" si="3"/>
        <v>8.0218432426118438E-2</v>
      </c>
    </row>
    <row r="10" spans="1:44" ht="10.5" customHeight="1">
      <c r="B10" s="652" t="s">
        <v>123</v>
      </c>
      <c r="C10" s="294">
        <f>Inputs!B8/Inputs!B6</f>
        <v>0.15273767214571302</v>
      </c>
      <c r="D10" s="294">
        <f>Inputs!C8/Inputs!C6</f>
        <v>0.10810896621793244</v>
      </c>
      <c r="E10" s="294">
        <f>Inputs!D8/Inputs!D6</f>
        <v>0.15724233983286909</v>
      </c>
      <c r="F10" s="294">
        <f>Inputs!E8/Inputs!E6</f>
        <v>0.13799330348745345</v>
      </c>
      <c r="G10" s="294">
        <f>Inputs!F8/Inputs!F6</f>
        <v>0.14856192979743313</v>
      </c>
      <c r="H10" s="294"/>
      <c r="I10" s="629">
        <f>AVERAGE(C10:G10)</f>
        <v>0.14092884229628022</v>
      </c>
      <c r="K10" s="919">
        <v>0.14000000000000001</v>
      </c>
      <c r="L10" s="919">
        <f>AVERAGE(DCF!K7:AF7)</f>
        <v>0.15590909090909086</v>
      </c>
      <c r="AH10" s="799" t="s">
        <v>223</v>
      </c>
      <c r="AI10" s="795">
        <f>AVERAGE(AI9:AR9)</f>
        <v>0.14249557213504627</v>
      </c>
    </row>
    <row r="13" spans="1:44" s="623" customFormat="1" ht="13.9">
      <c r="A13" s="620"/>
      <c r="B13" s="622" t="s">
        <v>443</v>
      </c>
      <c r="C13" s="622"/>
      <c r="D13" s="620"/>
      <c r="E13" s="620"/>
      <c r="F13" s="620"/>
      <c r="G13" s="620"/>
      <c r="H13" s="620"/>
      <c r="I13" s="620"/>
      <c r="J13" s="620"/>
      <c r="K13" s="620"/>
      <c r="L13" s="620"/>
      <c r="M13" s="620"/>
      <c r="N13" s="620"/>
      <c r="O13" s="620"/>
      <c r="P13" s="620"/>
      <c r="Q13" s="620"/>
      <c r="R13" s="620"/>
      <c r="S13" s="620"/>
      <c r="T13" s="620"/>
      <c r="U13" s="620"/>
      <c r="V13" s="620"/>
      <c r="W13" s="620"/>
      <c r="X13" s="620"/>
      <c r="Y13" s="620"/>
      <c r="Z13" s="620"/>
      <c r="AA13" s="620"/>
      <c r="AB13" s="620"/>
      <c r="AC13" s="620"/>
      <c r="AD13" s="620"/>
      <c r="AE13" s="620"/>
      <c r="AF13" s="620"/>
      <c r="AG13" s="620"/>
      <c r="AH13" s="620"/>
      <c r="AI13" s="620"/>
    </row>
    <row r="14" spans="1:44" ht="13.9">
      <c r="A14" s="650"/>
      <c r="B14" s="651"/>
      <c r="C14" s="651"/>
      <c r="D14" s="650"/>
      <c r="E14" s="650"/>
      <c r="F14" s="650"/>
      <c r="G14" s="650"/>
      <c r="H14" s="650"/>
      <c r="I14" s="650"/>
      <c r="J14" s="650"/>
      <c r="K14" s="650"/>
      <c r="L14" s="650"/>
      <c r="M14" s="650"/>
      <c r="N14" s="650"/>
      <c r="O14" s="650"/>
      <c r="P14" s="650"/>
      <c r="Q14" s="650"/>
      <c r="R14" s="650"/>
      <c r="S14" s="650"/>
      <c r="T14" s="650"/>
      <c r="U14" s="650"/>
      <c r="V14" s="650"/>
      <c r="W14" s="650"/>
      <c r="X14" s="650"/>
      <c r="Y14" s="650"/>
      <c r="Z14" s="650"/>
      <c r="AA14" s="650"/>
      <c r="AB14" s="650"/>
      <c r="AC14" s="650"/>
      <c r="AD14" s="650"/>
      <c r="AE14" s="650"/>
      <c r="AF14" s="650"/>
      <c r="AG14" s="650"/>
      <c r="AH14" s="650"/>
      <c r="AI14" s="650"/>
    </row>
    <row r="15" spans="1:44" ht="14.45">
      <c r="C15" s="1260" t="s">
        <v>444</v>
      </c>
      <c r="D15" s="1260"/>
      <c r="E15" s="1260"/>
      <c r="F15" s="1260"/>
      <c r="G15" s="1260"/>
    </row>
    <row r="16" spans="1:44" ht="14.45">
      <c r="B16" s="630"/>
      <c r="C16" s="647">
        <f>C8</f>
        <v>2023</v>
      </c>
      <c r="D16" s="647">
        <f>D8</f>
        <v>2022</v>
      </c>
      <c r="E16" s="647">
        <f>E8</f>
        <v>2021</v>
      </c>
      <c r="F16" s="647">
        <f>F8</f>
        <v>2020</v>
      </c>
      <c r="G16" s="647">
        <f>G8</f>
        <v>2019</v>
      </c>
      <c r="H16" s="631"/>
      <c r="I16" s="655" t="s">
        <v>223</v>
      </c>
      <c r="K16" s="648" t="s">
        <v>439</v>
      </c>
      <c r="L16" s="648" t="s">
        <v>440</v>
      </c>
      <c r="N16" s="679" t="s">
        <v>445</v>
      </c>
    </row>
    <row r="17" spans="2:36" ht="14.45">
      <c r="B17" s="652" t="s">
        <v>446</v>
      </c>
      <c r="C17" s="632">
        <f>C168</f>
        <v>9.6463332369663674E-2</v>
      </c>
      <c r="D17" s="632">
        <f t="shared" ref="D17:G17" si="4">D168</f>
        <v>9.0909090909090912E-2</v>
      </c>
      <c r="E17" s="632">
        <f t="shared" si="4"/>
        <v>9.2870240535001619E-2</v>
      </c>
      <c r="F17" s="632">
        <f t="shared" si="4"/>
        <v>7.9884105960264906E-2</v>
      </c>
      <c r="G17" s="632">
        <f t="shared" si="4"/>
        <v>7.5583270616062792E-2</v>
      </c>
      <c r="I17" s="633">
        <f>AVERAGE(C17:G17)</f>
        <v>8.7142008078016781E-2</v>
      </c>
      <c r="K17" s="649">
        <f>I17</f>
        <v>8.7142008078016781E-2</v>
      </c>
      <c r="L17" s="649">
        <f>M168</f>
        <v>8.3479490479797414E-2</v>
      </c>
      <c r="N17" s="678" t="s">
        <v>447</v>
      </c>
      <c r="AJ17" s="634"/>
    </row>
    <row r="18" spans="2:36" ht="14.45">
      <c r="B18" s="652" t="s">
        <v>448</v>
      </c>
      <c r="C18" s="632">
        <f>C172</f>
        <v>7.6124218592458154E-3</v>
      </c>
      <c r="D18" s="632">
        <f t="shared" ref="D18:G18" si="5">D172</f>
        <v>6.6971080669710808E-3</v>
      </c>
      <c r="E18" s="632">
        <f t="shared" si="5"/>
        <v>7.326007326007326E-3</v>
      </c>
      <c r="F18" s="632">
        <f t="shared" si="5"/>
        <v>1.0496699491397034E-2</v>
      </c>
      <c r="G18" s="632">
        <f t="shared" si="5"/>
        <v>9.6898145569972709E-3</v>
      </c>
      <c r="I18" s="633">
        <f t="shared" ref="I18:I30" si="6">AVERAGE(C18:G18)</f>
        <v>8.3644102601237065E-3</v>
      </c>
      <c r="K18" s="649">
        <f>I18</f>
        <v>8.3644102601237065E-3</v>
      </c>
      <c r="L18" s="649">
        <f>M172</f>
        <v>9.0646223254569926E-3</v>
      </c>
      <c r="N18" s="678" t="s">
        <v>449</v>
      </c>
    </row>
    <row r="19" spans="2:36" ht="14.45">
      <c r="B19" s="652" t="s">
        <v>450</v>
      </c>
      <c r="C19" s="632">
        <f>C176</f>
        <v>4.0537538871612613E-3</v>
      </c>
      <c r="D19" s="632">
        <f t="shared" ref="D19:G19" si="7">D176</f>
        <v>3.8100076200152399E-3</v>
      </c>
      <c r="E19" s="632">
        <f t="shared" si="7"/>
        <v>4.2130919220055713E-3</v>
      </c>
      <c r="F19" s="632">
        <f t="shared" si="7"/>
        <v>4.7402279823934388E-3</v>
      </c>
      <c r="G19" s="632">
        <f t="shared" si="7"/>
        <v>5.2188031544765732E-3</v>
      </c>
      <c r="I19" s="633">
        <f>AVERAGE(C19:G19)</f>
        <v>4.4071769132104175E-3</v>
      </c>
      <c r="K19" s="649">
        <f>I19</f>
        <v>4.4071769132104175E-3</v>
      </c>
      <c r="L19" s="649">
        <f>K19</f>
        <v>4.4071769132104175E-3</v>
      </c>
      <c r="N19" s="678" t="s">
        <v>451</v>
      </c>
    </row>
    <row r="20" spans="2:36" ht="12.6" customHeight="1">
      <c r="B20" s="652" t="s">
        <v>452</v>
      </c>
      <c r="C20" s="632">
        <f>'Fin. Data'!B21/('Fin. Data'!B21+'Fin. Data'!B23)</f>
        <v>-0.44915254237288138</v>
      </c>
      <c r="D20" s="632">
        <f>'Fin. Data'!C21/('Fin. Data'!C21+'Fin. Data'!C23)</f>
        <v>-0.46706263498920086</v>
      </c>
      <c r="E20" s="632">
        <f>'Fin. Data'!D21/('Fin. Data'!D21+'Fin. Data'!D23)</f>
        <v>-0.38263665594855306</v>
      </c>
      <c r="F20" s="632">
        <f>'Fin. Data'!E21/('Fin. Data'!E21+'Fin. Data'!E23)</f>
        <v>-0.52509652509652505</v>
      </c>
      <c r="G20" s="632">
        <f>'Fin. Data'!F21/('Fin. Data'!F21+'Fin. Data'!F23)</f>
        <v>7.7459333849728897E-4</v>
      </c>
      <c r="I20" s="633">
        <f t="shared" si="6"/>
        <v>-0.36463475301373266</v>
      </c>
      <c r="K20" s="649"/>
      <c r="L20" s="649"/>
      <c r="N20" s="678" t="s">
        <v>453</v>
      </c>
    </row>
    <row r="21" spans="2:36" ht="14.45">
      <c r="B21" s="652" t="s">
        <v>454</v>
      </c>
      <c r="C21" s="635"/>
      <c r="D21" s="635"/>
      <c r="E21" s="635"/>
      <c r="F21" s="635"/>
      <c r="G21" s="635"/>
      <c r="I21" s="633" t="e">
        <f t="shared" si="6"/>
        <v>#DIV/0!</v>
      </c>
      <c r="K21" s="649"/>
      <c r="L21" s="649"/>
      <c r="N21" s="678" t="s">
        <v>455</v>
      </c>
    </row>
    <row r="22" spans="2:36" ht="14.45">
      <c r="B22" s="652" t="s">
        <v>456</v>
      </c>
      <c r="C22" s="635"/>
      <c r="D22" s="635"/>
      <c r="E22" s="635"/>
      <c r="F22" s="635"/>
      <c r="G22" s="635"/>
      <c r="I22" s="633" t="e">
        <f t="shared" si="6"/>
        <v>#DIV/0!</v>
      </c>
      <c r="K22" s="649"/>
      <c r="L22" s="649"/>
      <c r="N22" s="678" t="s">
        <v>457</v>
      </c>
    </row>
    <row r="23" spans="2:36" ht="14.45">
      <c r="B23" s="652" t="s">
        <v>458</v>
      </c>
      <c r="C23" s="700">
        <f>Inputs!B33/Inputs!C33-1</f>
        <v>7.2004132231404894E-2</v>
      </c>
      <c r="D23" s="700">
        <f>Inputs!C33/Inputs!D33-1</f>
        <v>4.4116060834861415E-2</v>
      </c>
      <c r="E23" s="700">
        <f>Inputs!D33/Inputs!E33-1</f>
        <v>-4.0666390728476776E-2</v>
      </c>
      <c r="F23" s="700">
        <f>Inputs!E33/Inputs!F33-1</f>
        <v>3.9028061498763478E-2</v>
      </c>
      <c r="G23" s="700">
        <f>Inputs!F33/Inputs!G33-1</f>
        <v>9.6557415703843352E-2</v>
      </c>
      <c r="I23" s="633">
        <f t="shared" si="6"/>
        <v>4.2207855908079274E-2</v>
      </c>
      <c r="K23" s="649" t="s">
        <v>459</v>
      </c>
      <c r="L23" s="649" t="s">
        <v>459</v>
      </c>
      <c r="N23" s="678" t="s">
        <v>460</v>
      </c>
    </row>
    <row r="24" spans="2:36" ht="14.45">
      <c r="B24" s="652" t="s">
        <v>461</v>
      </c>
      <c r="C24" s="632"/>
      <c r="D24" s="632"/>
      <c r="E24" s="632"/>
      <c r="F24" s="632"/>
      <c r="G24" s="632"/>
      <c r="I24" s="633" t="e">
        <f t="shared" si="6"/>
        <v>#DIV/0!</v>
      </c>
      <c r="K24" s="649"/>
      <c r="L24" s="649"/>
      <c r="N24" s="678" t="s">
        <v>462</v>
      </c>
    </row>
    <row r="25" spans="2:36" ht="14.45">
      <c r="B25" s="652" t="s">
        <v>463</v>
      </c>
      <c r="C25" s="632"/>
      <c r="D25" s="632"/>
      <c r="E25" s="632"/>
      <c r="F25" s="632"/>
      <c r="G25" s="632"/>
      <c r="I25" s="633" t="e">
        <f t="shared" si="6"/>
        <v>#DIV/0!</v>
      </c>
      <c r="K25" s="649" t="s">
        <v>459</v>
      </c>
      <c r="L25" s="649" t="s">
        <v>459</v>
      </c>
      <c r="N25" s="678" t="s">
        <v>464</v>
      </c>
    </row>
    <row r="26" spans="2:36" ht="12.6" customHeight="1">
      <c r="B26" s="652" t="s">
        <v>465</v>
      </c>
      <c r="C26" s="632">
        <f>Inputs!B65/Inputs!B6</f>
        <v>-3.08751665926255E-2</v>
      </c>
      <c r="D26" s="632">
        <f>Inputs!C65/Inputs!C6</f>
        <v>-2.8765557531115062E-2</v>
      </c>
      <c r="E26" s="632">
        <f>Inputs!D65/Inputs!D6</f>
        <v>-3.3600278551532033E-2</v>
      </c>
      <c r="F26" s="632">
        <f>Inputs!E65/Inputs!E6</f>
        <v>-3.2466799593694744E-2</v>
      </c>
      <c r="G26" s="632">
        <f>Inputs!F65/Inputs!F6</f>
        <v>-3.5758466058450594E-2</v>
      </c>
      <c r="I26" s="633">
        <f t="shared" si="6"/>
        <v>-3.2293253665483593E-2</v>
      </c>
      <c r="K26" s="649"/>
      <c r="L26" s="649"/>
      <c r="N26" s="678" t="s">
        <v>451</v>
      </c>
    </row>
    <row r="27" spans="2:36" ht="14.45">
      <c r="B27" s="652" t="s">
        <v>466</v>
      </c>
      <c r="C27" s="632">
        <f>Inputs!B66/Inputs!B6</f>
        <v>0.10895157707685472</v>
      </c>
      <c r="D27" s="632">
        <f>Inputs!C66/Inputs!C6</f>
        <v>-0.12642875285750571</v>
      </c>
      <c r="E27" s="632">
        <f>Inputs!D66/Inputs!D6</f>
        <v>3.2694986072423396E-2</v>
      </c>
      <c r="F27" s="632">
        <f>Inputs!E66/Inputs!E6</f>
        <v>5.1277228095256012E-2</v>
      </c>
      <c r="G27" s="632">
        <f>Inputs!F66/Inputs!F6</f>
        <v>-1.353023040049482E-3</v>
      </c>
      <c r="I27" s="633">
        <f t="shared" si="6"/>
        <v>1.3028403069395785E-2</v>
      </c>
      <c r="K27" s="649"/>
      <c r="L27" s="649"/>
      <c r="N27" s="678" t="s">
        <v>451</v>
      </c>
    </row>
    <row r="28" spans="2:36" ht="14.45">
      <c r="B28" s="652" t="s">
        <v>133</v>
      </c>
      <c r="C28" s="632">
        <f>Inputs!B73/Inputs!B6</f>
        <v>-5.9973345179920035E-2</v>
      </c>
      <c r="D28" s="632">
        <f>Inputs!C73/Inputs!C6</f>
        <v>-6.30238760477521E-2</v>
      </c>
      <c r="E28" s="632">
        <f>Inputs!D73/Inputs!D6</f>
        <v>-6.3579387186629532E-2</v>
      </c>
      <c r="F28" s="632">
        <f>Inputs!E73/Inputs!E6</f>
        <v>-6.3127798051239609E-2</v>
      </c>
      <c r="G28" s="632">
        <f>Inputs!F73/Inputs!F6</f>
        <v>-5.9610329364465746E-2</v>
      </c>
      <c r="I28" s="633">
        <f t="shared" si="6"/>
        <v>-6.1862947166001402E-2</v>
      </c>
      <c r="K28" s="649"/>
      <c r="L28" s="649"/>
      <c r="N28" s="678" t="s">
        <v>467</v>
      </c>
    </row>
    <row r="29" spans="2:36" ht="14.45">
      <c r="B29" s="652" t="s">
        <v>468</v>
      </c>
      <c r="C29" s="632">
        <f>Inputs!B74/Inputs!B6</f>
        <v>-4.2953131941359399E-2</v>
      </c>
      <c r="D29" s="632">
        <f>Inputs!C74/Inputs!C6</f>
        <v>-6.4039878079756155E-2</v>
      </c>
      <c r="E29" s="632">
        <f>Inputs!D74/Inputs!D6</f>
        <v>-7.3467966573816157E-2</v>
      </c>
      <c r="F29" s="632">
        <f>Inputs!E74/Inputs!E6</f>
        <v>-5.2292991234340315E-2</v>
      </c>
      <c r="G29" s="632">
        <f>Inputs!F74/Inputs!F6</f>
        <v>-5.7213545693520954E-2</v>
      </c>
      <c r="I29" s="633">
        <f t="shared" si="6"/>
        <v>-5.7993502704558594E-2</v>
      </c>
      <c r="K29" s="649"/>
      <c r="L29" s="649"/>
      <c r="N29" s="678" t="s">
        <v>467</v>
      </c>
    </row>
    <row r="30" spans="2:36" ht="14.45">
      <c r="B30" s="652" t="s">
        <v>469</v>
      </c>
      <c r="C30" s="632"/>
      <c r="D30" s="632"/>
      <c r="E30" s="632"/>
      <c r="F30" s="632"/>
      <c r="G30" s="632"/>
      <c r="I30" s="633" t="e">
        <f t="shared" si="6"/>
        <v>#DIV/0!</v>
      </c>
      <c r="K30" s="649"/>
      <c r="L30" s="649"/>
      <c r="N30" s="678" t="s">
        <v>451</v>
      </c>
    </row>
    <row r="31" spans="2:36" ht="14.45">
      <c r="B31" s="652" t="s">
        <v>470</v>
      </c>
      <c r="C31" s="681" t="s">
        <v>459</v>
      </c>
      <c r="D31" s="681" t="s">
        <v>459</v>
      </c>
      <c r="E31" s="681" t="s">
        <v>459</v>
      </c>
      <c r="F31" s="681" t="s">
        <v>459</v>
      </c>
      <c r="G31" s="681" t="s">
        <v>459</v>
      </c>
      <c r="I31" s="681" t="s">
        <v>459</v>
      </c>
      <c r="K31" s="649" t="s">
        <v>459</v>
      </c>
      <c r="L31" s="649" t="s">
        <v>459</v>
      </c>
      <c r="N31" s="682" t="s">
        <v>459</v>
      </c>
    </row>
    <row r="32" spans="2:36" ht="14.45">
      <c r="B32" s="652" t="s">
        <v>297</v>
      </c>
      <c r="C32" s="683">
        <f>'Fin. Data'!B68/'Fin. Data'!B19</f>
        <v>3.3595291673879175</v>
      </c>
      <c r="D32" s="683">
        <f>'Fin. Data'!C68/'Fin. Data'!C19</f>
        <v>5.8697210135653952</v>
      </c>
      <c r="E32" s="683">
        <f>'Fin. Data'!D68/'Fin. Data'!D19</f>
        <v>4.5482517482517482</v>
      </c>
      <c r="F32" s="683">
        <f>'Fin. Data'!E68/'Fin. Data'!E19</f>
        <v>6.3698760724499524</v>
      </c>
      <c r="G32" s="683">
        <f>'Fin. Data'!F68/'Fin. Data'!F19</f>
        <v>4.2465659340659343</v>
      </c>
      <c r="I32" s="684">
        <f>AVERAGE(C32:G32)</f>
        <v>4.87878878714419</v>
      </c>
      <c r="K32" s="659"/>
      <c r="L32" s="659"/>
      <c r="N32" s="678" t="s">
        <v>471</v>
      </c>
    </row>
    <row r="35" spans="1:45" s="623" customFormat="1" ht="13.9">
      <c r="B35" s="636" t="s">
        <v>472</v>
      </c>
    </row>
    <row r="36" spans="1:45">
      <c r="A36" s="772"/>
      <c r="B36" s="772"/>
      <c r="C36" s="772"/>
      <c r="D36" s="772"/>
      <c r="E36" s="772"/>
      <c r="F36" s="772"/>
      <c r="G36" s="772"/>
      <c r="H36" s="772"/>
      <c r="I36" s="772"/>
      <c r="J36" s="772"/>
      <c r="K36" s="772"/>
      <c r="L36" s="772"/>
      <c r="M36" s="772"/>
      <c r="N36" s="772"/>
      <c r="O36" s="772"/>
      <c r="P36" s="772"/>
      <c r="Q36" s="772"/>
      <c r="R36" s="772"/>
      <c r="S36" s="772"/>
      <c r="T36" s="772"/>
      <c r="U36" s="772"/>
      <c r="V36" s="772"/>
      <c r="W36" s="772"/>
      <c r="X36" s="772"/>
      <c r="Y36" s="772"/>
      <c r="Z36" s="772"/>
      <c r="AA36" s="772"/>
      <c r="AB36" s="772"/>
      <c r="AC36" s="772"/>
      <c r="AD36" s="772"/>
      <c r="AE36" s="772"/>
      <c r="AF36" s="772"/>
      <c r="AG36" s="772"/>
    </row>
    <row r="37" spans="1:45" ht="12.6" customHeight="1">
      <c r="A37" s="772"/>
      <c r="B37" s="772"/>
      <c r="C37" s="772"/>
      <c r="D37" s="772"/>
      <c r="E37" s="772"/>
      <c r="F37" s="772"/>
      <c r="G37" s="772"/>
      <c r="H37" s="772"/>
      <c r="I37" s="772"/>
      <c r="J37" s="772"/>
      <c r="K37" s="772"/>
      <c r="L37" s="772"/>
      <c r="M37" s="772"/>
      <c r="N37" s="772"/>
      <c r="O37" s="772"/>
      <c r="P37" s="772"/>
      <c r="Q37" s="772"/>
      <c r="R37" s="772"/>
      <c r="S37" s="772"/>
      <c r="T37" s="772"/>
      <c r="U37" s="772"/>
      <c r="V37" s="772"/>
      <c r="W37" s="772"/>
      <c r="X37" s="772"/>
      <c r="Y37" s="772"/>
      <c r="Z37" s="772"/>
      <c r="AA37" s="772"/>
      <c r="AB37" s="772"/>
      <c r="AC37" s="772"/>
      <c r="AD37" s="772"/>
      <c r="AE37" s="772"/>
      <c r="AF37" s="772"/>
      <c r="AG37" s="772"/>
    </row>
    <row r="38" spans="1:45">
      <c r="A38" s="772"/>
      <c r="B38" s="772"/>
      <c r="C38" s="772"/>
      <c r="D38" s="772"/>
      <c r="E38" s="772"/>
      <c r="F38" s="772"/>
      <c r="G38" s="772"/>
      <c r="H38" s="772"/>
      <c r="I38" s="772"/>
      <c r="J38" s="772"/>
      <c r="K38" s="772"/>
      <c r="L38" s="772"/>
      <c r="M38" s="772"/>
      <c r="N38" s="772"/>
      <c r="O38" s="772"/>
      <c r="P38" s="772"/>
      <c r="Q38" s="772"/>
      <c r="R38" s="772"/>
      <c r="S38" s="772"/>
      <c r="T38" s="772"/>
      <c r="U38" s="772"/>
      <c r="V38" s="772"/>
      <c r="W38" s="772"/>
      <c r="X38" s="772"/>
      <c r="Y38" s="772"/>
      <c r="Z38" s="772"/>
      <c r="AA38" s="772"/>
      <c r="AB38" s="772"/>
      <c r="AC38" s="772"/>
      <c r="AD38" s="772"/>
      <c r="AE38" s="772"/>
      <c r="AF38" s="772"/>
      <c r="AG38" s="772"/>
    </row>
    <row r="39" spans="1:45" ht="12.6" customHeight="1">
      <c r="A39" s="772"/>
      <c r="B39" s="772"/>
      <c r="C39" s="772"/>
      <c r="D39" s="772"/>
      <c r="E39" s="772"/>
      <c r="F39" s="772"/>
      <c r="G39" s="772"/>
      <c r="H39" s="772"/>
      <c r="I39" s="772"/>
      <c r="J39" s="772"/>
      <c r="K39" s="772"/>
      <c r="L39" s="772"/>
      <c r="M39" s="772"/>
      <c r="N39" s="772"/>
      <c r="O39" s="772"/>
      <c r="P39" s="772"/>
      <c r="Q39" s="772"/>
      <c r="R39" s="772"/>
      <c r="S39" s="772"/>
      <c r="T39" s="772"/>
      <c r="U39" s="772"/>
      <c r="V39" s="772"/>
      <c r="W39" s="772"/>
      <c r="X39" s="772"/>
      <c r="Y39" s="772"/>
      <c r="Z39" s="772"/>
      <c r="AA39" s="772"/>
      <c r="AB39" s="772"/>
      <c r="AC39" s="772"/>
      <c r="AD39" s="772"/>
      <c r="AE39" s="772"/>
      <c r="AF39" s="772"/>
      <c r="AG39" s="772"/>
    </row>
    <row r="40" spans="1:45">
      <c r="A40" s="772"/>
      <c r="B40" s="805" t="s">
        <v>473</v>
      </c>
      <c r="C40" s="805"/>
      <c r="D40" s="805"/>
      <c r="E40" s="772"/>
      <c r="F40" s="772"/>
      <c r="G40" s="772"/>
      <c r="H40" s="772"/>
      <c r="I40" s="772"/>
      <c r="J40" s="772"/>
      <c r="K40" s="772"/>
      <c r="L40" s="772"/>
      <c r="M40" s="772"/>
      <c r="N40" s="772"/>
      <c r="O40" s="772"/>
      <c r="P40" s="772"/>
      <c r="Q40" s="772"/>
      <c r="R40" s="772"/>
      <c r="S40" s="772"/>
      <c r="T40" s="772"/>
      <c r="U40" s="772"/>
      <c r="V40" s="772"/>
      <c r="W40" s="772"/>
      <c r="X40" s="772"/>
      <c r="Y40" s="772"/>
      <c r="Z40" s="772"/>
      <c r="AA40" s="772"/>
      <c r="AB40" s="772"/>
      <c r="AC40" s="772"/>
      <c r="AD40" s="772"/>
      <c r="AE40" s="772"/>
      <c r="AF40" s="772"/>
      <c r="AG40" s="772"/>
    </row>
    <row r="41" spans="1:45" ht="14.45">
      <c r="A41" s="772"/>
      <c r="B41" s="234"/>
      <c r="C41" s="234"/>
      <c r="D41" s="234"/>
      <c r="E41" s="234"/>
      <c r="F41" s="234"/>
      <c r="G41" s="234"/>
      <c r="H41" s="234"/>
      <c r="I41" s="234"/>
      <c r="J41" s="234"/>
      <c r="K41" s="234"/>
      <c r="L41" s="234"/>
      <c r="M41" s="234"/>
      <c r="N41" s="234"/>
      <c r="O41" s="234"/>
      <c r="P41" s="234"/>
      <c r="Q41" s="234"/>
      <c r="R41" s="234"/>
      <c r="S41" s="234"/>
      <c r="T41" s="234"/>
      <c r="U41" s="234"/>
      <c r="V41" s="234"/>
      <c r="W41" s="234"/>
      <c r="X41" s="234"/>
      <c r="Y41" s="234"/>
      <c r="Z41" s="234"/>
      <c r="AA41" s="234"/>
      <c r="AB41" s="234"/>
      <c r="AC41" s="234"/>
      <c r="AD41" s="234"/>
      <c r="AE41" s="234"/>
      <c r="AF41" s="234"/>
      <c r="AG41" s="234"/>
      <c r="AH41" s="234"/>
      <c r="AI41" s="234"/>
      <c r="AJ41" s="234"/>
      <c r="AK41" s="234"/>
      <c r="AL41" s="234"/>
      <c r="AM41" s="234"/>
      <c r="AN41" s="234"/>
      <c r="AO41" s="234"/>
      <c r="AP41" s="234"/>
      <c r="AQ41" s="234"/>
      <c r="AR41" s="234"/>
      <c r="AS41" s="234"/>
    </row>
    <row r="42" spans="1:45" ht="14.45">
      <c r="A42" s="772"/>
      <c r="B42" s="803" t="s">
        <v>474</v>
      </c>
      <c r="C42" s="800">
        <v>2023</v>
      </c>
      <c r="D42" s="746">
        <v>2022</v>
      </c>
      <c r="E42" s="746">
        <v>2021</v>
      </c>
      <c r="F42" s="746">
        <v>2020</v>
      </c>
      <c r="G42" s="746">
        <v>2019</v>
      </c>
      <c r="H42" s="746">
        <v>2018</v>
      </c>
      <c r="I42" s="746">
        <v>2017</v>
      </c>
      <c r="J42" s="746">
        <v>2016</v>
      </c>
      <c r="K42" s="746">
        <v>2015</v>
      </c>
      <c r="L42" s="746">
        <v>2014</v>
      </c>
      <c r="M42" s="234"/>
      <c r="N42" s="234"/>
      <c r="O42" s="234"/>
      <c r="P42" s="234"/>
      <c r="Q42" s="234"/>
      <c r="R42" s="234"/>
      <c r="S42" s="234"/>
      <c r="T42" s="234"/>
      <c r="U42" s="234"/>
      <c r="V42" s="234"/>
      <c r="W42" s="234"/>
      <c r="X42" s="234"/>
      <c r="Y42" s="234"/>
      <c r="Z42" s="234"/>
      <c r="AA42" s="234"/>
      <c r="AB42" s="234"/>
      <c r="AC42" s="234"/>
      <c r="AD42" s="234"/>
      <c r="AE42" s="234"/>
      <c r="AF42" s="234"/>
      <c r="AG42" s="234"/>
      <c r="AH42" s="234"/>
      <c r="AI42" s="234"/>
      <c r="AJ42" s="234"/>
      <c r="AK42" s="234"/>
      <c r="AL42" s="234"/>
      <c r="AM42" s="234"/>
      <c r="AN42" s="234"/>
      <c r="AO42" s="234"/>
      <c r="AP42" s="234"/>
      <c r="AQ42" s="234"/>
      <c r="AR42" s="234"/>
      <c r="AS42" s="234"/>
    </row>
    <row r="43" spans="1:45" ht="14.45">
      <c r="A43" s="772"/>
      <c r="B43" s="780" t="s">
        <v>122</v>
      </c>
      <c r="C43" s="848">
        <v>36016</v>
      </c>
      <c r="D43" s="849">
        <v>31496</v>
      </c>
      <c r="E43" s="849">
        <v>28720</v>
      </c>
      <c r="F43" s="849">
        <v>26581</v>
      </c>
      <c r="G43" s="849">
        <v>25868</v>
      </c>
      <c r="H43" s="849">
        <v>25938</v>
      </c>
      <c r="I43" s="849">
        <v>25896</v>
      </c>
      <c r="J43" s="849">
        <v>25923</v>
      </c>
      <c r="K43" s="849">
        <v>29636</v>
      </c>
      <c r="L43" s="850">
        <v>34244</v>
      </c>
      <c r="M43" s="234"/>
      <c r="N43" s="234"/>
      <c r="O43" s="234"/>
      <c r="P43" s="234"/>
      <c r="Q43" s="234"/>
      <c r="R43" s="234"/>
      <c r="S43" s="234"/>
      <c r="T43" s="234"/>
      <c r="U43" s="234"/>
      <c r="V43" s="234"/>
      <c r="W43" s="234"/>
      <c r="X43" s="234"/>
      <c r="Y43" s="234"/>
      <c r="Z43" s="234"/>
      <c r="AA43" s="234"/>
      <c r="AB43" s="234"/>
      <c r="AC43" s="234"/>
      <c r="AD43" s="234"/>
      <c r="AE43" s="234"/>
      <c r="AF43" s="234"/>
      <c r="AG43" s="234"/>
      <c r="AH43" s="234"/>
      <c r="AI43" s="234"/>
      <c r="AJ43" s="234"/>
      <c r="AK43" s="234"/>
      <c r="AL43" s="234"/>
      <c r="AM43" s="234"/>
      <c r="AN43" s="234"/>
      <c r="AO43" s="234"/>
      <c r="AP43" s="234"/>
      <c r="AQ43" s="234"/>
      <c r="AR43" s="234"/>
      <c r="AS43" s="234"/>
    </row>
    <row r="44" spans="1:45" ht="12.6" customHeight="1">
      <c r="A44" s="772"/>
      <c r="B44" s="434" t="s">
        <v>475</v>
      </c>
      <c r="C44" s="755">
        <v>0.14000000000000001</v>
      </c>
      <c r="D44" s="739">
        <v>0.1</v>
      </c>
      <c r="E44" s="739">
        <v>0.08</v>
      </c>
      <c r="F44" s="739">
        <v>0.03</v>
      </c>
      <c r="G44" s="739">
        <v>0</v>
      </c>
      <c r="H44" s="739">
        <v>0</v>
      </c>
      <c r="I44" s="739">
        <v>0</v>
      </c>
      <c r="J44" s="739">
        <v>-0.13</v>
      </c>
      <c r="K44" s="739">
        <v>-0.13</v>
      </c>
      <c r="L44" s="843"/>
      <c r="M44" s="234"/>
      <c r="N44" s="234"/>
      <c r="O44" s="234"/>
      <c r="P44" s="234"/>
      <c r="Q44" s="234"/>
      <c r="R44" s="234"/>
      <c r="S44" s="234"/>
      <c r="T44" s="234"/>
      <c r="U44" s="234"/>
      <c r="V44" s="234"/>
      <c r="W44" s="234"/>
      <c r="X44" s="234"/>
      <c r="Y44" s="234"/>
      <c r="Z44" s="234"/>
      <c r="AA44" s="234"/>
      <c r="AB44" s="234"/>
      <c r="AC44" s="234"/>
      <c r="AD44" s="234"/>
      <c r="AE44" s="234"/>
      <c r="AF44" s="234"/>
      <c r="AG44" s="234"/>
      <c r="AH44" s="234"/>
      <c r="AI44" s="234"/>
      <c r="AJ44" s="234"/>
      <c r="AK44" s="234"/>
      <c r="AL44" s="234"/>
      <c r="AM44" s="234"/>
      <c r="AN44" s="234"/>
      <c r="AO44" s="234"/>
      <c r="AP44" s="234"/>
      <c r="AQ44" s="234"/>
      <c r="AR44" s="234"/>
      <c r="AS44" s="234"/>
    </row>
    <row r="45" spans="1:45" ht="14.45">
      <c r="A45" s="772"/>
      <c r="B45" s="434" t="s">
        <v>61</v>
      </c>
      <c r="C45" s="848">
        <v>5501</v>
      </c>
      <c r="D45" s="849">
        <v>3405</v>
      </c>
      <c r="E45" s="849">
        <v>4516</v>
      </c>
      <c r="F45" s="849">
        <v>3668</v>
      </c>
      <c r="G45" s="849">
        <v>3843</v>
      </c>
      <c r="H45" s="849">
        <v>3172</v>
      </c>
      <c r="I45" s="849">
        <v>3495</v>
      </c>
      <c r="J45" s="849">
        <v>2142</v>
      </c>
      <c r="K45" s="849">
        <v>8897</v>
      </c>
      <c r="L45" s="850">
        <v>2747</v>
      </c>
      <c r="M45" s="234"/>
      <c r="N45" s="234"/>
      <c r="O45" s="234"/>
      <c r="P45" s="234"/>
      <c r="Q45" s="234"/>
      <c r="R45" s="234"/>
      <c r="S45" s="234"/>
      <c r="T45" s="234"/>
      <c r="U45" s="234"/>
      <c r="V45" s="234"/>
      <c r="W45" s="234"/>
      <c r="X45" s="234"/>
      <c r="Y45" s="234"/>
      <c r="Z45" s="234"/>
      <c r="AA45" s="234"/>
      <c r="AB45" s="234"/>
      <c r="AC45" s="234"/>
      <c r="AD45" s="234"/>
      <c r="AE45" s="234"/>
      <c r="AF45" s="234"/>
      <c r="AG45" s="234"/>
      <c r="AH45" s="234"/>
      <c r="AI45" s="234"/>
      <c r="AJ45" s="234"/>
      <c r="AK45" s="234"/>
      <c r="AL45" s="234"/>
      <c r="AM45" s="234"/>
      <c r="AN45" s="234"/>
      <c r="AO45" s="234"/>
      <c r="AP45" s="234"/>
      <c r="AQ45" s="234"/>
      <c r="AR45" s="234"/>
      <c r="AS45" s="234"/>
    </row>
    <row r="46" spans="1:45" ht="14.45">
      <c r="A46" s="772"/>
      <c r="B46" s="234"/>
      <c r="C46" s="234"/>
      <c r="D46" s="234"/>
      <c r="E46" s="234"/>
      <c r="F46" s="234"/>
      <c r="G46" s="234"/>
      <c r="H46" s="234"/>
      <c r="I46" s="234"/>
      <c r="J46" s="234"/>
      <c r="K46" s="234"/>
      <c r="L46" s="234"/>
      <c r="M46" s="234"/>
      <c r="N46" s="234"/>
      <c r="O46" s="234"/>
      <c r="P46" s="429" t="s">
        <v>476</v>
      </c>
      <c r="Q46" s="779"/>
      <c r="R46" s="779"/>
      <c r="S46" s="858">
        <f>SUM(S51+S53)</f>
        <v>31425.380000000005</v>
      </c>
      <c r="T46" s="859">
        <f t="shared" ref="T46:AR46" si="8">SUM(T51+T53)</f>
        <v>34020.046200000012</v>
      </c>
      <c r="U46" s="859">
        <f t="shared" si="8"/>
        <v>36831.879098000012</v>
      </c>
      <c r="V46" s="859">
        <f t="shared" si="8"/>
        <v>39142.641386660012</v>
      </c>
      <c r="W46" s="859">
        <f t="shared" si="8"/>
        <v>41601.783573116219</v>
      </c>
      <c r="X46" s="859">
        <f t="shared" si="8"/>
        <v>44219.02357709386</v>
      </c>
      <c r="Y46" s="859">
        <f t="shared" si="8"/>
        <v>46275.160211724789</v>
      </c>
      <c r="Z46" s="859">
        <f t="shared" si="8"/>
        <v>48427.911096318319</v>
      </c>
      <c r="AA46" s="859">
        <f t="shared" si="8"/>
        <v>50681.859240101818</v>
      </c>
      <c r="AB46" s="859">
        <f t="shared" si="8"/>
        <v>53041.806894633191</v>
      </c>
      <c r="AC46" s="859">
        <f t="shared" si="8"/>
        <v>55512.786119592187</v>
      </c>
      <c r="AD46" s="859">
        <f t="shared" si="8"/>
        <v>57544.941999812305</v>
      </c>
      <c r="AE46" s="859">
        <f t="shared" si="8"/>
        <v>59652.733448304316</v>
      </c>
      <c r="AF46" s="859">
        <f t="shared" si="8"/>
        <v>61839.016367790988</v>
      </c>
      <c r="AG46" s="859">
        <f t="shared" si="8"/>
        <v>64106.755811503775</v>
      </c>
      <c r="AH46" s="859">
        <f t="shared" si="8"/>
        <v>66459.030196635096</v>
      </c>
      <c r="AI46" s="859">
        <f t="shared" si="8"/>
        <v>68234.445379785466</v>
      </c>
      <c r="AJ46" s="859">
        <f t="shared" si="8"/>
        <v>70058.755903975369</v>
      </c>
      <c r="AK46" s="859">
        <f t="shared" si="8"/>
        <v>71933.34128714689</v>
      </c>
      <c r="AL46" s="859">
        <f t="shared" si="8"/>
        <v>73859.620685934613</v>
      </c>
      <c r="AM46" s="859">
        <f t="shared" si="8"/>
        <v>75839.054049889412</v>
      </c>
      <c r="AN46" s="859">
        <f t="shared" si="8"/>
        <v>77873.14330963041</v>
      </c>
      <c r="AO46" s="859">
        <f t="shared" si="8"/>
        <v>79430.606175823021</v>
      </c>
      <c r="AP46" s="859">
        <f t="shared" si="8"/>
        <v>81019.218299339482</v>
      </c>
      <c r="AQ46" s="859">
        <f t="shared" si="8"/>
        <v>82639.602665326267</v>
      </c>
      <c r="AR46" s="860">
        <f t="shared" si="8"/>
        <v>84292.394718632801</v>
      </c>
      <c r="AS46" s="234"/>
    </row>
    <row r="47" spans="1:45" ht="14.45">
      <c r="A47" s="772"/>
      <c r="B47" s="429" t="s">
        <v>477</v>
      </c>
      <c r="C47" s="749">
        <v>0.15</v>
      </c>
      <c r="D47" s="747">
        <v>0.11</v>
      </c>
      <c r="E47" s="747">
        <v>0.16</v>
      </c>
      <c r="F47" s="747">
        <v>0.14000000000000001</v>
      </c>
      <c r="G47" s="747">
        <v>0.15</v>
      </c>
      <c r="H47" s="747">
        <v>0.12</v>
      </c>
      <c r="I47" s="747">
        <v>0.13</v>
      </c>
      <c r="J47" s="747">
        <v>0.08</v>
      </c>
      <c r="K47" s="747">
        <v>0.3</v>
      </c>
      <c r="L47" s="748">
        <v>0.08</v>
      </c>
      <c r="M47" s="234"/>
      <c r="N47" s="234"/>
      <c r="O47" s="234"/>
      <c r="P47" s="409" t="s">
        <v>478</v>
      </c>
      <c r="Q47" s="234"/>
      <c r="R47" s="865"/>
      <c r="S47" s="782">
        <f>S46/S61</f>
        <v>0.838480129395197</v>
      </c>
      <c r="T47" s="783">
        <f t="shared" ref="T47:AR47" si="9">T46/T61</f>
        <v>0.84237599209694924</v>
      </c>
      <c r="U47" s="783">
        <f t="shared" si="9"/>
        <v>0.8461333322552389</v>
      </c>
      <c r="V47" s="783">
        <f t="shared" si="9"/>
        <v>0.84736018673173474</v>
      </c>
      <c r="W47" s="783">
        <f t="shared" si="9"/>
        <v>0.84931855448000548</v>
      </c>
      <c r="X47" s="783">
        <f t="shared" si="9"/>
        <v>0.85162051190951793</v>
      </c>
      <c r="Y47" s="783">
        <f t="shared" si="9"/>
        <v>0.85186896299103343</v>
      </c>
      <c r="Z47" s="783">
        <f t="shared" si="9"/>
        <v>0.8526520741641912</v>
      </c>
      <c r="AA47" s="783">
        <f t="shared" si="9"/>
        <v>0.85338809533844073</v>
      </c>
      <c r="AB47" s="783">
        <f t="shared" si="9"/>
        <v>0.85407762318742575</v>
      </c>
      <c r="AC47" s="783">
        <f t="shared" si="9"/>
        <v>0.85535334550676023</v>
      </c>
      <c r="AD47" s="783">
        <f t="shared" si="9"/>
        <v>0.8554132750447152</v>
      </c>
      <c r="AE47" s="783">
        <f t="shared" si="9"/>
        <v>0.85544999131954191</v>
      </c>
      <c r="AF47" s="783">
        <f t="shared" si="9"/>
        <v>0.85612160224686285</v>
      </c>
      <c r="AG47" s="783">
        <f t="shared" si="9"/>
        <v>0.85678173727733475</v>
      </c>
      <c r="AH47" s="783">
        <f t="shared" si="9"/>
        <v>0.85743052110782891</v>
      </c>
      <c r="AI47" s="783">
        <f t="shared" si="9"/>
        <v>0.85755658956089731</v>
      </c>
      <c r="AJ47" s="783">
        <f t="shared" si="9"/>
        <v>0.85768226861171915</v>
      </c>
      <c r="AK47" s="783">
        <f t="shared" si="9"/>
        <v>0.85780755410832599</v>
      </c>
      <c r="AL47" s="783">
        <f t="shared" si="9"/>
        <v>0.85793244196205176</v>
      </c>
      <c r="AM47" s="783">
        <f t="shared" si="9"/>
        <v>0.85805692814787049</v>
      </c>
      <c r="AN47" s="783">
        <f t="shared" si="9"/>
        <v>0.85818100870471214</v>
      </c>
      <c r="AO47" s="783">
        <f t="shared" si="9"/>
        <v>0.85748963193983507</v>
      </c>
      <c r="AP47" s="783">
        <f t="shared" si="9"/>
        <v>0.85679260647658273</v>
      </c>
      <c r="AQ47" s="783">
        <f t="shared" si="9"/>
        <v>0.85608989638481248</v>
      </c>
      <c r="AR47" s="784">
        <f t="shared" si="9"/>
        <v>0.85538146569142393</v>
      </c>
      <c r="AS47" s="234"/>
    </row>
    <row r="48" spans="1:45" ht="14.45">
      <c r="A48" s="772"/>
      <c r="B48" s="750" t="s">
        <v>479</v>
      </c>
      <c r="C48" s="751">
        <f>AVERAGE(C47:L47)</f>
        <v>0.14200000000000002</v>
      </c>
      <c r="D48" s="14" t="s">
        <v>480</v>
      </c>
      <c r="E48" s="234"/>
      <c r="F48" s="234"/>
      <c r="G48" s="234"/>
      <c r="H48" s="234"/>
      <c r="I48" s="234"/>
      <c r="J48" s="234"/>
      <c r="K48" s="234"/>
      <c r="L48" s="234"/>
      <c r="M48" s="234"/>
      <c r="N48" s="234"/>
      <c r="O48" s="234"/>
      <c r="P48" s="780" t="s">
        <v>481</v>
      </c>
      <c r="Q48" s="781"/>
      <c r="R48" s="745"/>
      <c r="S48" s="234"/>
      <c r="T48" s="234"/>
      <c r="U48" s="234"/>
      <c r="V48" s="234"/>
      <c r="W48" s="234"/>
      <c r="X48" s="864" t="s">
        <v>482</v>
      </c>
      <c r="Y48" s="878">
        <v>0.9</v>
      </c>
      <c r="Z48" s="234"/>
      <c r="AA48" s="234"/>
      <c r="AB48" s="234"/>
      <c r="AC48" s="234"/>
      <c r="AD48" s="234"/>
      <c r="AE48" s="234"/>
      <c r="AF48" s="234"/>
      <c r="AG48" s="234"/>
      <c r="AH48" s="234"/>
      <c r="AI48" s="234"/>
      <c r="AJ48" s="234"/>
      <c r="AK48" s="234"/>
      <c r="AL48" s="234"/>
      <c r="AM48" s="234"/>
      <c r="AN48" s="234"/>
      <c r="AO48" s="234"/>
      <c r="AP48" s="234"/>
      <c r="AQ48" s="234"/>
      <c r="AR48" s="234"/>
      <c r="AS48" s="234"/>
    </row>
    <row r="49" spans="1:47" ht="21">
      <c r="A49" s="772"/>
      <c r="D49" s="837" t="s">
        <v>483</v>
      </c>
      <c r="E49" s="14"/>
      <c r="F49" s="14"/>
      <c r="G49" s="14"/>
      <c r="H49" s="14"/>
      <c r="I49" s="234"/>
      <c r="J49" s="234"/>
      <c r="K49" s="234"/>
      <c r="L49" s="234"/>
      <c r="M49" s="234"/>
      <c r="N49" s="234"/>
      <c r="O49" s="234"/>
      <c r="P49" s="740"/>
      <c r="Q49" s="740"/>
      <c r="R49" s="740"/>
      <c r="S49" s="740"/>
      <c r="T49" s="234"/>
      <c r="U49" s="234"/>
      <c r="V49" s="234"/>
      <c r="W49" s="234"/>
      <c r="X49" s="234"/>
      <c r="Y49" s="234"/>
      <c r="Z49" s="234"/>
      <c r="AA49" s="234"/>
      <c r="AB49" s="234"/>
      <c r="AC49" s="234"/>
      <c r="AD49" s="234"/>
      <c r="AE49" s="234"/>
      <c r="AF49" s="234"/>
      <c r="AG49" s="234"/>
      <c r="AH49" s="234"/>
      <c r="AI49" s="234"/>
      <c r="AJ49" s="234"/>
      <c r="AK49" s="234"/>
      <c r="AL49" s="234"/>
      <c r="AM49" s="234"/>
      <c r="AN49" s="234"/>
      <c r="AO49" s="234"/>
      <c r="AP49" s="234"/>
      <c r="AQ49" s="234"/>
      <c r="AR49" s="234"/>
      <c r="AS49" s="234"/>
    </row>
    <row r="50" spans="1:47" ht="14.45">
      <c r="A50" s="772"/>
      <c r="B50" s="14" t="s">
        <v>484</v>
      </c>
      <c r="C50" s="14"/>
      <c r="D50" s="14"/>
      <c r="E50" s="14"/>
      <c r="F50" s="14"/>
      <c r="G50" s="14"/>
      <c r="H50" s="14"/>
      <c r="I50" s="234"/>
      <c r="J50" s="803" t="s">
        <v>485</v>
      </c>
      <c r="K50" s="801">
        <v>2023</v>
      </c>
      <c r="L50" s="757">
        <v>2022</v>
      </c>
      <c r="M50" s="757">
        <v>2021</v>
      </c>
      <c r="N50" s="757">
        <v>2020</v>
      </c>
      <c r="O50" s="757">
        <v>2019</v>
      </c>
      <c r="P50" s="757">
        <v>2018</v>
      </c>
      <c r="Q50" s="757">
        <v>2017</v>
      </c>
      <c r="R50" s="234"/>
      <c r="S50" s="764">
        <v>2024</v>
      </c>
      <c r="T50" s="764">
        <v>2025</v>
      </c>
      <c r="U50" s="764">
        <v>2026</v>
      </c>
      <c r="V50" s="764">
        <v>2027</v>
      </c>
      <c r="W50" s="764">
        <v>2028</v>
      </c>
      <c r="X50" s="764">
        <v>2029</v>
      </c>
      <c r="Y50" s="765">
        <v>2030</v>
      </c>
      <c r="Z50" s="764">
        <v>2031</v>
      </c>
      <c r="AA50" s="764">
        <v>2032</v>
      </c>
      <c r="AB50" s="764">
        <v>2033</v>
      </c>
      <c r="AC50" s="764">
        <v>2034</v>
      </c>
      <c r="AD50" s="764">
        <v>2035</v>
      </c>
      <c r="AE50" s="764">
        <v>2036</v>
      </c>
      <c r="AF50" s="764">
        <v>2037</v>
      </c>
      <c r="AG50" s="764">
        <v>2038</v>
      </c>
      <c r="AH50" s="764">
        <v>2039</v>
      </c>
      <c r="AI50" s="764">
        <v>2040</v>
      </c>
      <c r="AJ50" s="764">
        <v>2041</v>
      </c>
      <c r="AK50" s="764">
        <v>2042</v>
      </c>
      <c r="AL50" s="764">
        <v>2043</v>
      </c>
      <c r="AM50" s="764">
        <v>2044</v>
      </c>
      <c r="AN50" s="764">
        <v>2045</v>
      </c>
      <c r="AO50" s="764">
        <v>2046</v>
      </c>
      <c r="AP50" s="764">
        <v>2047</v>
      </c>
      <c r="AQ50" s="764">
        <v>2048</v>
      </c>
      <c r="AR50" s="764">
        <v>2049</v>
      </c>
      <c r="AS50" s="773"/>
    </row>
    <row r="51" spans="1:47" ht="14.45">
      <c r="A51" s="772"/>
      <c r="B51" s="14" t="s">
        <v>486</v>
      </c>
      <c r="C51" s="14"/>
      <c r="D51" s="14"/>
      <c r="E51" s="14"/>
      <c r="F51" s="14"/>
      <c r="G51" s="14"/>
      <c r="H51" s="14"/>
      <c r="I51" s="234"/>
      <c r="J51" s="802" t="s">
        <v>195</v>
      </c>
      <c r="K51" s="771">
        <v>17629</v>
      </c>
      <c r="L51" s="770">
        <v>15608</v>
      </c>
      <c r="M51" s="770">
        <v>13552</v>
      </c>
      <c r="N51" s="770">
        <v>12759</v>
      </c>
      <c r="O51" s="770">
        <v>11434</v>
      </c>
      <c r="P51" s="770">
        <v>11179</v>
      </c>
      <c r="Q51" s="769">
        <v>10773</v>
      </c>
      <c r="R51" s="234"/>
      <c r="S51" s="858">
        <f>K51*(1+S52)</f>
        <v>19744.480000000003</v>
      </c>
      <c r="T51" s="859">
        <f>S51*(1+T52)</f>
        <v>21521.483200000006</v>
      </c>
      <c r="U51" s="859">
        <f t="shared" ref="U51:AR51" si="10">T51*(1+U52)</f>
        <v>23458.416688000008</v>
      </c>
      <c r="V51" s="859">
        <f t="shared" si="10"/>
        <v>25100.505856160009</v>
      </c>
      <c r="W51" s="859">
        <f t="shared" si="10"/>
        <v>26857.541266091212</v>
      </c>
      <c r="X51" s="859">
        <f t="shared" si="10"/>
        <v>28737.569154717599</v>
      </c>
      <c r="Y51" s="859">
        <f t="shared" si="10"/>
        <v>30174.447612453481</v>
      </c>
      <c r="Z51" s="859">
        <f t="shared" si="10"/>
        <v>31683.169993076157</v>
      </c>
      <c r="AA51" s="859">
        <f t="shared" si="10"/>
        <v>33267.328492729968</v>
      </c>
      <c r="AB51" s="859">
        <f t="shared" si="10"/>
        <v>34930.694917366469</v>
      </c>
      <c r="AC51" s="859">
        <f t="shared" si="10"/>
        <v>36677.229663234793</v>
      </c>
      <c r="AD51" s="859">
        <f t="shared" si="10"/>
        <v>38144.31884976419</v>
      </c>
      <c r="AE51" s="859">
        <f t="shared" si="10"/>
        <v>39670.091603754758</v>
      </c>
      <c r="AF51" s="859">
        <f t="shared" si="10"/>
        <v>41256.895267904947</v>
      </c>
      <c r="AG51" s="859">
        <f t="shared" si="10"/>
        <v>42907.171078621148</v>
      </c>
      <c r="AH51" s="859">
        <f t="shared" si="10"/>
        <v>44623.457921765992</v>
      </c>
      <c r="AI51" s="859">
        <f t="shared" si="10"/>
        <v>45962.161659418976</v>
      </c>
      <c r="AJ51" s="859">
        <f t="shared" si="10"/>
        <v>47341.026509201547</v>
      </c>
      <c r="AK51" s="859">
        <f t="shared" si="10"/>
        <v>48761.257304477593</v>
      </c>
      <c r="AL51" s="859">
        <f t="shared" si="10"/>
        <v>50224.095023611924</v>
      </c>
      <c r="AM51" s="859">
        <f t="shared" si="10"/>
        <v>51730.817874320281</v>
      </c>
      <c r="AN51" s="859">
        <f t="shared" si="10"/>
        <v>53282.742410549894</v>
      </c>
      <c r="AO51" s="859">
        <f t="shared" si="10"/>
        <v>54348.397258760895</v>
      </c>
      <c r="AP51" s="859">
        <f t="shared" si="10"/>
        <v>55435.365203936111</v>
      </c>
      <c r="AQ51" s="859">
        <f t="shared" si="10"/>
        <v>56544.072508014833</v>
      </c>
      <c r="AR51" s="860">
        <f t="shared" si="10"/>
        <v>57674.953958175131</v>
      </c>
      <c r="AS51" s="773"/>
    </row>
    <row r="52" spans="1:47" ht="14.45">
      <c r="A52" s="772"/>
      <c r="B52" s="14" t="s">
        <v>487</v>
      </c>
      <c r="C52" s="14"/>
      <c r="D52" s="14"/>
      <c r="E52" s="14"/>
      <c r="F52"/>
      <c r="G52"/>
      <c r="H52"/>
      <c r="I52" s="763" t="s">
        <v>438</v>
      </c>
      <c r="J52" s="756" t="s">
        <v>488</v>
      </c>
      <c r="K52" s="758">
        <v>0.13</v>
      </c>
      <c r="L52" s="768">
        <v>0.15</v>
      </c>
      <c r="M52" s="768">
        <v>0.06</v>
      </c>
      <c r="N52" s="768">
        <v>0.12</v>
      </c>
      <c r="O52" s="768">
        <v>0.02</v>
      </c>
      <c r="P52" s="768">
        <v>0.04</v>
      </c>
      <c r="Q52" s="761"/>
      <c r="R52" s="234"/>
      <c r="S52" s="851">
        <v>0.12</v>
      </c>
      <c r="T52" s="852">
        <v>0.09</v>
      </c>
      <c r="U52" s="852">
        <v>0.09</v>
      </c>
      <c r="V52" s="852">
        <v>7.0000000000000007E-2</v>
      </c>
      <c r="W52" s="852">
        <v>7.0000000000000007E-2</v>
      </c>
      <c r="X52" s="852">
        <v>7.0000000000000007E-2</v>
      </c>
      <c r="Y52" s="852">
        <v>0.05</v>
      </c>
      <c r="Z52" s="852">
        <v>0.05</v>
      </c>
      <c r="AA52" s="852">
        <v>0.05</v>
      </c>
      <c r="AB52" s="852">
        <v>0.05</v>
      </c>
      <c r="AC52" s="852">
        <v>0.05</v>
      </c>
      <c r="AD52" s="852">
        <v>0.04</v>
      </c>
      <c r="AE52" s="852">
        <v>0.04</v>
      </c>
      <c r="AF52" s="852">
        <v>0.04</v>
      </c>
      <c r="AG52" s="852">
        <v>0.04</v>
      </c>
      <c r="AH52" s="852">
        <v>0.04</v>
      </c>
      <c r="AI52" s="852">
        <v>0.03</v>
      </c>
      <c r="AJ52" s="852">
        <v>0.03</v>
      </c>
      <c r="AK52" s="852">
        <v>0.03</v>
      </c>
      <c r="AL52" s="852">
        <v>0.03</v>
      </c>
      <c r="AM52" s="852">
        <v>0.03</v>
      </c>
      <c r="AN52" s="852">
        <v>0.03</v>
      </c>
      <c r="AO52" s="852">
        <v>0.02</v>
      </c>
      <c r="AP52" s="852">
        <v>0.02</v>
      </c>
      <c r="AQ52" s="852">
        <v>0.02</v>
      </c>
      <c r="AR52" s="853">
        <v>0.02</v>
      </c>
      <c r="AS52" s="773"/>
      <c r="AU52" s="74"/>
    </row>
    <row r="53" spans="1:47" ht="14.45">
      <c r="A53" s="772"/>
      <c r="B53" s="14" t="s">
        <v>489</v>
      </c>
      <c r="C53" s="14"/>
      <c r="D53" s="14"/>
      <c r="E53" s="14"/>
      <c r="F53"/>
      <c r="G53"/>
      <c r="H53"/>
      <c r="I53" s="234"/>
      <c r="J53" s="752" t="s">
        <v>196</v>
      </c>
      <c r="K53" s="767">
        <v>10619</v>
      </c>
      <c r="L53">
        <v>9486</v>
      </c>
      <c r="M53">
        <v>9271</v>
      </c>
      <c r="N53">
        <v>8187</v>
      </c>
      <c r="O53">
        <v>8148</v>
      </c>
      <c r="P53">
        <v>8170</v>
      </c>
      <c r="Q53" s="766">
        <v>8105</v>
      </c>
      <c r="R53" s="234"/>
      <c r="S53" s="855">
        <f>K53*(1+S54)</f>
        <v>11680.900000000001</v>
      </c>
      <c r="T53" s="854">
        <f>S53*(1+T54)</f>
        <v>12498.563000000002</v>
      </c>
      <c r="U53" s="854">
        <f t="shared" ref="U53:AR53" si="11">T53*(1+U54)</f>
        <v>13373.462410000004</v>
      </c>
      <c r="V53" s="854">
        <f t="shared" si="11"/>
        <v>14042.135530500005</v>
      </c>
      <c r="W53" s="854">
        <f t="shared" si="11"/>
        <v>14744.242307025006</v>
      </c>
      <c r="X53" s="854">
        <f t="shared" si="11"/>
        <v>15481.454422376257</v>
      </c>
      <c r="Y53" s="854">
        <f t="shared" si="11"/>
        <v>16100.712599271308</v>
      </c>
      <c r="Z53" s="854">
        <f t="shared" si="11"/>
        <v>16744.741103242162</v>
      </c>
      <c r="AA53" s="854">
        <f t="shared" si="11"/>
        <v>17414.530747371849</v>
      </c>
      <c r="AB53" s="854">
        <f t="shared" si="11"/>
        <v>18111.111977266723</v>
      </c>
      <c r="AC53" s="854">
        <f t="shared" si="11"/>
        <v>18835.556456357393</v>
      </c>
      <c r="AD53" s="854">
        <f t="shared" si="11"/>
        <v>19400.623150048115</v>
      </c>
      <c r="AE53" s="854">
        <f t="shared" si="11"/>
        <v>19982.641844549558</v>
      </c>
      <c r="AF53" s="854">
        <f t="shared" si="11"/>
        <v>20582.121099886044</v>
      </c>
      <c r="AG53" s="854">
        <f t="shared" si="11"/>
        <v>21199.584732882628</v>
      </c>
      <c r="AH53" s="854">
        <f t="shared" si="11"/>
        <v>21835.572274869108</v>
      </c>
      <c r="AI53" s="854">
        <f t="shared" si="11"/>
        <v>22272.283720366489</v>
      </c>
      <c r="AJ53" s="854">
        <f t="shared" si="11"/>
        <v>22717.729394773818</v>
      </c>
      <c r="AK53" s="854">
        <f t="shared" si="11"/>
        <v>23172.083982669294</v>
      </c>
      <c r="AL53" s="854">
        <f t="shared" si="11"/>
        <v>23635.525662322681</v>
      </c>
      <c r="AM53" s="854">
        <f t="shared" si="11"/>
        <v>24108.236175569135</v>
      </c>
      <c r="AN53" s="854">
        <f t="shared" si="11"/>
        <v>24590.400899080516</v>
      </c>
      <c r="AO53" s="854">
        <f t="shared" si="11"/>
        <v>25082.208917062126</v>
      </c>
      <c r="AP53" s="854">
        <f t="shared" si="11"/>
        <v>25583.85309540337</v>
      </c>
      <c r="AQ53" s="854">
        <f t="shared" si="11"/>
        <v>26095.530157311438</v>
      </c>
      <c r="AR53" s="856">
        <f t="shared" si="11"/>
        <v>26617.440760457666</v>
      </c>
      <c r="AS53" s="773"/>
    </row>
    <row r="54" spans="1:47" ht="14.45">
      <c r="A54" s="772"/>
      <c r="B54" s="882" t="s">
        <v>490</v>
      </c>
      <c r="H54"/>
      <c r="I54" s="763" t="s">
        <v>438</v>
      </c>
      <c r="J54" s="753" t="s">
        <v>491</v>
      </c>
      <c r="K54" s="758">
        <v>0.12</v>
      </c>
      <c r="L54" s="768">
        <v>0.02</v>
      </c>
      <c r="M54" s="768">
        <v>0.13</v>
      </c>
      <c r="N54" s="768">
        <v>0</v>
      </c>
      <c r="O54" s="768">
        <v>0</v>
      </c>
      <c r="P54" s="768">
        <v>0.01</v>
      </c>
      <c r="Q54" s="761"/>
      <c r="R54" s="234"/>
      <c r="S54" s="851">
        <v>0.1</v>
      </c>
      <c r="T54" s="852">
        <v>7.0000000000000007E-2</v>
      </c>
      <c r="U54" s="852">
        <v>7.0000000000000007E-2</v>
      </c>
      <c r="V54" s="852">
        <v>0.05</v>
      </c>
      <c r="W54" s="852">
        <v>0.05</v>
      </c>
      <c r="X54" s="852">
        <v>0.05</v>
      </c>
      <c r="Y54" s="852">
        <v>0.04</v>
      </c>
      <c r="Z54" s="852">
        <v>0.04</v>
      </c>
      <c r="AA54" s="852">
        <v>0.04</v>
      </c>
      <c r="AB54" s="852">
        <v>0.04</v>
      </c>
      <c r="AC54" s="852">
        <v>0.04</v>
      </c>
      <c r="AD54" s="852">
        <v>0.03</v>
      </c>
      <c r="AE54" s="852">
        <v>0.03</v>
      </c>
      <c r="AF54" s="852">
        <v>0.03</v>
      </c>
      <c r="AG54" s="852">
        <v>0.03</v>
      </c>
      <c r="AH54" s="852">
        <v>0.03</v>
      </c>
      <c r="AI54" s="852">
        <v>0.02</v>
      </c>
      <c r="AJ54" s="852">
        <v>0.02</v>
      </c>
      <c r="AK54" s="852">
        <v>0.02</v>
      </c>
      <c r="AL54" s="852">
        <v>0.02</v>
      </c>
      <c r="AM54" s="852">
        <v>0.02</v>
      </c>
      <c r="AN54" s="852">
        <v>0.02</v>
      </c>
      <c r="AO54" s="852">
        <v>0.02</v>
      </c>
      <c r="AP54" s="852">
        <v>0.02</v>
      </c>
      <c r="AQ54" s="852">
        <v>0.02</v>
      </c>
      <c r="AR54" s="853">
        <v>0.02</v>
      </c>
      <c r="AS54" s="773"/>
    </row>
    <row r="55" spans="1:47" ht="14.45">
      <c r="A55" s="772"/>
      <c r="B55" s="882" t="s">
        <v>492</v>
      </c>
      <c r="H55"/>
      <c r="I55" s="234"/>
      <c r="J55" s="752" t="s">
        <v>197</v>
      </c>
      <c r="K55" s="767">
        <v>4426</v>
      </c>
      <c r="L55">
        <v>3412</v>
      </c>
      <c r="M55">
        <v>2872</v>
      </c>
      <c r="N55">
        <v>2658</v>
      </c>
      <c r="O55">
        <v>3363</v>
      </c>
      <c r="P55">
        <v>3476</v>
      </c>
      <c r="Q55" s="766">
        <v>3625</v>
      </c>
      <c r="R55" s="234"/>
      <c r="S55" s="855">
        <f>K55*(1+S56)</f>
        <v>2611.34</v>
      </c>
      <c r="T55" s="854">
        <f>S55*(1+T56)</f>
        <v>2820.2472000000002</v>
      </c>
      <c r="U55" s="854">
        <f t="shared" ref="U55:AR55" si="12">T55*(1+U56)</f>
        <v>3045.8669760000002</v>
      </c>
      <c r="V55" s="854">
        <f t="shared" si="12"/>
        <v>3289.5363340800004</v>
      </c>
      <c r="W55" s="854">
        <f t="shared" si="12"/>
        <v>3519.8038774656006</v>
      </c>
      <c r="X55" s="854">
        <f t="shared" si="12"/>
        <v>3766.1901488881931</v>
      </c>
      <c r="Y55" s="854">
        <f t="shared" si="12"/>
        <v>4029.8234593103671</v>
      </c>
      <c r="Z55" s="854">
        <f t="shared" si="12"/>
        <v>4271.6128668689889</v>
      </c>
      <c r="AA55" s="854">
        <f t="shared" si="12"/>
        <v>4527.9096388811286</v>
      </c>
      <c r="AB55" s="854">
        <f t="shared" si="12"/>
        <v>4799.5842172139965</v>
      </c>
      <c r="AC55" s="854">
        <f t="shared" si="12"/>
        <v>5039.5634280746963</v>
      </c>
      <c r="AD55" s="854">
        <f t="shared" si="12"/>
        <v>5291.5415994784316</v>
      </c>
      <c r="AE55" s="854">
        <f t="shared" si="12"/>
        <v>5556.1186794523537</v>
      </c>
      <c r="AF55" s="854">
        <f t="shared" si="12"/>
        <v>5778.363426630448</v>
      </c>
      <c r="AG55" s="854">
        <f t="shared" si="12"/>
        <v>6009.4979636956659</v>
      </c>
      <c r="AH55" s="854">
        <f t="shared" si="12"/>
        <v>6249.8778822434924</v>
      </c>
      <c r="AI55" s="854">
        <f t="shared" si="12"/>
        <v>6437.3742187107973</v>
      </c>
      <c r="AJ55" s="854">
        <f t="shared" si="12"/>
        <v>6630.4954452721213</v>
      </c>
      <c r="AK55" s="854">
        <f t="shared" si="12"/>
        <v>6829.4103086302848</v>
      </c>
      <c r="AL55" s="854">
        <f t="shared" si="12"/>
        <v>7034.2926178891939</v>
      </c>
      <c r="AM55" s="854">
        <f t="shared" si="12"/>
        <v>7245.3213964258703</v>
      </c>
      <c r="AN55" s="854">
        <f t="shared" si="12"/>
        <v>7462.6810383186466</v>
      </c>
      <c r="AO55" s="854">
        <f t="shared" si="12"/>
        <v>7686.5614694682063</v>
      </c>
      <c r="AP55" s="854">
        <f t="shared" si="12"/>
        <v>7917.1583135522524</v>
      </c>
      <c r="AQ55" s="854">
        <f t="shared" si="12"/>
        <v>8154.6730629588201</v>
      </c>
      <c r="AR55" s="856">
        <f t="shared" si="12"/>
        <v>8399.3132548475842</v>
      </c>
      <c r="AS55" s="773"/>
    </row>
    <row r="56" spans="1:47" ht="14.45">
      <c r="A56" s="772"/>
      <c r="B56" s="626" t="s">
        <v>493</v>
      </c>
      <c r="H56"/>
      <c r="I56" s="763" t="s">
        <v>438</v>
      </c>
      <c r="J56" s="754">
        <v>0.06</v>
      </c>
      <c r="K56" s="758">
        <v>0.3</v>
      </c>
      <c r="L56" s="768">
        <v>0.19</v>
      </c>
      <c r="M56" s="768">
        <v>0.08</v>
      </c>
      <c r="N56" s="768">
        <v>-0.21</v>
      </c>
      <c r="O56" s="768">
        <v>-0.03</v>
      </c>
      <c r="P56" s="768">
        <v>-0.04</v>
      </c>
      <c r="Q56" s="761"/>
      <c r="R56" s="234"/>
      <c r="S56" s="866">
        <v>-0.41</v>
      </c>
      <c r="T56" s="852">
        <v>0.08</v>
      </c>
      <c r="U56" s="852">
        <v>0.08</v>
      </c>
      <c r="V56" s="852">
        <v>0.08</v>
      </c>
      <c r="W56" s="852">
        <v>7.0000000000000007E-2</v>
      </c>
      <c r="X56" s="852">
        <v>7.0000000000000007E-2</v>
      </c>
      <c r="Y56" s="852">
        <v>7.0000000000000007E-2</v>
      </c>
      <c r="Z56" s="852">
        <v>0.06</v>
      </c>
      <c r="AA56" s="852">
        <v>0.06</v>
      </c>
      <c r="AB56" s="852">
        <v>0.06</v>
      </c>
      <c r="AC56" s="852">
        <v>0.05</v>
      </c>
      <c r="AD56" s="852">
        <v>0.05</v>
      </c>
      <c r="AE56" s="852">
        <v>0.05</v>
      </c>
      <c r="AF56" s="852">
        <v>0.04</v>
      </c>
      <c r="AG56" s="852">
        <v>0.04</v>
      </c>
      <c r="AH56" s="852">
        <v>0.04</v>
      </c>
      <c r="AI56" s="852">
        <v>0.03</v>
      </c>
      <c r="AJ56" s="852">
        <v>0.03</v>
      </c>
      <c r="AK56" s="852">
        <v>0.03</v>
      </c>
      <c r="AL56" s="852">
        <v>0.03</v>
      </c>
      <c r="AM56" s="852">
        <v>0.03</v>
      </c>
      <c r="AN56" s="852">
        <v>0.03</v>
      </c>
      <c r="AO56" s="852">
        <v>0.03</v>
      </c>
      <c r="AP56" s="852">
        <v>0.03</v>
      </c>
      <c r="AQ56" s="852">
        <v>0.03</v>
      </c>
      <c r="AR56" s="853">
        <v>0.03</v>
      </c>
      <c r="AS56" s="773"/>
    </row>
    <row r="57" spans="1:47" ht="14.45">
      <c r="A57" s="772"/>
      <c r="B57" s="920" t="s">
        <v>494</v>
      </c>
      <c r="C57" s="14"/>
      <c r="D57" s="14"/>
      <c r="E57" s="14"/>
      <c r="F57"/>
      <c r="G57" s="960" t="s">
        <v>495</v>
      </c>
      <c r="H57"/>
      <c r="I57" s="234"/>
      <c r="J57" s="752" t="s">
        <v>198</v>
      </c>
      <c r="K57" s="767">
        <v>1185</v>
      </c>
      <c r="L57">
        <v>1100</v>
      </c>
      <c r="M57">
        <v>1035</v>
      </c>
      <c r="N57">
        <v>1037</v>
      </c>
      <c r="O57">
        <v>1086</v>
      </c>
      <c r="P57">
        <v>1193</v>
      </c>
      <c r="Q57" s="766">
        <v>1372</v>
      </c>
      <c r="R57" s="234"/>
      <c r="S57" s="855">
        <f>K57*(1+S58)</f>
        <v>1220.55</v>
      </c>
      <c r="T57" s="854">
        <f>S57*(1+T58)</f>
        <v>1257.1665</v>
      </c>
      <c r="U57" s="854">
        <f t="shared" ref="U57:AR57" si="13">T57*(1+U58)</f>
        <v>1294.8814950000001</v>
      </c>
      <c r="V57" s="854">
        <f t="shared" si="13"/>
        <v>1333.7279398500002</v>
      </c>
      <c r="W57" s="854">
        <f t="shared" si="13"/>
        <v>1360.4024986470001</v>
      </c>
      <c r="X57" s="854">
        <f t="shared" si="13"/>
        <v>1387.6105486199401</v>
      </c>
      <c r="Y57" s="854">
        <f t="shared" si="13"/>
        <v>1415.362759592339</v>
      </c>
      <c r="Z57" s="854">
        <f t="shared" si="13"/>
        <v>1443.6700147841857</v>
      </c>
      <c r="AA57" s="854">
        <f t="shared" si="13"/>
        <v>1472.5434150798694</v>
      </c>
      <c r="AB57" s="854">
        <f t="shared" si="13"/>
        <v>1501.9942833814669</v>
      </c>
      <c r="AC57" s="854">
        <f t="shared" si="13"/>
        <v>1532.0341690490961</v>
      </c>
      <c r="AD57" s="854">
        <f t="shared" si="13"/>
        <v>1562.6748524300781</v>
      </c>
      <c r="AE57" s="854">
        <f t="shared" si="13"/>
        <v>1593.9283494786796</v>
      </c>
      <c r="AF57" s="854">
        <f t="shared" si="13"/>
        <v>1625.8069164682531</v>
      </c>
      <c r="AG57" s="854">
        <f t="shared" si="13"/>
        <v>1658.3230547976182</v>
      </c>
      <c r="AH57" s="854">
        <f t="shared" si="13"/>
        <v>1691.4895158935706</v>
      </c>
      <c r="AI57" s="854">
        <f t="shared" si="13"/>
        <v>1725.3193062114419</v>
      </c>
      <c r="AJ57" s="854">
        <f t="shared" si="13"/>
        <v>1759.8256923356707</v>
      </c>
      <c r="AK57" s="854">
        <f t="shared" si="13"/>
        <v>1795.0222061823843</v>
      </c>
      <c r="AL57" s="854">
        <f t="shared" si="13"/>
        <v>1830.922650306032</v>
      </c>
      <c r="AM57" s="854">
        <f t="shared" si="13"/>
        <v>1867.5411033121527</v>
      </c>
      <c r="AN57" s="854">
        <f t="shared" si="13"/>
        <v>1904.8919253783959</v>
      </c>
      <c r="AO57" s="854">
        <f t="shared" si="13"/>
        <v>1942.9897638859638</v>
      </c>
      <c r="AP57" s="854">
        <f t="shared" si="13"/>
        <v>1981.8495591636831</v>
      </c>
      <c r="AQ57" s="854">
        <f t="shared" si="13"/>
        <v>2021.4865503469568</v>
      </c>
      <c r="AR57" s="856">
        <f t="shared" si="13"/>
        <v>2061.916281353896</v>
      </c>
      <c r="AS57" s="773"/>
    </row>
    <row r="58" spans="1:47" ht="14.45">
      <c r="A58" s="772"/>
      <c r="B58" s="838">
        <f>AVERAGE(K52:O52)</f>
        <v>9.6000000000000002E-2</v>
      </c>
      <c r="C58" s="839" t="s">
        <v>496</v>
      </c>
      <c r="D58" s="840"/>
      <c r="E58" s="840"/>
      <c r="F58" s="770"/>
      <c r="G58" s="961">
        <v>0.49</v>
      </c>
      <c r="H58" s="14"/>
      <c r="I58" s="763" t="s">
        <v>438</v>
      </c>
      <c r="J58" s="754">
        <v>0</v>
      </c>
      <c r="K58" s="758">
        <v>0.08</v>
      </c>
      <c r="L58" s="768">
        <v>0.06</v>
      </c>
      <c r="M58" s="768">
        <v>0</v>
      </c>
      <c r="N58" s="768">
        <v>-0.05</v>
      </c>
      <c r="O58" s="768">
        <v>-0.09</v>
      </c>
      <c r="P58" s="768">
        <v>-0.13</v>
      </c>
      <c r="Q58" s="761"/>
      <c r="R58" s="234"/>
      <c r="S58" s="851">
        <v>0.03</v>
      </c>
      <c r="T58" s="852">
        <v>0.03</v>
      </c>
      <c r="U58" s="852">
        <v>0.03</v>
      </c>
      <c r="V58" s="852">
        <v>0.03</v>
      </c>
      <c r="W58" s="852">
        <v>0.02</v>
      </c>
      <c r="X58" s="852">
        <v>0.02</v>
      </c>
      <c r="Y58" s="852">
        <v>0.02</v>
      </c>
      <c r="Z58" s="852">
        <v>0.02</v>
      </c>
      <c r="AA58" s="852">
        <v>0.02</v>
      </c>
      <c r="AB58" s="852">
        <v>0.02</v>
      </c>
      <c r="AC58" s="852">
        <v>0.02</v>
      </c>
      <c r="AD58" s="852">
        <v>0.02</v>
      </c>
      <c r="AE58" s="852">
        <v>0.02</v>
      </c>
      <c r="AF58" s="852">
        <v>0.02</v>
      </c>
      <c r="AG58" s="852">
        <v>0.02</v>
      </c>
      <c r="AH58" s="852">
        <v>0.02</v>
      </c>
      <c r="AI58" s="852">
        <v>0.02</v>
      </c>
      <c r="AJ58" s="852">
        <v>0.02</v>
      </c>
      <c r="AK58" s="852">
        <v>0.02</v>
      </c>
      <c r="AL58" s="852">
        <v>0.02</v>
      </c>
      <c r="AM58" s="852">
        <v>0.02</v>
      </c>
      <c r="AN58" s="852">
        <v>0.02</v>
      </c>
      <c r="AO58" s="852">
        <v>0.02</v>
      </c>
      <c r="AP58" s="852">
        <v>0.02</v>
      </c>
      <c r="AQ58" s="852">
        <v>0.02</v>
      </c>
      <c r="AR58" s="853">
        <v>0.02</v>
      </c>
      <c r="AS58" s="773"/>
    </row>
    <row r="59" spans="1:47" ht="14.45">
      <c r="A59" s="772"/>
      <c r="B59" s="841">
        <f>AVERAGE(K54:O54)</f>
        <v>5.4000000000000006E-2</v>
      </c>
      <c r="C59" s="842" t="s">
        <v>497</v>
      </c>
      <c r="D59" s="14"/>
      <c r="E59" s="14"/>
      <c r="F59"/>
      <c r="G59" s="961">
        <v>0.28999999999999998</v>
      </c>
      <c r="H59" s="234"/>
      <c r="I59" s="234"/>
      <c r="J59" s="752" t="s">
        <v>199</v>
      </c>
      <c r="K59" s="767">
        <v>2157</v>
      </c>
      <c r="L59">
        <v>1890</v>
      </c>
      <c r="M59">
        <v>1990</v>
      </c>
      <c r="N59">
        <v>1940</v>
      </c>
      <c r="O59">
        <v>1837</v>
      </c>
      <c r="P59">
        <v>1919</v>
      </c>
      <c r="Q59" s="766">
        <v>2020</v>
      </c>
      <c r="R59" s="234"/>
      <c r="S59" s="855">
        <f>K59*(1+S60)</f>
        <v>2221.71</v>
      </c>
      <c r="T59" s="854">
        <f>S59*(1+S60)</f>
        <v>2288.3613</v>
      </c>
      <c r="U59" s="854">
        <f t="shared" ref="U59:AR59" si="14">T59*(1+T60)</f>
        <v>2357.0121389999999</v>
      </c>
      <c r="V59" s="854">
        <f t="shared" si="14"/>
        <v>2427.72250317</v>
      </c>
      <c r="W59" s="854">
        <f t="shared" si="14"/>
        <v>2500.5541782650998</v>
      </c>
      <c r="X59" s="854">
        <f t="shared" si="14"/>
        <v>2550.5652618304021</v>
      </c>
      <c r="Y59" s="854">
        <f t="shared" si="14"/>
        <v>2601.5765670670103</v>
      </c>
      <c r="Z59" s="854">
        <f t="shared" si="14"/>
        <v>2653.6080984083505</v>
      </c>
      <c r="AA59" s="854">
        <f t="shared" si="14"/>
        <v>2706.6802603765177</v>
      </c>
      <c r="AB59" s="854">
        <f t="shared" si="14"/>
        <v>2760.813865584048</v>
      </c>
      <c r="AC59" s="854">
        <f t="shared" si="14"/>
        <v>2816.0301428957291</v>
      </c>
      <c r="AD59" s="854">
        <f t="shared" si="14"/>
        <v>2872.3507457536439</v>
      </c>
      <c r="AE59" s="854">
        <f t="shared" si="14"/>
        <v>2929.7977606687168</v>
      </c>
      <c r="AF59" s="854">
        <f t="shared" si="14"/>
        <v>2988.3937158820913</v>
      </c>
      <c r="AG59" s="854">
        <f t="shared" si="14"/>
        <v>3048.1615901997334</v>
      </c>
      <c r="AH59" s="854">
        <f t="shared" si="14"/>
        <v>3109.1248220037282</v>
      </c>
      <c r="AI59" s="854">
        <f t="shared" si="14"/>
        <v>3171.3073184438031</v>
      </c>
      <c r="AJ59" s="854">
        <f t="shared" si="14"/>
        <v>3234.7334648126794</v>
      </c>
      <c r="AK59" s="854">
        <f t="shared" si="14"/>
        <v>3299.4281341089331</v>
      </c>
      <c r="AL59" s="854">
        <f t="shared" si="14"/>
        <v>3365.4166967911119</v>
      </c>
      <c r="AM59" s="854">
        <f t="shared" si="14"/>
        <v>3432.7250307269342</v>
      </c>
      <c r="AN59" s="854">
        <f t="shared" si="14"/>
        <v>3501.379531341473</v>
      </c>
      <c r="AO59" s="854">
        <f t="shared" si="14"/>
        <v>3571.4071219683024</v>
      </c>
      <c r="AP59" s="854">
        <f t="shared" si="14"/>
        <v>3642.8352644076685</v>
      </c>
      <c r="AQ59" s="854">
        <f t="shared" si="14"/>
        <v>3715.6919696958221</v>
      </c>
      <c r="AR59" s="856">
        <f t="shared" si="14"/>
        <v>3790.0058090897387</v>
      </c>
      <c r="AS59" s="773"/>
    </row>
    <row r="60" spans="1:47" ht="14.45">
      <c r="A60" s="772"/>
      <c r="B60" s="841">
        <f>AVERAGE(K56:O56)</f>
        <v>6.5999999999999989E-2</v>
      </c>
      <c r="C60" s="842" t="s">
        <v>498</v>
      </c>
      <c r="D60" s="14"/>
      <c r="E60" s="234"/>
      <c r="F60" s="234"/>
      <c r="G60" s="879">
        <v>0.12</v>
      </c>
      <c r="H60" s="234"/>
      <c r="I60" s="763" t="s">
        <v>438</v>
      </c>
      <c r="J60" s="754">
        <v>0.03</v>
      </c>
      <c r="K60" s="758">
        <v>0.14000000000000001</v>
      </c>
      <c r="L60" s="759">
        <v>-0.05</v>
      </c>
      <c r="M60" s="759">
        <v>0.03</v>
      </c>
      <c r="N60" s="759">
        <v>0.06</v>
      </c>
      <c r="O60" s="759">
        <v>-0.04</v>
      </c>
      <c r="P60" s="759">
        <v>-0.05</v>
      </c>
      <c r="Q60" s="762"/>
      <c r="R60" s="234"/>
      <c r="S60" s="851">
        <v>0.03</v>
      </c>
      <c r="T60" s="852">
        <v>0.03</v>
      </c>
      <c r="U60" s="852">
        <v>0.03</v>
      </c>
      <c r="V60" s="852">
        <v>0.03</v>
      </c>
      <c r="W60" s="852">
        <v>0.02</v>
      </c>
      <c r="X60" s="852">
        <v>0.02</v>
      </c>
      <c r="Y60" s="852">
        <v>0.02</v>
      </c>
      <c r="Z60" s="852">
        <v>0.02</v>
      </c>
      <c r="AA60" s="852">
        <v>0.02</v>
      </c>
      <c r="AB60" s="852">
        <v>0.02</v>
      </c>
      <c r="AC60" s="852">
        <v>0.02</v>
      </c>
      <c r="AD60" s="852">
        <v>0.02</v>
      </c>
      <c r="AE60" s="852">
        <v>0.02</v>
      </c>
      <c r="AF60" s="852">
        <v>0.02</v>
      </c>
      <c r="AG60" s="852">
        <v>0.02</v>
      </c>
      <c r="AH60" s="852">
        <v>0.02</v>
      </c>
      <c r="AI60" s="852">
        <v>0.02</v>
      </c>
      <c r="AJ60" s="852">
        <v>0.02</v>
      </c>
      <c r="AK60" s="852">
        <v>0.02</v>
      </c>
      <c r="AL60" s="852">
        <v>0.02</v>
      </c>
      <c r="AM60" s="852">
        <v>0.02</v>
      </c>
      <c r="AN60" s="852">
        <v>0.02</v>
      </c>
      <c r="AO60" s="852">
        <v>0.02</v>
      </c>
      <c r="AP60" s="852">
        <v>0.02</v>
      </c>
      <c r="AQ60" s="852">
        <v>0.02</v>
      </c>
      <c r="AR60" s="853">
        <v>0.02</v>
      </c>
      <c r="AS60" s="773"/>
    </row>
    <row r="61" spans="1:47" ht="14.45">
      <c r="A61" s="772"/>
      <c r="B61" s="841">
        <f>AVERAGE(K58:O58)</f>
        <v>0</v>
      </c>
      <c r="C61" s="842" t="s">
        <v>499</v>
      </c>
      <c r="D61" s="234"/>
      <c r="E61" s="234"/>
      <c r="F61" s="234"/>
      <c r="G61" s="879">
        <v>0.03</v>
      </c>
      <c r="H61" s="234"/>
      <c r="I61" s="234"/>
      <c r="J61" s="862" t="s">
        <v>500</v>
      </c>
      <c r="K61" s="436">
        <f>SUM(K51+K53+K55+K57+K59)</f>
        <v>36016</v>
      </c>
      <c r="L61" s="234"/>
      <c r="M61" s="234"/>
      <c r="N61" s="234"/>
      <c r="O61" s="234"/>
      <c r="P61" s="234"/>
      <c r="Q61" s="234"/>
      <c r="R61" s="776" t="s">
        <v>501</v>
      </c>
      <c r="S61" s="857">
        <f>SUM(S51+S53+S55+S57+S59)</f>
        <v>37478.980000000003</v>
      </c>
      <c r="T61" s="857">
        <f t="shared" ref="T61:AR61" si="15">SUM(T51+T53+T55+T57+T59)</f>
        <v>40385.821200000006</v>
      </c>
      <c r="U61" s="857">
        <f t="shared" si="15"/>
        <v>43529.63970800001</v>
      </c>
      <c r="V61" s="857">
        <f t="shared" si="15"/>
        <v>46193.628163760019</v>
      </c>
      <c r="W61" s="857">
        <f t="shared" si="15"/>
        <v>48982.544127493922</v>
      </c>
      <c r="X61" s="857">
        <f t="shared" si="15"/>
        <v>51923.389536432391</v>
      </c>
      <c r="Y61" s="857">
        <f t="shared" si="15"/>
        <v>54321.922997694506</v>
      </c>
      <c r="Z61" s="857">
        <f t="shared" si="15"/>
        <v>56796.802076379849</v>
      </c>
      <c r="AA61" s="857">
        <f t="shared" si="15"/>
        <v>59388.992554439334</v>
      </c>
      <c r="AB61" s="857">
        <f t="shared" si="15"/>
        <v>62104.199260812697</v>
      </c>
      <c r="AC61" s="857">
        <f t="shared" si="15"/>
        <v>64900.413859611712</v>
      </c>
      <c r="AD61" s="857">
        <f t="shared" si="15"/>
        <v>67271.509197474457</v>
      </c>
      <c r="AE61" s="857">
        <f t="shared" si="15"/>
        <v>69732.578237904076</v>
      </c>
      <c r="AF61" s="857">
        <f t="shared" si="15"/>
        <v>72231.580426771776</v>
      </c>
      <c r="AG61" s="857">
        <f t="shared" si="15"/>
        <v>74822.73842019678</v>
      </c>
      <c r="AH61" s="857">
        <f t="shared" si="15"/>
        <v>77509.522416775886</v>
      </c>
      <c r="AI61" s="857">
        <f t="shared" si="15"/>
        <v>79568.446223151506</v>
      </c>
      <c r="AJ61" s="857">
        <f t="shared" si="15"/>
        <v>81683.81050639585</v>
      </c>
      <c r="AK61" s="857">
        <f t="shared" si="15"/>
        <v>83857.201936068494</v>
      </c>
      <c r="AL61" s="857">
        <f t="shared" si="15"/>
        <v>86090.252650920957</v>
      </c>
      <c r="AM61" s="857">
        <f t="shared" si="15"/>
        <v>88384.641580354364</v>
      </c>
      <c r="AN61" s="857">
        <f t="shared" si="15"/>
        <v>90742.095804668934</v>
      </c>
      <c r="AO61" s="857">
        <f t="shared" si="15"/>
        <v>92631.564531145486</v>
      </c>
      <c r="AP61" s="857">
        <f t="shared" si="15"/>
        <v>94561.061436463089</v>
      </c>
      <c r="AQ61" s="857">
        <f t="shared" si="15"/>
        <v>96531.454248327864</v>
      </c>
      <c r="AR61" s="861">
        <f t="shared" si="15"/>
        <v>98543.630063924022</v>
      </c>
      <c r="AS61" s="773"/>
    </row>
    <row r="62" spans="1:47" ht="14.45">
      <c r="A62" s="772"/>
      <c r="B62" s="841">
        <f>AVERAGE(K60:O60)</f>
        <v>2.7999999999999997E-2</v>
      </c>
      <c r="C62" s="844" t="s">
        <v>502</v>
      </c>
      <c r="D62" s="845"/>
      <c r="E62" s="845"/>
      <c r="F62" s="845"/>
      <c r="G62" s="880">
        <v>0.06</v>
      </c>
      <c r="H62" s="234"/>
      <c r="I62" s="234"/>
      <c r="J62" s="234"/>
      <c r="K62" s="863" t="b">
        <f>K61=C43</f>
        <v>1</v>
      </c>
      <c r="L62" s="234"/>
      <c r="M62" s="234"/>
      <c r="N62" s="234"/>
      <c r="O62" s="234"/>
      <c r="P62" s="234"/>
      <c r="Q62" s="234"/>
      <c r="R62" s="777" t="s">
        <v>503</v>
      </c>
      <c r="S62" s="774">
        <f>(S61-K61)/K61</f>
        <v>4.0620279875610926E-2</v>
      </c>
      <c r="T62" s="774">
        <f>(T61-S61)/S61</f>
        <v>7.7559239872589975E-2</v>
      </c>
      <c r="U62" s="774">
        <f t="shared" ref="U62:AR62" si="16">(U61-T61)/T61</f>
        <v>7.7844610177197626E-2</v>
      </c>
      <c r="V62" s="774">
        <f t="shared" si="16"/>
        <v>6.1199414321603335E-2</v>
      </c>
      <c r="W62" s="774">
        <f t="shared" si="16"/>
        <v>6.0374473159955713E-2</v>
      </c>
      <c r="X62" s="774">
        <f t="shared" si="16"/>
        <v>6.0038641547158246E-2</v>
      </c>
      <c r="Y62" s="774">
        <f t="shared" si="16"/>
        <v>4.6193699653971326E-2</v>
      </c>
      <c r="Z62" s="774">
        <f t="shared" si="16"/>
        <v>4.5559489467822768E-2</v>
      </c>
      <c r="AA62" s="774">
        <f t="shared" si="16"/>
        <v>4.5639725887621801E-2</v>
      </c>
      <c r="AB62" s="774">
        <f t="shared" si="16"/>
        <v>4.5719022828758206E-2</v>
      </c>
      <c r="AC62" s="774">
        <f t="shared" si="16"/>
        <v>4.502456568284597E-2</v>
      </c>
      <c r="AD62" s="774">
        <f t="shared" si="16"/>
        <v>3.6534363910093737E-2</v>
      </c>
      <c r="AE62" s="774">
        <f t="shared" si="16"/>
        <v>3.6584121120357041E-2</v>
      </c>
      <c r="AF62" s="774">
        <f t="shared" si="16"/>
        <v>3.5836939519745654E-2</v>
      </c>
      <c r="AG62" s="774">
        <f t="shared" si="16"/>
        <v>3.5872923977510289E-2</v>
      </c>
      <c r="AH62" s="774">
        <f t="shared" si="16"/>
        <v>3.5908656289621539E-2</v>
      </c>
      <c r="AI62" s="774">
        <f t="shared" si="16"/>
        <v>2.6563494938139292E-2</v>
      </c>
      <c r="AJ62" s="774">
        <f t="shared" si="16"/>
        <v>2.6585466772993869E-2</v>
      </c>
      <c r="AK62" s="774">
        <f t="shared" si="16"/>
        <v>2.6607370740894448E-2</v>
      </c>
      <c r="AL62" s="774">
        <f t="shared" si="16"/>
        <v>2.6629206118216397E-2</v>
      </c>
      <c r="AM62" s="774">
        <f t="shared" si="16"/>
        <v>2.6650972192365417E-2</v>
      </c>
      <c r="AN62" s="774">
        <f t="shared" si="16"/>
        <v>2.6672668261841673E-2</v>
      </c>
      <c r="AO62" s="774">
        <f t="shared" si="16"/>
        <v>2.0822405629067849E-2</v>
      </c>
      <c r="AP62" s="774">
        <f t="shared" si="16"/>
        <v>2.0829799378686394E-2</v>
      </c>
      <c r="AQ62" s="774">
        <f t="shared" si="16"/>
        <v>2.0837253536845176E-2</v>
      </c>
      <c r="AR62" s="775">
        <f t="shared" si="16"/>
        <v>2.0844768487790738E-2</v>
      </c>
      <c r="AS62" s="773"/>
    </row>
    <row r="63" spans="1:47" ht="14.45">
      <c r="A63" s="772"/>
      <c r="B63" s="846">
        <f>SUMPRODUCT(B58:B62,G58:G62)</f>
        <v>7.2300000000000003E-2</v>
      </c>
      <c r="G63" s="847">
        <f>SUM(G58:G62)</f>
        <v>0.99</v>
      </c>
      <c r="AG63" s="234"/>
      <c r="AH63" s="234"/>
      <c r="AI63" s="234"/>
      <c r="AJ63" s="234"/>
      <c r="AK63" s="234"/>
      <c r="AL63" s="234"/>
      <c r="AM63" s="234"/>
      <c r="AN63" s="234"/>
      <c r="AO63" s="234"/>
      <c r="AP63" s="741"/>
      <c r="AQ63" s="234"/>
      <c r="AR63" s="234"/>
      <c r="AS63" s="234"/>
    </row>
    <row r="64" spans="1:47" ht="14.45">
      <c r="A64" s="772"/>
      <c r="B64" s="887"/>
      <c r="G64" s="888"/>
      <c r="AG64" s="234"/>
      <c r="AH64" s="234"/>
      <c r="AI64" s="234"/>
      <c r="AJ64" s="234"/>
      <c r="AK64" s="234"/>
      <c r="AL64" s="234"/>
      <c r="AM64" s="234"/>
      <c r="AN64" s="234"/>
      <c r="AO64" s="234"/>
      <c r="AP64" s="741"/>
      <c r="AQ64" s="234"/>
      <c r="AR64" s="234"/>
      <c r="AS64" s="234"/>
    </row>
    <row r="65" spans="1:45" ht="14.45">
      <c r="A65" s="772"/>
      <c r="AJ65" s="234"/>
      <c r="AK65" s="234"/>
      <c r="AL65" s="234"/>
      <c r="AM65" s="234"/>
      <c r="AN65" s="234"/>
      <c r="AO65" s="234"/>
      <c r="AP65" s="234"/>
      <c r="AQ65" s="234"/>
      <c r="AR65" s="234"/>
      <c r="AS65" s="234"/>
    </row>
    <row r="66" spans="1:45" ht="14.45">
      <c r="A66" s="637"/>
      <c r="B66" s="805" t="s">
        <v>195</v>
      </c>
      <c r="C66" s="804"/>
      <c r="AJ66" s="234"/>
      <c r="AK66" s="234"/>
      <c r="AL66" s="234"/>
      <c r="AM66" s="234"/>
      <c r="AN66" s="234"/>
      <c r="AO66" s="234"/>
      <c r="AP66" s="234"/>
      <c r="AQ66" s="234"/>
      <c r="AR66" s="234"/>
      <c r="AS66" s="234"/>
    </row>
    <row r="67" spans="1:45" ht="14.45">
      <c r="A67" s="637"/>
      <c r="B67" s="11" t="s">
        <v>504</v>
      </c>
      <c r="K67" s="883" t="s">
        <v>505</v>
      </c>
      <c r="L67" s="884" t="s">
        <v>506</v>
      </c>
      <c r="AJ67" s="234"/>
      <c r="AK67" s="234"/>
      <c r="AL67" s="234"/>
      <c r="AM67" s="234"/>
      <c r="AN67" s="234"/>
      <c r="AO67" s="234"/>
      <c r="AP67" s="234"/>
      <c r="AQ67" s="234"/>
      <c r="AR67" s="234"/>
      <c r="AS67" s="234"/>
    </row>
    <row r="68" spans="1:45" ht="14.45">
      <c r="A68" s="637"/>
      <c r="B68" s="234" t="s">
        <v>507</v>
      </c>
      <c r="K68" s="885">
        <f>AVERAGE(S52:V52)</f>
        <v>9.2499999999999999E-2</v>
      </c>
      <c r="L68" s="886">
        <f>AVERAGE(W52:AR52)</f>
        <v>3.8636363636363642E-2</v>
      </c>
      <c r="AJ68" s="234"/>
      <c r="AK68" s="234"/>
      <c r="AL68" s="234"/>
      <c r="AM68" s="234"/>
      <c r="AN68" s="234"/>
      <c r="AO68" s="234"/>
      <c r="AP68" s="234"/>
      <c r="AQ68" s="234"/>
      <c r="AR68" s="234"/>
      <c r="AS68" s="234"/>
    </row>
    <row r="69" spans="1:45" ht="14.45">
      <c r="A69" s="772"/>
      <c r="B69" s="881" t="s">
        <v>508</v>
      </c>
      <c r="C69" s="234"/>
      <c r="D69" s="234"/>
      <c r="E69" s="234"/>
      <c r="F69" s="234"/>
      <c r="H69" s="234"/>
      <c r="I69" s="234"/>
      <c r="J69" s="234"/>
      <c r="K69" s="234"/>
      <c r="L69" s="234"/>
      <c r="M69" s="234"/>
      <c r="N69" s="234"/>
      <c r="O69" s="234"/>
      <c r="P69" s="234"/>
      <c r="Q69" s="234"/>
      <c r="R69" s="234"/>
      <c r="S69" s="234"/>
      <c r="T69" s="234"/>
      <c r="U69" s="234"/>
      <c r="V69" s="234"/>
      <c r="W69" s="234"/>
      <c r="X69" s="234"/>
      <c r="Y69" s="234"/>
      <c r="Z69" s="234"/>
      <c r="AA69" s="234"/>
      <c r="AB69" s="234"/>
      <c r="AC69" s="234"/>
      <c r="AD69" s="234"/>
      <c r="AE69" s="234"/>
      <c r="AF69" s="234"/>
      <c r="AJ69" s="234"/>
      <c r="AK69" s="234"/>
      <c r="AL69" s="234"/>
      <c r="AM69" s="234"/>
      <c r="AN69" s="234"/>
      <c r="AO69" s="234"/>
      <c r="AP69" s="234"/>
      <c r="AQ69" s="234"/>
      <c r="AR69" s="234"/>
      <c r="AS69" s="234"/>
    </row>
    <row r="70" spans="1:45" ht="14.45">
      <c r="A70" s="772"/>
      <c r="B70" s="234" t="s">
        <v>509</v>
      </c>
      <c r="C70" s="234"/>
      <c r="D70" s="234"/>
      <c r="E70" s="234"/>
      <c r="F70" s="234"/>
      <c r="G70" s="234"/>
      <c r="H70" s="234"/>
      <c r="J70" s="234"/>
      <c r="K70" s="234"/>
      <c r="L70" s="234"/>
      <c r="M70" s="234"/>
      <c r="N70" s="234"/>
      <c r="O70" s="234"/>
      <c r="P70" s="234"/>
      <c r="Q70" s="234"/>
      <c r="R70" s="234"/>
      <c r="S70" s="234"/>
      <c r="T70" s="234"/>
      <c r="U70" s="234"/>
      <c r="V70" s="234"/>
      <c r="W70" s="234"/>
      <c r="X70" s="234"/>
      <c r="AJ70" s="234"/>
      <c r="AK70" s="234"/>
      <c r="AL70" s="234"/>
      <c r="AM70" s="234"/>
      <c r="AN70" s="234"/>
      <c r="AO70" s="234"/>
      <c r="AP70" s="234"/>
      <c r="AQ70" s="234"/>
      <c r="AR70" s="234"/>
      <c r="AS70" s="234"/>
    </row>
    <row r="71" spans="1:45" ht="14.45">
      <c r="A71" s="772"/>
      <c r="B71" s="234" t="s">
        <v>510</v>
      </c>
      <c r="C71" s="234"/>
      <c r="D71" s="234"/>
      <c r="E71" s="234"/>
      <c r="F71" s="234"/>
      <c r="G71" s="234" t="s">
        <v>511</v>
      </c>
      <c r="H71" s="234"/>
      <c r="I71" s="234"/>
      <c r="J71" s="234"/>
      <c r="K71" s="234"/>
      <c r="L71" s="234"/>
      <c r="M71" s="234"/>
      <c r="N71" s="234"/>
      <c r="O71" s="234"/>
      <c r="P71" s="234"/>
      <c r="Q71" s="234"/>
      <c r="R71" s="234"/>
      <c r="S71" s="234"/>
      <c r="T71" s="234"/>
      <c r="U71" s="234"/>
      <c r="V71" s="234"/>
      <c r="W71" s="234"/>
      <c r="X71" s="234"/>
      <c r="AJ71" s="234"/>
      <c r="AK71" s="234"/>
      <c r="AL71" s="234"/>
      <c r="AM71" s="234"/>
      <c r="AN71" s="234"/>
      <c r="AO71" s="234"/>
      <c r="AP71" s="234"/>
      <c r="AQ71" s="234"/>
      <c r="AR71" s="234"/>
      <c r="AS71" s="234"/>
    </row>
    <row r="72" spans="1:45" ht="14.45">
      <c r="A72" s="772"/>
      <c r="B72" s="881" t="s">
        <v>512</v>
      </c>
      <c r="C72" s="234"/>
      <c r="D72" s="234"/>
      <c r="E72" s="234"/>
      <c r="F72" s="234"/>
      <c r="G72" s="234" t="s">
        <v>513</v>
      </c>
      <c r="H72" s="234" t="s">
        <v>479</v>
      </c>
      <c r="I72" s="234" t="s">
        <v>514</v>
      </c>
      <c r="J72" s="234"/>
      <c r="K72" s="778" t="s">
        <v>515</v>
      </c>
      <c r="L72" s="234"/>
      <c r="M72" s="234"/>
      <c r="N72" s="234"/>
      <c r="O72" s="234"/>
      <c r="P72" s="234"/>
      <c r="Q72" s="234"/>
      <c r="R72" s="234"/>
      <c r="S72" s="234"/>
      <c r="T72" s="234"/>
      <c r="U72" s="234"/>
      <c r="V72" s="234"/>
      <c r="W72" s="234"/>
      <c r="X72" s="234"/>
      <c r="AJ72" s="234"/>
      <c r="AK72" s="234"/>
      <c r="AL72" s="234"/>
      <c r="AM72" s="234"/>
      <c r="AN72" s="234"/>
      <c r="AO72" s="234"/>
      <c r="AP72" s="234"/>
      <c r="AQ72" s="234"/>
      <c r="AR72" s="234"/>
      <c r="AS72" s="234"/>
    </row>
    <row r="73" spans="1:45" ht="14.45">
      <c r="A73" s="772"/>
      <c r="C73" s="234"/>
      <c r="D73" s="234"/>
      <c r="E73" s="234"/>
      <c r="F73" s="234"/>
      <c r="G73" s="234" t="s">
        <v>516</v>
      </c>
      <c r="H73" s="234"/>
      <c r="I73" s="234"/>
      <c r="J73" s="234"/>
      <c r="K73" s="234"/>
      <c r="L73" s="234"/>
      <c r="M73" s="234"/>
      <c r="N73" s="234"/>
      <c r="O73" s="234"/>
      <c r="P73" s="234"/>
      <c r="Q73" s="234"/>
      <c r="R73" s="234"/>
      <c r="S73" s="234"/>
      <c r="T73" s="234"/>
      <c r="U73" s="760" t="s">
        <v>517</v>
      </c>
      <c r="V73" s="234"/>
      <c r="W73" s="234"/>
      <c r="X73" s="234"/>
      <c r="AJ73" s="234"/>
      <c r="AK73" s="234"/>
      <c r="AL73" s="234"/>
      <c r="AM73" s="234"/>
      <c r="AN73" s="234"/>
      <c r="AO73" s="234"/>
      <c r="AP73" s="234"/>
      <c r="AQ73" s="234"/>
      <c r="AR73" s="234"/>
      <c r="AS73" s="234"/>
    </row>
    <row r="74" spans="1:45" ht="14.45">
      <c r="A74" s="772"/>
      <c r="B74" s="760" t="s">
        <v>518</v>
      </c>
      <c r="C74" s="234"/>
      <c r="D74" s="234"/>
      <c r="E74" s="234"/>
      <c r="F74" s="234"/>
      <c r="G74" s="234"/>
      <c r="H74" s="234"/>
      <c r="N74" s="234"/>
      <c r="O74" s="742">
        <v>0.08</v>
      </c>
      <c r="P74" s="234" t="s">
        <v>519</v>
      </c>
      <c r="Q74" s="234"/>
      <c r="R74" s="234"/>
      <c r="S74" s="234"/>
      <c r="T74" s="234"/>
      <c r="U74" s="234"/>
      <c r="V74" s="234"/>
      <c r="W74" s="234"/>
      <c r="AG74" s="234"/>
      <c r="AH74" s="234"/>
      <c r="AI74" s="234"/>
      <c r="AJ74" s="234"/>
      <c r="AK74" s="234"/>
      <c r="AL74" s="234"/>
      <c r="AM74" s="234"/>
      <c r="AN74" s="234"/>
      <c r="AO74" s="234"/>
      <c r="AP74" s="234"/>
      <c r="AQ74" s="234"/>
      <c r="AR74" s="234"/>
      <c r="AS74" s="234"/>
    </row>
    <row r="75" spans="1:45" ht="14.45">
      <c r="A75" s="772"/>
      <c r="B75" s="234" t="s">
        <v>520</v>
      </c>
      <c r="C75" s="234"/>
      <c r="D75" s="234"/>
      <c r="E75" s="234"/>
      <c r="F75" s="234"/>
      <c r="G75" s="234"/>
      <c r="H75" s="234"/>
      <c r="N75" s="234"/>
      <c r="O75" s="234"/>
      <c r="P75" s="234"/>
      <c r="Q75" s="234"/>
      <c r="R75" s="234"/>
      <c r="S75" s="234"/>
      <c r="T75" s="234"/>
      <c r="U75" s="234"/>
      <c r="V75" s="234"/>
      <c r="W75" s="234"/>
      <c r="X75" s="234"/>
      <c r="AG75" s="234"/>
      <c r="AH75" s="234"/>
      <c r="AI75" s="234"/>
      <c r="AJ75" s="234"/>
      <c r="AK75" s="234"/>
      <c r="AL75" s="234"/>
      <c r="AM75" s="234"/>
      <c r="AN75" s="234"/>
      <c r="AO75" s="234"/>
      <c r="AP75" s="234"/>
      <c r="AQ75" s="234"/>
      <c r="AR75" s="234"/>
      <c r="AS75" s="234"/>
    </row>
    <row r="76" spans="1:45" ht="14.45">
      <c r="A76" s="772"/>
      <c r="B76" s="234" t="s">
        <v>521</v>
      </c>
      <c r="C76" s="234"/>
      <c r="D76" s="234"/>
      <c r="E76" s="234"/>
      <c r="F76" s="234"/>
      <c r="G76" s="234"/>
      <c r="H76" s="234"/>
      <c r="N76" s="234"/>
      <c r="O76" s="234"/>
      <c r="P76" s="234"/>
      <c r="Q76" s="234"/>
      <c r="R76" s="234"/>
      <c r="S76" s="234"/>
      <c r="T76" s="234"/>
      <c r="U76" s="234"/>
      <c r="V76" s="234"/>
      <c r="W76" s="234"/>
      <c r="X76" s="234"/>
      <c r="AG76" s="234"/>
      <c r="AH76" s="234"/>
      <c r="AI76" s="234"/>
      <c r="AJ76" s="234"/>
      <c r="AK76" s="234"/>
      <c r="AL76" s="234"/>
      <c r="AM76" s="234"/>
      <c r="AN76" s="234"/>
      <c r="AO76" s="234"/>
      <c r="AP76" s="234"/>
      <c r="AQ76" s="234"/>
      <c r="AR76" s="234"/>
      <c r="AS76" s="234"/>
    </row>
    <row r="77" spans="1:45" ht="14.45">
      <c r="A77" s="772"/>
      <c r="B77" s="235" t="s">
        <v>522</v>
      </c>
      <c r="C77" s="234"/>
      <c r="D77" s="234"/>
      <c r="E77" s="234"/>
      <c r="F77" s="234"/>
      <c r="G77" s="234"/>
      <c r="H77" s="234"/>
      <c r="I77" s="234"/>
      <c r="J77" s="234"/>
      <c r="K77" s="234"/>
      <c r="L77" s="234"/>
      <c r="M77" s="234"/>
      <c r="N77" s="234"/>
      <c r="O77" s="234"/>
      <c r="P77" s="234"/>
      <c r="Q77" s="234"/>
      <c r="R77" s="234"/>
      <c r="S77" s="234"/>
      <c r="T77" s="234"/>
      <c r="U77" s="234"/>
      <c r="V77" s="234"/>
      <c r="W77" s="234"/>
      <c r="X77" s="234"/>
      <c r="AG77" s="234"/>
      <c r="AH77" s="234"/>
      <c r="AI77" s="234"/>
      <c r="AJ77" s="234"/>
      <c r="AK77" s="234"/>
      <c r="AL77" s="234"/>
      <c r="AM77" s="234"/>
      <c r="AN77" s="234"/>
      <c r="AO77" s="234"/>
      <c r="AP77" s="234"/>
      <c r="AQ77" s="234"/>
      <c r="AR77" s="234"/>
      <c r="AS77" s="234"/>
    </row>
    <row r="78" spans="1:45" ht="14.45">
      <c r="A78" s="772"/>
      <c r="B78" s="882" t="s">
        <v>523</v>
      </c>
      <c r="C78" s="234"/>
      <c r="D78" s="234"/>
      <c r="E78" s="234"/>
      <c r="F78" s="234"/>
      <c r="G78" s="234"/>
      <c r="H78" s="234"/>
      <c r="I78" s="234"/>
      <c r="J78" s="234"/>
      <c r="K78" s="234"/>
      <c r="L78" s="234"/>
      <c r="M78" s="234"/>
      <c r="N78" s="234"/>
      <c r="O78" s="234"/>
      <c r="P78" s="234"/>
      <c r="Q78" s="234"/>
      <c r="R78" s="234"/>
      <c r="S78" s="234"/>
      <c r="T78" s="234"/>
      <c r="U78" s="234"/>
      <c r="V78" s="234"/>
      <c r="W78" s="234"/>
      <c r="X78" s="234"/>
      <c r="AG78" s="234"/>
      <c r="AH78" s="234"/>
      <c r="AI78" s="234"/>
      <c r="AJ78" s="234"/>
      <c r="AK78" s="234"/>
      <c r="AL78" s="234"/>
      <c r="AM78" s="234"/>
      <c r="AN78" s="234"/>
      <c r="AO78" s="234"/>
      <c r="AP78" s="234"/>
      <c r="AQ78" s="234"/>
      <c r="AR78" s="234"/>
      <c r="AS78" s="234"/>
    </row>
    <row r="79" spans="1:45" ht="14.45">
      <c r="A79" s="772"/>
      <c r="B79" s="235"/>
      <c r="C79" s="234"/>
      <c r="D79" s="234"/>
      <c r="E79" s="234"/>
      <c r="F79" s="234"/>
      <c r="G79" s="234"/>
      <c r="H79" s="234"/>
      <c r="I79" s="234"/>
      <c r="J79" s="234"/>
      <c r="K79" s="234"/>
      <c r="L79" s="234"/>
      <c r="M79" s="234"/>
      <c r="N79" s="234"/>
      <c r="O79" s="234"/>
      <c r="P79" s="234"/>
      <c r="Q79" s="234"/>
      <c r="R79" s="234"/>
      <c r="S79" s="234"/>
      <c r="T79" s="234"/>
      <c r="U79" s="234"/>
      <c r="V79" s="234"/>
      <c r="W79" s="234"/>
      <c r="X79" s="234"/>
      <c r="AG79" s="234"/>
      <c r="AH79" s="234"/>
      <c r="AI79" s="234"/>
      <c r="AJ79" s="234"/>
      <c r="AK79" s="234"/>
      <c r="AL79" s="234"/>
      <c r="AM79" s="234"/>
      <c r="AN79" s="234"/>
      <c r="AO79" s="234"/>
      <c r="AP79" s="234"/>
      <c r="AQ79" s="234"/>
      <c r="AR79" s="234"/>
      <c r="AS79" s="234"/>
    </row>
    <row r="80" spans="1:45" ht="14.45">
      <c r="A80" s="772"/>
      <c r="B80" s="234"/>
      <c r="C80" s="234"/>
      <c r="D80" s="234"/>
      <c r="E80" s="234"/>
      <c r="F80" s="234"/>
      <c r="G80" s="234"/>
      <c r="H80" s="234"/>
      <c r="I80" s="234"/>
      <c r="J80" s="234"/>
      <c r="K80" s="234"/>
      <c r="L80" s="234"/>
      <c r="M80" s="234"/>
      <c r="N80" s="234"/>
      <c r="O80" s="234"/>
      <c r="P80" s="234"/>
      <c r="Q80" s="234"/>
      <c r="R80" s="234"/>
      <c r="S80" s="234"/>
      <c r="T80" s="234"/>
      <c r="U80" s="234"/>
      <c r="V80" s="234"/>
      <c r="W80" s="234"/>
      <c r="X80" s="234"/>
      <c r="AG80" s="234"/>
      <c r="AH80" s="234"/>
      <c r="AI80" s="234"/>
      <c r="AJ80" s="234"/>
      <c r="AK80" s="234"/>
      <c r="AL80" s="234"/>
      <c r="AM80" s="234"/>
      <c r="AN80" s="234"/>
      <c r="AO80" s="234"/>
      <c r="AP80" s="234"/>
      <c r="AQ80" s="234"/>
      <c r="AR80" s="234"/>
      <c r="AS80" s="234"/>
    </row>
    <row r="81" spans="1:45" ht="14.45">
      <c r="A81" s="772"/>
      <c r="B81" s="806" t="s">
        <v>196</v>
      </c>
      <c r="C81" s="234"/>
      <c r="D81" s="234"/>
      <c r="E81" s="234"/>
      <c r="F81" s="234"/>
      <c r="G81" s="234"/>
      <c r="H81" s="234"/>
      <c r="I81" s="234"/>
      <c r="J81" s="234"/>
      <c r="K81" s="883" t="s">
        <v>505</v>
      </c>
      <c r="L81" s="884" t="s">
        <v>506</v>
      </c>
      <c r="M81" s="234"/>
      <c r="N81" s="234"/>
      <c r="O81" s="234"/>
      <c r="P81" s="234"/>
      <c r="Q81" s="234"/>
      <c r="R81" s="234"/>
      <c r="S81" s="234"/>
      <c r="T81" s="234"/>
      <c r="U81" s="234"/>
      <c r="V81" s="234"/>
      <c r="W81" s="234"/>
      <c r="X81" s="234"/>
      <c r="Y81" s="234"/>
      <c r="Z81" s="234"/>
      <c r="AA81" s="234"/>
      <c r="AB81" s="234"/>
      <c r="AC81" s="234"/>
      <c r="AD81" s="234"/>
      <c r="AE81" s="234"/>
      <c r="AF81" s="234"/>
      <c r="AG81" s="234"/>
      <c r="AH81" s="234"/>
      <c r="AI81" s="234"/>
      <c r="AJ81" s="234"/>
      <c r="AK81" s="234"/>
      <c r="AL81" s="234"/>
      <c r="AM81" s="234"/>
      <c r="AN81" s="234"/>
      <c r="AO81" s="234"/>
      <c r="AP81" s="234"/>
      <c r="AQ81" s="234"/>
      <c r="AR81" s="234"/>
      <c r="AS81" s="234"/>
    </row>
    <row r="82" spans="1:45" ht="14.45">
      <c r="A82" s="772"/>
      <c r="B82" s="234" t="s">
        <v>524</v>
      </c>
      <c r="C82" s="234"/>
      <c r="D82" s="234"/>
      <c r="E82" s="234"/>
      <c r="F82" s="234"/>
      <c r="G82" s="234"/>
      <c r="H82" s="234"/>
      <c r="I82" s="234"/>
      <c r="J82" s="234"/>
      <c r="K82" s="885">
        <f>AVERAGE(S54:V54)</f>
        <v>7.2500000000000009E-2</v>
      </c>
      <c r="L82" s="886">
        <f>AVERAGE(W54:AR54)</f>
        <v>2.9545454545454555E-2</v>
      </c>
      <c r="M82" s="234"/>
      <c r="N82" s="234"/>
      <c r="O82" s="234"/>
      <c r="P82" s="234"/>
      <c r="Q82" s="234"/>
      <c r="R82" s="234"/>
      <c r="S82" s="234"/>
      <c r="T82" s="234"/>
      <c r="U82" s="234"/>
      <c r="V82" s="234"/>
      <c r="W82" s="234"/>
      <c r="X82" s="234"/>
      <c r="Y82" s="234"/>
      <c r="Z82" s="234"/>
      <c r="AA82" s="234"/>
      <c r="AB82" s="234"/>
      <c r="AC82" s="234"/>
      <c r="AD82" s="234"/>
      <c r="AE82" s="234"/>
      <c r="AF82" s="234"/>
      <c r="AG82" s="234"/>
      <c r="AH82" s="234"/>
      <c r="AI82" s="234"/>
      <c r="AJ82" s="234"/>
      <c r="AK82" s="234"/>
      <c r="AL82" s="234"/>
      <c r="AM82" s="234"/>
      <c r="AN82" s="234"/>
      <c r="AO82" s="234"/>
      <c r="AP82" s="234"/>
      <c r="AQ82" s="234"/>
      <c r="AR82" s="234"/>
      <c r="AS82" s="234"/>
    </row>
    <row r="83" spans="1:45" ht="14.45">
      <c r="A83" s="772"/>
      <c r="B83" s="881" t="s">
        <v>525</v>
      </c>
      <c r="C83" s="234"/>
      <c r="D83" s="234"/>
      <c r="E83" s="234"/>
      <c r="F83" s="234"/>
      <c r="G83" s="234"/>
      <c r="H83" s="234"/>
      <c r="I83" s="234"/>
      <c r="J83" s="234"/>
      <c r="K83" s="234"/>
      <c r="L83" s="234"/>
      <c r="M83" s="234"/>
      <c r="N83" s="234"/>
      <c r="O83" s="234"/>
      <c r="P83" s="234"/>
      <c r="Q83" s="234"/>
      <c r="R83" s="234"/>
      <c r="S83" s="234"/>
      <c r="T83" s="234"/>
      <c r="U83" s="234">
        <v>2023</v>
      </c>
      <c r="V83" s="234">
        <v>2022</v>
      </c>
      <c r="W83" s="234">
        <v>2021</v>
      </c>
      <c r="X83" s="234">
        <v>2020</v>
      </c>
      <c r="Y83" s="234">
        <v>2019</v>
      </c>
      <c r="Z83" s="234">
        <v>2018</v>
      </c>
      <c r="AA83" s="234"/>
      <c r="AB83" s="234"/>
      <c r="AC83" s="234"/>
      <c r="AD83" s="234"/>
      <c r="AE83" s="234"/>
      <c r="AF83" s="234"/>
      <c r="AG83" s="234"/>
      <c r="AH83" s="234"/>
      <c r="AI83" s="234"/>
      <c r="AJ83" s="234"/>
      <c r="AK83" s="234"/>
      <c r="AL83" s="234"/>
      <c r="AM83" s="234"/>
      <c r="AN83" s="234"/>
      <c r="AO83" s="234"/>
      <c r="AP83" s="234"/>
      <c r="AQ83" s="234"/>
      <c r="AR83" s="234"/>
      <c r="AS83" s="234"/>
    </row>
    <row r="84" spans="1:45" ht="14.45">
      <c r="A84" s="772"/>
      <c r="B84" s="234" t="s">
        <v>526</v>
      </c>
      <c r="C84" s="234"/>
      <c r="D84" s="234"/>
      <c r="E84" s="234"/>
      <c r="F84" s="234"/>
      <c r="G84" s="234"/>
      <c r="H84" s="234"/>
      <c r="I84" s="234"/>
      <c r="J84" s="234"/>
      <c r="K84" s="234"/>
      <c r="L84" s="234"/>
      <c r="M84" s="234"/>
      <c r="N84" s="234"/>
      <c r="O84" s="234"/>
      <c r="P84" s="234"/>
      <c r="Q84" s="234"/>
      <c r="R84" s="234"/>
      <c r="S84" s="234" t="s">
        <v>527</v>
      </c>
      <c r="T84" s="234"/>
      <c r="U84" s="234" t="s">
        <v>528</v>
      </c>
      <c r="V84" s="234" t="s">
        <v>529</v>
      </c>
      <c r="W84" s="234" t="s">
        <v>530</v>
      </c>
      <c r="X84" s="234" t="s">
        <v>531</v>
      </c>
      <c r="Y84" s="234" t="s">
        <v>532</v>
      </c>
      <c r="Z84" s="234" t="s">
        <v>533</v>
      </c>
      <c r="AA84" s="234"/>
      <c r="AB84" s="234"/>
      <c r="AC84" s="234"/>
      <c r="AD84" s="234"/>
      <c r="AE84" s="234"/>
      <c r="AF84" s="234"/>
      <c r="AG84" s="234"/>
      <c r="AH84" s="234"/>
      <c r="AI84" s="234"/>
      <c r="AJ84" s="234"/>
      <c r="AK84" s="234"/>
      <c r="AL84" s="234"/>
      <c r="AM84" s="234"/>
      <c r="AN84" s="234"/>
      <c r="AO84" s="234"/>
      <c r="AP84" s="234"/>
      <c r="AQ84" s="234"/>
      <c r="AR84" s="234"/>
      <c r="AS84" s="234"/>
    </row>
    <row r="85" spans="1:45" ht="14.45">
      <c r="A85" s="772"/>
      <c r="B85" s="234"/>
      <c r="D85" s="234"/>
      <c r="E85" s="234"/>
      <c r="F85" s="234"/>
      <c r="G85" s="234"/>
      <c r="H85" s="234"/>
      <c r="I85" s="234"/>
      <c r="J85" s="234"/>
      <c r="K85" s="234"/>
      <c r="L85" s="234"/>
      <c r="M85" s="234"/>
      <c r="N85" s="234"/>
      <c r="O85" s="234"/>
      <c r="P85" s="234"/>
      <c r="Q85" s="234"/>
      <c r="R85" s="234"/>
      <c r="S85" s="760" t="s">
        <v>534</v>
      </c>
      <c r="T85" s="234"/>
      <c r="U85" s="739">
        <v>0.06</v>
      </c>
      <c r="V85" s="739">
        <v>7.0000000000000007E-2</v>
      </c>
      <c r="W85" s="739">
        <v>7.0000000000000007E-2</v>
      </c>
      <c r="X85" s="739">
        <v>0.03</v>
      </c>
      <c r="Y85" s="739">
        <v>0.03</v>
      </c>
      <c r="Z85" s="234" t="e">
        <v>#DIV/0!</v>
      </c>
      <c r="AA85" s="234"/>
      <c r="AB85" s="234" t="s">
        <v>479</v>
      </c>
      <c r="AC85" s="739">
        <v>0.05</v>
      </c>
      <c r="AD85" s="234"/>
      <c r="AE85" s="234"/>
      <c r="AF85" s="234"/>
      <c r="AG85" s="234"/>
      <c r="AH85" s="234"/>
      <c r="AI85" s="234"/>
      <c r="AJ85" s="234"/>
      <c r="AK85" s="234"/>
      <c r="AL85" s="234"/>
      <c r="AM85" s="234"/>
      <c r="AN85" s="234"/>
      <c r="AO85" s="234"/>
      <c r="AP85" s="234"/>
      <c r="AQ85" s="234"/>
      <c r="AR85" s="234"/>
      <c r="AS85" s="234"/>
    </row>
    <row r="86" spans="1:45" ht="14.45">
      <c r="A86" s="772"/>
      <c r="B86" s="234" t="s">
        <v>535</v>
      </c>
      <c r="C86" s="234"/>
      <c r="D86" s="234"/>
      <c r="E86" s="234"/>
      <c r="F86" s="234"/>
      <c r="G86" s="234"/>
      <c r="H86" s="234"/>
      <c r="I86" s="234"/>
      <c r="J86" s="234"/>
      <c r="K86" s="234"/>
      <c r="L86" s="234"/>
      <c r="M86" s="234"/>
      <c r="N86" s="234"/>
      <c r="O86" s="234"/>
      <c r="P86" s="234"/>
      <c r="Q86" s="234"/>
      <c r="R86" s="234"/>
      <c r="S86" s="234" t="s">
        <v>536</v>
      </c>
      <c r="T86" s="234"/>
      <c r="U86" s="739">
        <v>0.12</v>
      </c>
      <c r="V86" s="739">
        <v>0.02</v>
      </c>
      <c r="W86" s="739">
        <v>0.13</v>
      </c>
      <c r="X86" s="739">
        <v>0</v>
      </c>
      <c r="Y86" s="739">
        <v>0</v>
      </c>
      <c r="Z86" s="234"/>
      <c r="AA86" s="234"/>
      <c r="AB86" s="234" t="s">
        <v>299</v>
      </c>
      <c r="AC86" s="234" t="s">
        <v>491</v>
      </c>
      <c r="AD86" s="234"/>
      <c r="AE86" s="234"/>
      <c r="AF86" s="234"/>
      <c r="AG86" s="234"/>
      <c r="AH86" s="234"/>
      <c r="AI86" s="234"/>
      <c r="AJ86" s="234"/>
      <c r="AK86" s="234"/>
      <c r="AL86" s="234"/>
      <c r="AM86" s="234"/>
      <c r="AN86" s="234"/>
      <c r="AO86" s="234"/>
      <c r="AP86" s="234"/>
      <c r="AQ86" s="234"/>
      <c r="AR86" s="234"/>
      <c r="AS86" s="234"/>
    </row>
    <row r="87" spans="1:45" ht="14.45">
      <c r="A87" s="772"/>
      <c r="B87" s="234" t="s">
        <v>537</v>
      </c>
      <c r="C87" s="234"/>
      <c r="D87" s="234"/>
      <c r="E87" s="234"/>
      <c r="F87" s="234"/>
      <c r="G87" s="234"/>
      <c r="H87" s="234"/>
      <c r="I87" s="234"/>
      <c r="J87" s="234"/>
      <c r="K87" s="234"/>
      <c r="L87" s="234"/>
      <c r="M87" s="234"/>
      <c r="N87" s="739">
        <v>0.06</v>
      </c>
      <c r="O87" s="234"/>
      <c r="P87" s="234"/>
      <c r="Q87" s="234"/>
      <c r="R87" s="234"/>
      <c r="S87" s="234"/>
      <c r="T87" s="234" t="s">
        <v>538</v>
      </c>
      <c r="U87" s="739">
        <f>AVERAGE(U85:W85)</f>
        <v>6.6666666666666666E-2</v>
      </c>
      <c r="V87" s="234"/>
      <c r="W87" s="234"/>
      <c r="X87" s="234"/>
      <c r="Y87" s="234"/>
      <c r="Z87" s="234"/>
      <c r="AA87" s="234"/>
      <c r="AB87" s="234"/>
      <c r="AC87" s="234"/>
      <c r="AD87" s="234"/>
      <c r="AE87" s="234"/>
      <c r="AF87" s="234"/>
      <c r="AG87" s="234"/>
      <c r="AH87" s="234"/>
      <c r="AI87" s="234"/>
      <c r="AJ87" s="234"/>
      <c r="AK87" s="234"/>
      <c r="AL87" s="234"/>
      <c r="AM87" s="234"/>
      <c r="AN87" s="234"/>
      <c r="AO87" s="234"/>
      <c r="AP87" s="234"/>
      <c r="AQ87" s="234"/>
      <c r="AR87" s="234"/>
      <c r="AS87" s="234"/>
    </row>
    <row r="88" spans="1:45" ht="14.45">
      <c r="A88" s="772"/>
      <c r="B88" s="234" t="s">
        <v>539</v>
      </c>
      <c r="C88" s="234"/>
      <c r="D88" s="234"/>
      <c r="E88" s="234"/>
      <c r="F88" s="234"/>
      <c r="G88" s="234"/>
      <c r="H88" s="234"/>
      <c r="I88" s="234"/>
      <c r="J88" s="234"/>
      <c r="K88" s="234"/>
      <c r="L88" s="234"/>
      <c r="M88" s="234"/>
      <c r="N88" s="739">
        <v>0.05</v>
      </c>
      <c r="O88" s="234" t="s">
        <v>479</v>
      </c>
      <c r="P88" s="234" t="s">
        <v>540</v>
      </c>
      <c r="Q88" s="234"/>
      <c r="R88" s="742">
        <v>0.06</v>
      </c>
      <c r="S88" s="234" t="s">
        <v>541</v>
      </c>
      <c r="T88" s="234" t="s">
        <v>542</v>
      </c>
      <c r="U88" s="739">
        <f>AVERAGE(U86:W86)</f>
        <v>9.0000000000000011E-2</v>
      </c>
      <c r="V88" s="234"/>
      <c r="W88" s="234"/>
      <c r="X88" s="234"/>
      <c r="Y88" s="234"/>
      <c r="Z88" s="234"/>
      <c r="AA88" s="234"/>
      <c r="AB88" s="234"/>
      <c r="AC88" s="234"/>
      <c r="AD88" s="234"/>
      <c r="AE88" s="234"/>
      <c r="AF88" s="234"/>
      <c r="AG88" s="234"/>
      <c r="AH88" s="234"/>
      <c r="AI88" s="234"/>
      <c r="AJ88" s="234"/>
      <c r="AK88" s="234"/>
      <c r="AL88" s="234"/>
      <c r="AM88" s="234"/>
      <c r="AN88" s="234"/>
      <c r="AO88" s="234"/>
      <c r="AP88" s="234"/>
      <c r="AQ88" s="234"/>
      <c r="AR88" s="234"/>
      <c r="AS88" s="234"/>
    </row>
    <row r="89" spans="1:45" ht="14.45">
      <c r="A89" s="772"/>
      <c r="B89" s="234" t="s">
        <v>543</v>
      </c>
      <c r="C89" s="234"/>
      <c r="D89" s="234"/>
      <c r="E89" s="234"/>
      <c r="F89" s="234"/>
      <c r="G89" s="234"/>
      <c r="H89" s="234"/>
      <c r="I89" s="234"/>
      <c r="J89" s="234"/>
      <c r="K89" s="234"/>
      <c r="L89" s="234"/>
      <c r="M89" s="234"/>
      <c r="N89" s="739">
        <v>0.04</v>
      </c>
      <c r="O89" s="234"/>
      <c r="P89" s="234"/>
      <c r="Q89" s="234"/>
      <c r="R89" s="739">
        <v>0.09</v>
      </c>
      <c r="S89" s="234" t="s">
        <v>544</v>
      </c>
      <c r="T89" s="234" t="s">
        <v>545</v>
      </c>
      <c r="U89" s="234"/>
      <c r="V89" s="234"/>
      <c r="W89" s="234"/>
      <c r="X89" s="234"/>
      <c r="Y89" s="234"/>
      <c r="Z89" s="234"/>
      <c r="AA89" s="234"/>
      <c r="AB89" s="234"/>
      <c r="AC89" s="234" t="s">
        <v>546</v>
      </c>
      <c r="AD89" s="234"/>
      <c r="AE89" s="234"/>
      <c r="AF89" s="234"/>
      <c r="AG89" s="234"/>
      <c r="AH89" s="234"/>
      <c r="AI89" s="234"/>
      <c r="AJ89" s="234"/>
      <c r="AK89" s="234"/>
      <c r="AL89" s="234"/>
      <c r="AM89" s="234"/>
      <c r="AN89" s="234"/>
      <c r="AO89" s="234"/>
      <c r="AP89" s="234"/>
      <c r="AQ89" s="234"/>
      <c r="AR89" s="234"/>
      <c r="AS89" s="234"/>
    </row>
    <row r="90" spans="1:45" ht="14.45">
      <c r="A90" s="772"/>
      <c r="B90" s="234" t="s">
        <v>547</v>
      </c>
      <c r="C90" s="234"/>
      <c r="D90" s="234"/>
      <c r="E90" s="234"/>
      <c r="F90" s="234"/>
      <c r="G90" s="234"/>
      <c r="H90" s="234"/>
      <c r="I90" s="234"/>
      <c r="J90" s="234"/>
      <c r="K90" s="234"/>
      <c r="L90" s="234"/>
      <c r="M90" s="234"/>
      <c r="N90" s="234" t="s">
        <v>548</v>
      </c>
      <c r="O90" s="234"/>
      <c r="P90" s="234"/>
      <c r="Q90" s="234"/>
      <c r="R90" s="234" t="s">
        <v>549</v>
      </c>
      <c r="S90" s="234"/>
      <c r="T90" s="234">
        <v>2030</v>
      </c>
      <c r="U90" s="234"/>
      <c r="V90" s="234"/>
      <c r="W90" s="234"/>
      <c r="X90" s="234"/>
      <c r="Y90" s="234"/>
      <c r="Z90" s="234"/>
      <c r="AA90" s="234"/>
      <c r="AB90" s="234"/>
      <c r="AC90" s="234"/>
      <c r="AD90" s="234"/>
      <c r="AE90" s="234"/>
      <c r="AF90" s="234"/>
      <c r="AG90" s="234"/>
      <c r="AH90" s="234"/>
      <c r="AI90" s="234"/>
      <c r="AJ90" s="234"/>
      <c r="AK90" s="234"/>
      <c r="AL90" s="234"/>
      <c r="AM90" s="234"/>
      <c r="AN90" s="234"/>
      <c r="AO90" s="234"/>
      <c r="AP90" s="234"/>
      <c r="AQ90" s="234"/>
      <c r="AR90" s="234"/>
      <c r="AS90" s="234"/>
    </row>
    <row r="91" spans="1:45" ht="14.45">
      <c r="A91" s="772"/>
      <c r="B91" s="234"/>
      <c r="C91" s="234"/>
      <c r="D91" s="234"/>
      <c r="E91" s="234"/>
      <c r="F91" s="234"/>
      <c r="G91" s="234"/>
      <c r="H91" s="234"/>
      <c r="I91" s="234"/>
      <c r="J91" s="234"/>
      <c r="K91" s="234"/>
      <c r="L91" s="234"/>
      <c r="M91" s="234"/>
      <c r="N91" s="234"/>
      <c r="O91" s="234"/>
      <c r="P91" s="234"/>
      <c r="Q91" s="234"/>
      <c r="R91" s="234"/>
      <c r="S91" s="234"/>
      <c r="T91" s="234"/>
      <c r="U91" s="234"/>
      <c r="V91" s="234"/>
      <c r="W91" s="234"/>
      <c r="X91" s="234"/>
      <c r="Y91" s="234"/>
      <c r="Z91" s="234"/>
      <c r="AA91" s="234"/>
      <c r="AB91" s="234"/>
      <c r="AC91" s="234"/>
      <c r="AD91" s="234"/>
      <c r="AE91" s="234"/>
      <c r="AF91" s="234"/>
      <c r="AG91" s="234"/>
      <c r="AH91" s="234"/>
      <c r="AI91" s="234"/>
      <c r="AJ91" s="234"/>
      <c r="AK91" s="234"/>
      <c r="AL91" s="234"/>
      <c r="AM91" s="234"/>
      <c r="AN91" s="234"/>
      <c r="AO91" s="234"/>
      <c r="AP91" s="234"/>
      <c r="AQ91" s="234"/>
      <c r="AR91" s="234"/>
      <c r="AS91" s="234"/>
    </row>
    <row r="92" spans="1:45" ht="14.45">
      <c r="A92" s="772"/>
      <c r="B92" s="234" t="s">
        <v>550</v>
      </c>
      <c r="C92" s="234"/>
      <c r="D92" s="234"/>
      <c r="E92" s="234"/>
      <c r="F92" s="234"/>
      <c r="G92" s="234"/>
      <c r="H92" s="234"/>
      <c r="I92" s="234"/>
      <c r="J92" s="234"/>
      <c r="K92" s="234"/>
      <c r="L92" s="234"/>
      <c r="M92" s="234"/>
      <c r="N92" s="234"/>
      <c r="O92" s="234"/>
      <c r="P92" s="234"/>
      <c r="Q92" s="234"/>
      <c r="R92" s="234"/>
      <c r="S92" s="234"/>
      <c r="T92" s="234"/>
      <c r="U92" s="234"/>
      <c r="V92" s="234"/>
      <c r="W92" s="234"/>
      <c r="X92" s="234"/>
      <c r="Y92" s="234"/>
      <c r="Z92" s="234"/>
      <c r="AA92" s="234"/>
      <c r="AB92" s="234"/>
      <c r="AC92" s="234"/>
      <c r="AD92" s="234"/>
      <c r="AE92" s="234"/>
      <c r="AF92" s="234"/>
      <c r="AG92" s="234"/>
      <c r="AH92" s="234"/>
      <c r="AI92" s="234"/>
      <c r="AJ92" s="234"/>
      <c r="AK92" s="234"/>
      <c r="AL92" s="234"/>
      <c r="AM92" s="234"/>
      <c r="AN92" s="234"/>
      <c r="AO92" s="234"/>
      <c r="AP92" s="234"/>
      <c r="AQ92" s="234"/>
      <c r="AR92" s="234"/>
      <c r="AS92" s="234"/>
    </row>
    <row r="93" spans="1:45" ht="14.45">
      <c r="A93" s="772"/>
      <c r="B93" s="234" t="s">
        <v>551</v>
      </c>
      <c r="C93" s="234"/>
      <c r="D93" s="234"/>
      <c r="E93" s="234"/>
      <c r="F93" s="234"/>
      <c r="G93" s="234"/>
      <c r="H93" s="234"/>
      <c r="I93" s="234"/>
      <c r="J93" s="234"/>
      <c r="K93" s="234"/>
      <c r="L93" s="234"/>
      <c r="M93" s="234"/>
      <c r="N93" s="234"/>
      <c r="O93" s="234"/>
      <c r="P93" s="234"/>
      <c r="Q93" s="234"/>
      <c r="R93" s="234"/>
      <c r="S93" s="234"/>
      <c r="T93" s="234"/>
      <c r="U93" s="234"/>
      <c r="V93" s="234"/>
      <c r="W93" s="234"/>
      <c r="X93" s="234"/>
      <c r="Y93" s="234"/>
      <c r="Z93" s="234"/>
      <c r="AA93" s="234"/>
      <c r="AB93" s="234"/>
      <c r="AC93" s="234"/>
      <c r="AD93" s="234"/>
      <c r="AE93" s="234"/>
      <c r="AF93" s="234"/>
      <c r="AG93" s="234"/>
      <c r="AH93" s="234"/>
      <c r="AI93" s="234"/>
      <c r="AJ93" s="234"/>
      <c r="AK93" s="234"/>
      <c r="AL93" s="234"/>
      <c r="AM93" s="234"/>
      <c r="AN93" s="234"/>
      <c r="AO93" s="234"/>
      <c r="AP93" s="234"/>
      <c r="AQ93" s="234"/>
      <c r="AR93" s="234"/>
      <c r="AS93" s="234"/>
    </row>
    <row r="94" spans="1:45" ht="14.45">
      <c r="A94" s="772"/>
      <c r="B94" s="234" t="s">
        <v>552</v>
      </c>
      <c r="C94" s="234"/>
      <c r="D94" s="234"/>
      <c r="E94" s="234"/>
      <c r="F94" s="234"/>
      <c r="G94" s="234"/>
      <c r="H94" s="234"/>
      <c r="I94" s="234"/>
      <c r="J94" s="234"/>
      <c r="K94" s="234"/>
      <c r="L94" s="234"/>
      <c r="M94" s="234"/>
      <c r="N94" s="234"/>
      <c r="O94" s="234"/>
      <c r="P94" s="234"/>
      <c r="Q94" s="234"/>
      <c r="R94" s="234"/>
      <c r="S94" s="234"/>
      <c r="T94" s="234"/>
      <c r="U94" s="234"/>
      <c r="V94" s="234"/>
      <c r="W94" s="234"/>
      <c r="X94" s="234"/>
      <c r="Y94" s="234"/>
      <c r="Z94" s="234"/>
      <c r="AA94" s="234"/>
      <c r="AB94" s="234"/>
      <c r="AC94" s="234"/>
      <c r="AD94" s="234"/>
      <c r="AE94" s="234"/>
      <c r="AF94" s="234"/>
      <c r="AG94" s="234"/>
      <c r="AH94" s="234"/>
      <c r="AI94" s="234"/>
      <c r="AJ94" s="234"/>
      <c r="AK94" s="234"/>
      <c r="AL94" s="234"/>
      <c r="AM94" s="234"/>
      <c r="AN94" s="234"/>
      <c r="AO94" s="234"/>
      <c r="AP94" s="234"/>
      <c r="AQ94" s="234"/>
      <c r="AR94" s="234"/>
      <c r="AS94" s="234"/>
    </row>
    <row r="95" spans="1:45" ht="14.45">
      <c r="A95" s="772"/>
      <c r="B95" s="234" t="s">
        <v>553</v>
      </c>
      <c r="C95" s="234"/>
      <c r="D95" s="234"/>
      <c r="E95" s="234"/>
      <c r="F95" s="234"/>
      <c r="G95" s="234"/>
      <c r="H95" s="234"/>
      <c r="I95" s="234"/>
      <c r="J95" s="234"/>
      <c r="K95" s="234"/>
      <c r="L95" s="234"/>
      <c r="M95" s="234"/>
      <c r="N95" s="234"/>
      <c r="O95" s="234"/>
      <c r="P95" s="234"/>
      <c r="Q95" s="234"/>
      <c r="R95" s="234"/>
      <c r="S95" s="234"/>
      <c r="T95" s="234"/>
      <c r="U95" s="234"/>
      <c r="V95" s="234"/>
      <c r="W95" s="234"/>
      <c r="X95" s="234"/>
      <c r="Y95" s="234"/>
      <c r="Z95" s="234"/>
      <c r="AA95" s="234"/>
      <c r="AB95" s="234"/>
      <c r="AC95" s="234"/>
      <c r="AD95" s="234"/>
      <c r="AE95" s="234"/>
      <c r="AF95" s="234"/>
      <c r="AG95" s="234"/>
      <c r="AH95" s="234"/>
      <c r="AI95" s="234"/>
      <c r="AJ95" s="234"/>
      <c r="AK95" s="234"/>
      <c r="AL95" s="234"/>
      <c r="AM95" s="234"/>
      <c r="AN95" s="234"/>
      <c r="AO95" s="234"/>
      <c r="AP95" s="234"/>
      <c r="AQ95" s="234"/>
      <c r="AR95" s="234"/>
      <c r="AS95" s="234"/>
    </row>
    <row r="96" spans="1:45" ht="14.45">
      <c r="A96" s="772"/>
      <c r="B96" s="234"/>
      <c r="C96" s="234"/>
      <c r="D96" s="234"/>
      <c r="E96" s="234"/>
      <c r="F96" s="234"/>
      <c r="G96" s="234"/>
      <c r="H96" s="234"/>
      <c r="I96" s="234"/>
      <c r="J96" s="234"/>
      <c r="K96" s="234"/>
      <c r="L96" s="234"/>
      <c r="M96" s="234"/>
      <c r="N96" s="234"/>
      <c r="O96" s="234"/>
      <c r="P96" s="234"/>
      <c r="Q96" s="234"/>
      <c r="R96" s="234"/>
      <c r="S96" s="234"/>
      <c r="T96" s="234"/>
      <c r="U96" s="234"/>
      <c r="V96" s="234"/>
      <c r="W96" s="234"/>
      <c r="X96" s="234"/>
      <c r="Y96" s="234"/>
      <c r="Z96" s="234"/>
      <c r="AA96" s="234"/>
      <c r="AB96" s="234"/>
      <c r="AC96" s="234"/>
      <c r="AD96" s="234"/>
      <c r="AE96" s="234"/>
      <c r="AF96" s="234"/>
      <c r="AG96" s="234"/>
      <c r="AH96" s="234"/>
      <c r="AI96" s="234"/>
      <c r="AJ96" s="234"/>
      <c r="AK96" s="234"/>
      <c r="AL96" s="234"/>
      <c r="AM96" s="234"/>
      <c r="AN96" s="234"/>
      <c r="AO96" s="234"/>
      <c r="AP96" s="234"/>
      <c r="AQ96" s="234"/>
      <c r="AR96" s="234"/>
      <c r="AS96" s="234"/>
    </row>
    <row r="97" spans="1:45" ht="14.45">
      <c r="A97" s="772"/>
      <c r="B97" s="235" t="s">
        <v>554</v>
      </c>
      <c r="C97" s="234"/>
      <c r="D97" s="234"/>
      <c r="E97" s="234"/>
      <c r="F97" s="234"/>
      <c r="G97" s="234"/>
      <c r="H97" s="234"/>
      <c r="I97" s="234"/>
      <c r="J97" s="234"/>
      <c r="K97" s="234"/>
      <c r="L97" s="234"/>
      <c r="M97" s="234"/>
      <c r="N97" s="234"/>
      <c r="O97" s="234"/>
      <c r="P97" s="234"/>
      <c r="Q97" s="234"/>
      <c r="R97" s="234"/>
      <c r="S97" s="234"/>
      <c r="T97" s="234"/>
      <c r="U97" s="234"/>
      <c r="V97" s="234"/>
      <c r="W97" s="234"/>
      <c r="X97" s="234"/>
      <c r="Y97" s="234"/>
      <c r="Z97" s="234"/>
      <c r="AA97" s="234"/>
      <c r="AB97" s="234"/>
      <c r="AC97" s="234"/>
      <c r="AD97" s="234"/>
      <c r="AE97" s="234"/>
      <c r="AF97" s="234"/>
      <c r="AG97" s="234"/>
      <c r="AH97" s="234"/>
      <c r="AI97" s="234"/>
      <c r="AJ97" s="234"/>
      <c r="AK97" s="234"/>
      <c r="AL97" s="234"/>
      <c r="AM97" s="234"/>
      <c r="AN97" s="234"/>
      <c r="AO97" s="234"/>
      <c r="AP97" s="234"/>
      <c r="AQ97" s="234"/>
      <c r="AR97" s="234"/>
      <c r="AS97" s="234"/>
    </row>
    <row r="98" spans="1:45" ht="14.45">
      <c r="A98" s="772"/>
      <c r="B98" s="235" t="s">
        <v>555</v>
      </c>
      <c r="C98" s="234"/>
      <c r="D98" s="234"/>
      <c r="E98" s="234"/>
      <c r="F98" s="234"/>
      <c r="G98" s="234"/>
      <c r="H98" s="234"/>
      <c r="I98" s="234"/>
      <c r="J98" s="234"/>
      <c r="K98" s="234"/>
      <c r="L98" s="234"/>
      <c r="M98" s="234"/>
      <c r="N98" s="234"/>
      <c r="O98" s="234"/>
      <c r="P98" s="234"/>
      <c r="Q98" s="234"/>
      <c r="R98" s="234"/>
      <c r="S98" s="234"/>
      <c r="T98" s="234"/>
      <c r="U98" s="234"/>
      <c r="V98" s="234"/>
      <c r="W98" s="234"/>
      <c r="X98" s="234"/>
      <c r="Y98" s="234"/>
      <c r="Z98" s="234"/>
      <c r="AA98" s="234"/>
      <c r="AB98" s="234"/>
      <c r="AC98" s="234"/>
      <c r="AD98" s="234"/>
      <c r="AE98" s="234"/>
      <c r="AF98" s="234"/>
      <c r="AG98" s="234"/>
      <c r="AH98" s="234"/>
      <c r="AI98" s="234"/>
      <c r="AJ98" s="234"/>
      <c r="AK98" s="234"/>
      <c r="AL98" s="234"/>
      <c r="AM98" s="234"/>
      <c r="AN98" s="234"/>
      <c r="AO98" s="234"/>
      <c r="AP98" s="234"/>
      <c r="AQ98" s="234"/>
      <c r="AR98" s="234"/>
      <c r="AS98" s="234"/>
    </row>
    <row r="99" spans="1:45" ht="14.45">
      <c r="A99" s="772"/>
      <c r="B99" s="234"/>
      <c r="C99" s="234"/>
      <c r="D99" s="234"/>
      <c r="E99" s="234"/>
      <c r="F99" s="234"/>
      <c r="G99" s="234"/>
      <c r="H99" s="234"/>
      <c r="I99" s="234"/>
      <c r="J99" s="234"/>
      <c r="K99" s="234"/>
      <c r="L99" s="234"/>
      <c r="M99" s="234"/>
      <c r="N99" s="234"/>
      <c r="O99" s="234"/>
      <c r="P99" s="234"/>
      <c r="Q99" s="234"/>
      <c r="R99" s="234"/>
      <c r="S99" s="234"/>
      <c r="T99" s="234"/>
      <c r="U99" s="234"/>
      <c r="V99" s="234"/>
      <c r="W99" s="234"/>
      <c r="X99" s="234"/>
      <c r="Y99" s="234"/>
      <c r="Z99" s="234"/>
      <c r="AA99" s="234"/>
      <c r="AB99" s="234"/>
      <c r="AC99" s="234"/>
      <c r="AD99" s="234"/>
      <c r="AE99" s="234"/>
      <c r="AF99" s="234"/>
      <c r="AG99" s="234"/>
      <c r="AH99" s="234"/>
      <c r="AI99" s="234"/>
      <c r="AJ99" s="234"/>
      <c r="AK99" s="234"/>
      <c r="AL99" s="234"/>
      <c r="AM99" s="234"/>
      <c r="AN99" s="234"/>
      <c r="AO99" s="234"/>
      <c r="AP99" s="234"/>
      <c r="AQ99" s="234"/>
      <c r="AR99" s="234"/>
      <c r="AS99" s="234"/>
    </row>
    <row r="100" spans="1:45" ht="14.45">
      <c r="A100" s="772"/>
      <c r="B100" s="234"/>
      <c r="C100" s="234"/>
      <c r="D100" s="234"/>
      <c r="E100" s="234"/>
      <c r="F100" s="234"/>
      <c r="G100" s="234"/>
      <c r="H100" s="234"/>
      <c r="I100" s="234"/>
      <c r="J100" s="234"/>
      <c r="K100" s="234"/>
      <c r="L100" s="234"/>
      <c r="M100" s="234"/>
      <c r="N100" s="234"/>
      <c r="O100" s="234"/>
      <c r="P100" s="234"/>
      <c r="Q100" s="234"/>
      <c r="R100" s="234"/>
      <c r="S100" s="234"/>
      <c r="T100" s="234"/>
      <c r="U100" s="234"/>
      <c r="V100" s="234"/>
      <c r="W100" s="234"/>
      <c r="X100" s="234"/>
      <c r="Y100" s="234"/>
      <c r="Z100" s="234"/>
      <c r="AA100" s="234"/>
      <c r="AB100" s="234"/>
      <c r="AC100" s="234"/>
      <c r="AD100" s="234"/>
      <c r="AE100" s="234"/>
      <c r="AF100" s="234"/>
      <c r="AG100" s="234"/>
      <c r="AH100" s="234"/>
      <c r="AI100" s="234"/>
      <c r="AJ100" s="234"/>
      <c r="AK100" s="234"/>
      <c r="AL100" s="234"/>
      <c r="AM100" s="234"/>
      <c r="AN100" s="234"/>
      <c r="AO100" s="234"/>
      <c r="AP100" s="234"/>
      <c r="AQ100" s="234"/>
      <c r="AR100" s="234"/>
      <c r="AS100" s="234"/>
    </row>
    <row r="101" spans="1:45" ht="14.45">
      <c r="A101" s="772"/>
      <c r="B101" s="806" t="s">
        <v>556</v>
      </c>
      <c r="C101" s="235" t="s">
        <v>557</v>
      </c>
      <c r="D101" s="234"/>
      <c r="E101" s="234"/>
      <c r="F101" s="234"/>
      <c r="G101" s="234"/>
      <c r="H101" s="234"/>
      <c r="I101" s="234"/>
      <c r="J101" s="234"/>
      <c r="K101" s="883" t="s">
        <v>505</v>
      </c>
      <c r="L101" s="884" t="s">
        <v>506</v>
      </c>
      <c r="M101" s="234"/>
      <c r="N101" s="234"/>
      <c r="O101" s="234"/>
      <c r="P101" s="234"/>
      <c r="Q101" s="234"/>
      <c r="R101" s="234"/>
      <c r="S101" s="234"/>
      <c r="T101" s="234"/>
      <c r="U101" s="234"/>
      <c r="V101" s="234"/>
      <c r="W101" s="234"/>
      <c r="X101" s="234"/>
      <c r="Y101" s="234"/>
      <c r="Z101" s="234"/>
      <c r="AA101" s="234"/>
      <c r="AB101" s="234"/>
      <c r="AC101" s="234"/>
      <c r="AD101" s="234"/>
      <c r="AE101" s="234"/>
      <c r="AF101" s="234"/>
      <c r="AG101" s="234"/>
      <c r="AH101" s="234"/>
      <c r="AI101" s="234"/>
      <c r="AJ101" s="234"/>
      <c r="AK101" s="234"/>
      <c r="AL101" s="234"/>
      <c r="AM101" s="234"/>
      <c r="AN101" s="234"/>
      <c r="AO101" s="234"/>
      <c r="AP101" s="234"/>
      <c r="AQ101" s="234"/>
      <c r="AR101" s="234"/>
      <c r="AS101" s="234"/>
    </row>
    <row r="102" spans="1:45" ht="14.45">
      <c r="A102" s="772"/>
      <c r="B102" s="234" t="s">
        <v>558</v>
      </c>
      <c r="C102" s="234"/>
      <c r="D102" s="234"/>
      <c r="E102" s="234"/>
      <c r="F102" s="234"/>
      <c r="G102" s="234"/>
      <c r="H102" s="234"/>
      <c r="I102" s="234"/>
      <c r="J102" s="234"/>
      <c r="K102" s="885">
        <v>0.08</v>
      </c>
      <c r="L102" s="886">
        <v>0.03</v>
      </c>
      <c r="M102" s="234"/>
      <c r="N102" s="234"/>
      <c r="O102" s="234"/>
      <c r="P102" s="234"/>
      <c r="Q102" s="234"/>
      <c r="R102" s="234"/>
      <c r="S102" s="234"/>
      <c r="T102" s="234"/>
      <c r="U102" s="234"/>
      <c r="V102" s="234"/>
      <c r="W102" s="234"/>
      <c r="X102" s="234"/>
      <c r="Y102" s="234"/>
      <c r="Z102" s="234"/>
      <c r="AA102" s="234"/>
      <c r="AB102" s="234"/>
      <c r="AC102" s="234"/>
      <c r="AD102" s="234"/>
      <c r="AE102" s="234"/>
      <c r="AF102" s="234"/>
      <c r="AG102" s="234"/>
      <c r="AH102" s="234"/>
      <c r="AI102" s="234"/>
      <c r="AJ102" s="234"/>
      <c r="AK102" s="234"/>
      <c r="AL102" s="234"/>
      <c r="AM102" s="234"/>
      <c r="AN102" s="234"/>
      <c r="AO102" s="234"/>
      <c r="AP102" s="234"/>
      <c r="AQ102" s="234"/>
      <c r="AR102" s="234"/>
      <c r="AS102" s="234"/>
    </row>
    <row r="103" spans="1:45" ht="14.45">
      <c r="A103" s="772"/>
      <c r="B103" s="881" t="s">
        <v>559</v>
      </c>
      <c r="C103" s="234"/>
      <c r="D103" s="234"/>
      <c r="E103" s="234"/>
      <c r="F103" s="234"/>
      <c r="G103" s="234"/>
      <c r="H103" s="234"/>
      <c r="I103" s="234"/>
      <c r="J103" s="234"/>
      <c r="K103" s="739"/>
      <c r="L103" s="739"/>
      <c r="M103" s="234"/>
      <c r="N103" s="234"/>
      <c r="O103" s="234"/>
      <c r="P103" s="234"/>
      <c r="Q103" s="234"/>
      <c r="R103" s="234"/>
      <c r="S103" s="234"/>
      <c r="T103" s="234"/>
      <c r="U103" s="234"/>
      <c r="V103" s="234"/>
      <c r="W103" s="234"/>
      <c r="X103" s="234"/>
      <c r="Y103" s="234"/>
      <c r="Z103" s="234"/>
      <c r="AA103" s="234"/>
      <c r="AB103" s="234"/>
      <c r="AC103" s="234"/>
      <c r="AD103" s="234"/>
      <c r="AE103" s="234"/>
      <c r="AF103" s="234"/>
      <c r="AG103" s="234"/>
      <c r="AH103" s="234"/>
      <c r="AI103" s="234"/>
      <c r="AJ103" s="234"/>
      <c r="AK103" s="234"/>
      <c r="AL103" s="234"/>
      <c r="AM103" s="234"/>
      <c r="AN103" s="234"/>
      <c r="AO103" s="234"/>
      <c r="AP103" s="234"/>
      <c r="AQ103" s="234"/>
      <c r="AR103" s="234"/>
      <c r="AS103" s="234"/>
    </row>
    <row r="104" spans="1:45" ht="14.45">
      <c r="A104" s="772"/>
      <c r="B104" s="882" t="s">
        <v>560</v>
      </c>
      <c r="C104" s="234"/>
      <c r="D104" s="234"/>
      <c r="E104" s="234"/>
      <c r="F104" s="234"/>
      <c r="G104" s="234"/>
      <c r="H104" s="234"/>
      <c r="I104" s="234"/>
      <c r="J104" s="234"/>
      <c r="K104" s="739"/>
      <c r="L104" s="739"/>
      <c r="M104" s="234"/>
      <c r="N104" s="234"/>
      <c r="O104" s="234"/>
      <c r="P104" s="956" t="s">
        <v>561</v>
      </c>
      <c r="Q104" s="234">
        <v>2024</v>
      </c>
      <c r="R104" s="234"/>
      <c r="S104" s="234"/>
      <c r="T104" s="234"/>
      <c r="U104" s="234"/>
      <c r="V104" s="234"/>
      <c r="W104" s="234"/>
      <c r="X104" s="234"/>
      <c r="Y104" s="234"/>
      <c r="Z104" s="234"/>
      <c r="AA104" s="234"/>
      <c r="AB104" s="234"/>
      <c r="AC104" s="234"/>
      <c r="AD104" s="234"/>
      <c r="AE104" s="234"/>
      <c r="AF104" s="234"/>
      <c r="AG104" s="234"/>
      <c r="AH104" s="234"/>
      <c r="AI104" s="234"/>
      <c r="AJ104" s="234"/>
      <c r="AK104" s="234"/>
      <c r="AL104" s="234"/>
      <c r="AM104" s="234"/>
      <c r="AN104" s="234"/>
      <c r="AO104" s="234"/>
      <c r="AP104" s="234"/>
      <c r="AQ104" s="234"/>
      <c r="AR104" s="234"/>
      <c r="AS104" s="234"/>
    </row>
    <row r="105" spans="1:45" ht="14.45">
      <c r="A105" s="772"/>
      <c r="B105" s="882" t="s">
        <v>562</v>
      </c>
      <c r="C105" s="234"/>
      <c r="D105" s="234"/>
      <c r="E105" s="234"/>
      <c r="F105" s="234"/>
      <c r="G105" s="234"/>
      <c r="H105" s="234"/>
      <c r="I105" s="234"/>
      <c r="J105" s="234"/>
      <c r="K105" s="739"/>
      <c r="L105" s="739"/>
      <c r="M105" s="234"/>
      <c r="P105" s="954">
        <f>(0.54*K55)*(1+0.1)</f>
        <v>2629.0440000000003</v>
      </c>
      <c r="Q105" s="955">
        <f>P105/K55</f>
        <v>0.59400000000000008</v>
      </c>
      <c r="R105" s="234"/>
      <c r="S105" s="234"/>
      <c r="T105" s="234"/>
      <c r="U105" s="234"/>
      <c r="V105" s="234"/>
      <c r="W105" s="234"/>
      <c r="X105" s="234"/>
      <c r="Y105" s="234"/>
      <c r="Z105" s="234"/>
      <c r="AA105" s="234"/>
      <c r="AB105" s="234"/>
      <c r="AC105" s="234"/>
      <c r="AD105" s="234"/>
      <c r="AE105" s="234"/>
      <c r="AF105" s="234"/>
      <c r="AG105" s="234"/>
      <c r="AH105" s="234"/>
      <c r="AI105" s="234"/>
      <c r="AJ105" s="234"/>
      <c r="AK105" s="234"/>
      <c r="AL105" s="234"/>
      <c r="AM105" s="234"/>
      <c r="AN105" s="234"/>
      <c r="AO105" s="234"/>
      <c r="AP105" s="234"/>
      <c r="AQ105" s="234"/>
      <c r="AR105" s="234"/>
      <c r="AS105" s="234"/>
    </row>
    <row r="106" spans="1:45" ht="14.45">
      <c r="A106" s="772"/>
      <c r="B106" s="882" t="s">
        <v>563</v>
      </c>
      <c r="C106" s="234"/>
      <c r="D106" s="234"/>
      <c r="E106" s="234"/>
      <c r="F106" s="234"/>
      <c r="G106" s="234"/>
      <c r="H106" s="234"/>
      <c r="I106" s="234"/>
      <c r="J106" s="234"/>
      <c r="K106" s="739"/>
      <c r="L106" s="739"/>
      <c r="M106" s="234"/>
      <c r="N106" s="234"/>
      <c r="O106" s="234"/>
      <c r="P106" s="234"/>
      <c r="Q106" s="234"/>
      <c r="R106" s="234"/>
      <c r="S106" s="234"/>
      <c r="T106" s="234"/>
      <c r="U106" s="234"/>
      <c r="V106" s="234"/>
      <c r="W106" s="234"/>
      <c r="X106" s="234"/>
      <c r="Y106" s="234"/>
      <c r="Z106" s="234"/>
      <c r="AA106" s="234"/>
      <c r="AB106" s="234"/>
      <c r="AC106" s="234"/>
      <c r="AD106" s="234"/>
      <c r="AE106" s="234"/>
      <c r="AF106" s="234"/>
      <c r="AG106" s="234"/>
      <c r="AH106" s="234"/>
      <c r="AI106" s="234"/>
      <c r="AJ106" s="234"/>
      <c r="AK106" s="234"/>
      <c r="AL106" s="234"/>
      <c r="AM106" s="234"/>
      <c r="AN106" s="234"/>
      <c r="AO106" s="234"/>
      <c r="AP106" s="234"/>
      <c r="AQ106" s="234"/>
      <c r="AR106" s="234"/>
      <c r="AS106" s="234"/>
    </row>
    <row r="107" spans="1:45" ht="14.45">
      <c r="A107" s="772"/>
      <c r="B107" s="760" t="s">
        <v>564</v>
      </c>
      <c r="C107" s="234"/>
      <c r="D107" s="234"/>
      <c r="E107" s="234"/>
      <c r="F107" s="234"/>
      <c r="G107" s="234"/>
      <c r="H107" s="234"/>
      <c r="I107" s="234"/>
      <c r="J107" s="234"/>
      <c r="K107" s="234"/>
      <c r="L107" s="234"/>
      <c r="M107" s="234"/>
      <c r="N107" s="234"/>
      <c r="O107" s="234"/>
      <c r="P107" s="234"/>
      <c r="Q107" s="234"/>
      <c r="R107" s="234"/>
      <c r="S107" s="234"/>
      <c r="T107" s="234"/>
      <c r="U107" s="234"/>
      <c r="V107" s="234"/>
      <c r="W107" s="234"/>
      <c r="X107" s="234"/>
      <c r="Y107" s="234"/>
      <c r="Z107" s="234"/>
      <c r="AA107" s="234"/>
      <c r="AB107" s="234"/>
      <c r="AC107" s="234"/>
      <c r="AD107" s="234"/>
      <c r="AE107" s="234"/>
      <c r="AF107" s="234"/>
      <c r="AG107" s="234"/>
      <c r="AH107" s="234"/>
      <c r="AI107" s="234"/>
      <c r="AJ107" s="234"/>
      <c r="AK107" s="234"/>
      <c r="AL107" s="234"/>
      <c r="AM107" s="234"/>
      <c r="AN107" s="234"/>
      <c r="AO107" s="234"/>
      <c r="AP107" s="234"/>
      <c r="AQ107" s="234"/>
      <c r="AR107" s="234"/>
      <c r="AS107" s="234"/>
    </row>
    <row r="108" spans="1:45" ht="14.45">
      <c r="A108" s="772"/>
      <c r="B108" s="760" t="s">
        <v>565</v>
      </c>
      <c r="C108" s="234"/>
      <c r="D108" s="234"/>
      <c r="E108" s="234"/>
      <c r="F108" s="234"/>
      <c r="G108" s="234"/>
      <c r="H108" s="234"/>
      <c r="I108" s="234"/>
      <c r="J108" s="234"/>
      <c r="K108" s="234"/>
      <c r="L108" s="234"/>
      <c r="M108" s="234"/>
      <c r="N108" s="234"/>
      <c r="O108" s="234"/>
      <c r="P108" s="234"/>
      <c r="Q108" s="234"/>
      <c r="R108" s="234"/>
      <c r="S108" s="234"/>
      <c r="T108" s="234"/>
      <c r="U108" s="234"/>
      <c r="V108" s="234"/>
      <c r="W108" s="234"/>
      <c r="X108" s="234"/>
      <c r="Y108" s="234"/>
      <c r="Z108" s="234"/>
      <c r="AA108" s="234"/>
      <c r="AB108" s="234"/>
      <c r="AC108" s="234"/>
      <c r="AD108" s="234"/>
      <c r="AE108" s="234"/>
      <c r="AF108" s="234"/>
      <c r="AG108" s="234"/>
      <c r="AH108" s="234"/>
      <c r="AI108" s="234"/>
      <c r="AJ108" s="234"/>
      <c r="AK108" s="234"/>
      <c r="AL108" s="234"/>
      <c r="AM108" s="234"/>
      <c r="AN108" s="234"/>
      <c r="AO108" s="234"/>
      <c r="AP108" s="234"/>
      <c r="AQ108" s="234"/>
      <c r="AR108" s="234"/>
      <c r="AS108" s="234"/>
    </row>
    <row r="109" spans="1:45" ht="14.45">
      <c r="A109" s="772"/>
      <c r="B109" s="760" t="s">
        <v>566</v>
      </c>
      <c r="C109" s="234"/>
      <c r="D109" s="234"/>
      <c r="E109" s="234"/>
      <c r="F109" s="234"/>
      <c r="G109" s="234"/>
      <c r="H109" s="234"/>
      <c r="I109" s="234"/>
      <c r="J109" s="234"/>
      <c r="L109" s="234"/>
      <c r="M109" s="234"/>
      <c r="N109" s="234"/>
      <c r="O109" s="234"/>
      <c r="P109" s="234"/>
      <c r="Q109" s="234"/>
      <c r="R109" s="234"/>
      <c r="S109" s="234"/>
      <c r="T109" s="234"/>
      <c r="U109" s="234"/>
      <c r="V109" s="234"/>
      <c r="W109" s="234"/>
      <c r="X109" s="234"/>
      <c r="Y109" s="234"/>
      <c r="Z109" s="234"/>
      <c r="AA109" s="234"/>
      <c r="AB109" s="234"/>
      <c r="AC109" s="234"/>
      <c r="AD109" s="234"/>
      <c r="AE109" s="234"/>
      <c r="AF109" s="234"/>
      <c r="AG109" s="234"/>
      <c r="AH109" s="234"/>
      <c r="AI109" s="234"/>
      <c r="AJ109" s="234"/>
      <c r="AK109" s="234"/>
      <c r="AL109" s="234"/>
      <c r="AM109" s="234"/>
      <c r="AN109" s="234"/>
      <c r="AO109" s="234"/>
      <c r="AP109" s="234"/>
      <c r="AQ109" s="234"/>
      <c r="AR109" s="234"/>
      <c r="AS109" s="234"/>
    </row>
    <row r="110" spans="1:45" ht="14.45">
      <c r="A110" s="772"/>
      <c r="B110" s="234" t="s">
        <v>567</v>
      </c>
      <c r="C110" s="234"/>
      <c r="D110" s="234"/>
      <c r="E110" s="234"/>
      <c r="F110" s="234"/>
      <c r="G110" s="234"/>
      <c r="H110" s="234"/>
      <c r="I110" s="234"/>
      <c r="J110" s="234"/>
      <c r="K110" s="234"/>
      <c r="L110" s="234"/>
      <c r="M110" s="234"/>
      <c r="N110" s="234"/>
      <c r="O110" s="234"/>
      <c r="P110" s="234"/>
      <c r="Q110" s="234"/>
      <c r="R110" s="234"/>
      <c r="S110" s="234"/>
      <c r="T110" s="234"/>
      <c r="U110" s="234"/>
      <c r="V110" s="234"/>
      <c r="W110" s="234"/>
      <c r="X110" s="234"/>
      <c r="Y110" s="234"/>
      <c r="Z110" s="234"/>
      <c r="AA110" s="234"/>
      <c r="AB110" s="234"/>
      <c r="AC110" s="234"/>
      <c r="AD110" s="234"/>
      <c r="AE110" s="234"/>
      <c r="AF110" s="234"/>
      <c r="AG110" s="234"/>
      <c r="AH110" s="234"/>
      <c r="AI110" s="234"/>
      <c r="AJ110" s="234"/>
      <c r="AK110" s="234"/>
      <c r="AL110" s="234"/>
      <c r="AM110" s="234"/>
      <c r="AN110" s="234"/>
      <c r="AO110" s="234"/>
      <c r="AP110" s="234"/>
      <c r="AQ110" s="234"/>
      <c r="AR110" s="234"/>
      <c r="AS110" s="234"/>
    </row>
    <row r="111" spans="1:45" ht="14.45">
      <c r="A111" s="772"/>
      <c r="B111" s="234" t="s">
        <v>568</v>
      </c>
      <c r="C111" s="234"/>
      <c r="D111" s="234"/>
      <c r="E111" s="234"/>
      <c r="F111" s="234"/>
      <c r="G111" s="234"/>
      <c r="H111" s="234"/>
      <c r="I111" s="234"/>
      <c r="J111" s="234"/>
      <c r="K111" s="234" t="s">
        <v>569</v>
      </c>
      <c r="L111" s="234"/>
      <c r="M111" s="234"/>
      <c r="N111" s="234"/>
      <c r="O111" s="234"/>
      <c r="P111" s="234"/>
      <c r="Q111" s="234"/>
      <c r="R111" s="234"/>
      <c r="S111" s="234"/>
      <c r="T111" s="234"/>
      <c r="U111" s="234"/>
      <c r="V111" s="234"/>
      <c r="W111" s="234"/>
      <c r="X111" s="234"/>
      <c r="Y111" s="234"/>
      <c r="Z111" s="234"/>
      <c r="AA111" s="234"/>
      <c r="AB111" s="234"/>
      <c r="AC111" s="234"/>
      <c r="AD111" s="234"/>
      <c r="AE111" s="234"/>
      <c r="AF111" s="234"/>
      <c r="AG111" s="234"/>
      <c r="AH111" s="234"/>
      <c r="AI111" s="234"/>
      <c r="AJ111" s="234"/>
      <c r="AK111" s="234"/>
      <c r="AL111" s="234"/>
      <c r="AM111" s="234"/>
      <c r="AN111" s="234"/>
      <c r="AO111" s="234"/>
      <c r="AP111" s="234"/>
      <c r="AQ111" s="234"/>
      <c r="AR111" s="234"/>
      <c r="AS111" s="234"/>
    </row>
    <row r="112" spans="1:45" ht="14.45">
      <c r="A112" s="772"/>
      <c r="B112" s="234"/>
      <c r="C112" s="234"/>
      <c r="D112" s="234"/>
      <c r="E112" s="234">
        <v>2023</v>
      </c>
      <c r="F112" s="234">
        <v>2022</v>
      </c>
      <c r="G112" s="234">
        <v>2021</v>
      </c>
      <c r="H112" s="234">
        <v>2020</v>
      </c>
      <c r="I112" s="234">
        <v>2019</v>
      </c>
      <c r="J112" s="234">
        <v>2018</v>
      </c>
      <c r="K112" s="234">
        <f>J112-1</f>
        <v>2017</v>
      </c>
      <c r="L112" s="234">
        <f>K112-1</f>
        <v>2016</v>
      </c>
      <c r="M112" s="234">
        <f>L112-1</f>
        <v>2015</v>
      </c>
      <c r="N112" s="234">
        <f>M112-1</f>
        <v>2014</v>
      </c>
      <c r="O112" s="234">
        <f>N112-1</f>
        <v>2013</v>
      </c>
      <c r="P112" s="234"/>
      <c r="Q112" s="234"/>
      <c r="R112" s="234"/>
      <c r="S112" s="234"/>
      <c r="T112" s="234"/>
      <c r="U112" s="234"/>
      <c r="V112" s="234"/>
      <c r="W112" s="234"/>
      <c r="X112" s="234"/>
      <c r="Y112" s="234"/>
      <c r="Z112" s="234"/>
      <c r="AA112" s="234"/>
      <c r="AB112" s="234"/>
      <c r="AC112" s="234"/>
      <c r="AD112" s="234"/>
      <c r="AE112" s="234"/>
      <c r="AF112" s="234"/>
      <c r="AG112" s="234"/>
      <c r="AH112" s="234"/>
      <c r="AI112" s="234"/>
      <c r="AJ112" s="234"/>
      <c r="AK112" s="234"/>
      <c r="AL112" s="234"/>
      <c r="AM112" s="234"/>
      <c r="AN112" s="234"/>
      <c r="AO112" s="234"/>
      <c r="AP112" s="234"/>
      <c r="AQ112" s="234"/>
      <c r="AR112" s="234"/>
      <c r="AS112" s="234"/>
    </row>
    <row r="113" spans="1:45" ht="14.45">
      <c r="A113" s="772"/>
      <c r="B113" s="234" t="s">
        <v>570</v>
      </c>
      <c r="C113" s="234"/>
      <c r="D113" s="234"/>
      <c r="E113" s="234">
        <v>2402</v>
      </c>
      <c r="F113" s="234">
        <v>1620</v>
      </c>
      <c r="G113" s="234">
        <v>1383</v>
      </c>
      <c r="H113" s="234">
        <v>1170</v>
      </c>
      <c r="I113" s="234">
        <v>1684</v>
      </c>
      <c r="J113" s="234">
        <v>1744</v>
      </c>
      <c r="K113" s="234">
        <f>919*2</f>
        <v>1838</v>
      </c>
      <c r="L113" s="234">
        <f>938+953</f>
        <v>1891</v>
      </c>
      <c r="M113" s="234">
        <f>1091+1003</f>
        <v>2094</v>
      </c>
      <c r="N113" s="234"/>
      <c r="O113" s="234"/>
      <c r="P113" s="234"/>
      <c r="Q113" s="234"/>
      <c r="R113" s="234"/>
      <c r="S113" s="234"/>
      <c r="T113" s="234"/>
      <c r="U113" s="234"/>
      <c r="V113" s="234"/>
      <c r="W113" s="234"/>
      <c r="X113" s="234"/>
      <c r="Y113" s="234"/>
      <c r="Z113" s="234"/>
      <c r="AA113" s="234"/>
      <c r="AB113" s="234"/>
      <c r="AC113" s="234"/>
      <c r="AD113" s="234"/>
      <c r="AE113" s="234"/>
      <c r="AF113" s="234"/>
      <c r="AG113" s="234"/>
      <c r="AH113" s="234"/>
      <c r="AI113" s="234"/>
      <c r="AJ113" s="234"/>
      <c r="AK113" s="234"/>
      <c r="AL113" s="234"/>
      <c r="AM113" s="234"/>
      <c r="AN113" s="234"/>
      <c r="AO113" s="234"/>
      <c r="AP113" s="234"/>
      <c r="AQ113" s="234"/>
      <c r="AR113" s="234"/>
      <c r="AS113" s="234"/>
    </row>
    <row r="114" spans="1:45" ht="14.45">
      <c r="A114" s="772"/>
      <c r="B114" s="234"/>
      <c r="C114" s="234"/>
      <c r="D114" s="234" t="s">
        <v>571</v>
      </c>
      <c r="E114" s="952">
        <v>0.48</v>
      </c>
      <c r="F114" s="739">
        <v>0.17</v>
      </c>
      <c r="G114" s="739">
        <v>0.18</v>
      </c>
      <c r="H114" s="739">
        <v>-0.31</v>
      </c>
      <c r="I114" s="739">
        <v>-0.03</v>
      </c>
      <c r="J114" s="778">
        <f>(J113-K113)/K113</f>
        <v>-5.1142546245919476E-2</v>
      </c>
      <c r="K114" s="778">
        <f>(K113-L113)/L113</f>
        <v>-2.8027498677948175E-2</v>
      </c>
      <c r="L114" s="778">
        <f>(L113-M113)/M113</f>
        <v>-9.6943648519579748E-2</v>
      </c>
      <c r="M114" s="234"/>
      <c r="N114" s="234"/>
      <c r="O114" s="234"/>
      <c r="P114" s="234"/>
      <c r="Q114" s="234"/>
      <c r="R114" s="234"/>
      <c r="S114" s="234"/>
      <c r="T114" s="234"/>
      <c r="U114" s="234"/>
      <c r="V114" s="234"/>
      <c r="W114" s="234"/>
      <c r="X114" s="234"/>
      <c r="Y114" s="234"/>
      <c r="Z114" s="234"/>
      <c r="AA114" s="234"/>
      <c r="AB114" s="234"/>
      <c r="AC114" s="234"/>
      <c r="AD114" s="234"/>
      <c r="AE114" s="234"/>
      <c r="AF114" s="234"/>
      <c r="AG114" s="234"/>
      <c r="AH114" s="234"/>
      <c r="AI114" s="234"/>
      <c r="AJ114" s="234"/>
      <c r="AK114" s="234"/>
      <c r="AL114" s="234"/>
      <c r="AM114" s="234"/>
      <c r="AN114" s="234"/>
      <c r="AO114" s="234"/>
      <c r="AP114" s="234"/>
      <c r="AQ114" s="234"/>
      <c r="AR114" s="234"/>
      <c r="AS114" s="234"/>
    </row>
    <row r="115" spans="1:45" ht="14.45">
      <c r="A115" s="772"/>
      <c r="B115" s="234"/>
      <c r="C115" s="234"/>
      <c r="D115" s="234" t="s">
        <v>479</v>
      </c>
      <c r="E115" s="836">
        <v>0.1</v>
      </c>
      <c r="F115" s="836">
        <f>AVERAGE(E114:L114)</f>
        <v>3.9235788319569073E-2</v>
      </c>
      <c r="G115" s="234"/>
      <c r="H115" s="234"/>
      <c r="I115" s="234"/>
      <c r="J115" s="234"/>
      <c r="K115" s="234"/>
      <c r="L115" s="234"/>
      <c r="M115" s="234"/>
      <c r="N115" s="234"/>
      <c r="O115" s="234"/>
      <c r="P115" s="234"/>
      <c r="Q115" s="234"/>
      <c r="R115" s="234"/>
      <c r="S115" s="234"/>
      <c r="T115" s="234"/>
      <c r="U115" s="234"/>
      <c r="V115" s="234"/>
      <c r="W115" s="234"/>
      <c r="X115" s="234"/>
      <c r="Y115" s="234"/>
      <c r="Z115" s="234"/>
      <c r="AA115" s="234"/>
      <c r="AB115" s="234"/>
      <c r="AC115" s="234"/>
      <c r="AD115" s="234"/>
      <c r="AE115" s="234"/>
      <c r="AF115" s="234"/>
      <c r="AG115" s="234"/>
      <c r="AH115" s="234"/>
      <c r="AI115" s="234"/>
      <c r="AJ115" s="234"/>
      <c r="AK115" s="234"/>
      <c r="AL115" s="234"/>
      <c r="AM115" s="234"/>
      <c r="AN115" s="234"/>
      <c r="AO115" s="234"/>
      <c r="AP115" s="234"/>
      <c r="AQ115" s="234"/>
      <c r="AR115" s="234"/>
      <c r="AS115" s="234"/>
    </row>
    <row r="116" spans="1:45" ht="14.45">
      <c r="A116" s="772"/>
      <c r="B116" s="234"/>
      <c r="C116" s="234"/>
      <c r="D116" s="234"/>
      <c r="E116" s="877" t="s">
        <v>572</v>
      </c>
      <c r="F116" s="877"/>
      <c r="G116" s="877"/>
      <c r="H116" s="877"/>
      <c r="I116" s="877"/>
      <c r="J116" s="877"/>
      <c r="K116" s="234"/>
      <c r="L116" s="234"/>
      <c r="M116" s="234"/>
      <c r="N116" s="234"/>
      <c r="O116" s="234"/>
      <c r="P116" s="234"/>
      <c r="Q116" s="234"/>
      <c r="R116" s="234"/>
      <c r="S116" s="234"/>
      <c r="T116" s="234"/>
      <c r="U116" s="234"/>
      <c r="V116" s="234"/>
      <c r="W116" s="234"/>
      <c r="X116" s="234"/>
      <c r="Y116" s="234"/>
      <c r="Z116" s="234"/>
      <c r="AA116" s="234"/>
      <c r="AB116" s="234"/>
      <c r="AC116" s="234"/>
      <c r="AD116" s="234"/>
      <c r="AE116" s="234"/>
      <c r="AF116" s="234"/>
      <c r="AG116" s="234"/>
      <c r="AH116" s="234"/>
      <c r="AI116" s="234"/>
      <c r="AJ116" s="234"/>
      <c r="AK116" s="234"/>
      <c r="AL116" s="234"/>
      <c r="AM116" s="234"/>
      <c r="AN116" s="234"/>
      <c r="AO116" s="234"/>
      <c r="AP116" s="234"/>
      <c r="AQ116" s="234"/>
      <c r="AR116" s="234"/>
      <c r="AS116" s="234"/>
    </row>
    <row r="117" spans="1:45" ht="14.45">
      <c r="A117" s="772"/>
      <c r="B117" s="234"/>
      <c r="C117" s="234"/>
      <c r="D117" s="234"/>
      <c r="E117" s="234"/>
      <c r="F117" s="234"/>
      <c r="G117" s="234"/>
      <c r="H117" s="234"/>
      <c r="I117" s="234"/>
      <c r="J117" s="234"/>
      <c r="K117" s="234"/>
      <c r="L117" s="234"/>
      <c r="M117" s="234"/>
      <c r="N117" s="234"/>
      <c r="O117" s="234"/>
      <c r="P117" s="234"/>
      <c r="Q117" s="234"/>
      <c r="R117" s="234"/>
      <c r="S117" s="234"/>
      <c r="T117" s="234"/>
      <c r="U117" s="234"/>
      <c r="V117" s="234"/>
      <c r="W117" s="234"/>
      <c r="X117" s="234"/>
      <c r="Y117" s="234"/>
      <c r="Z117" s="234"/>
      <c r="AA117" s="234"/>
      <c r="AB117" s="234"/>
      <c r="AC117" s="234"/>
      <c r="AD117" s="234"/>
      <c r="AE117" s="234"/>
      <c r="AF117" s="234"/>
      <c r="AG117" s="234"/>
      <c r="AH117" s="234"/>
      <c r="AI117" s="234"/>
      <c r="AJ117" s="234"/>
      <c r="AK117" s="234"/>
      <c r="AL117" s="234"/>
      <c r="AM117" s="234"/>
      <c r="AN117" s="234"/>
      <c r="AO117" s="234"/>
      <c r="AP117" s="234"/>
      <c r="AQ117" s="234"/>
      <c r="AR117" s="234"/>
      <c r="AS117" s="234"/>
    </row>
    <row r="118" spans="1:45" ht="14.45">
      <c r="A118" s="772"/>
      <c r="B118" s="234"/>
      <c r="C118" s="234"/>
      <c r="D118" s="234"/>
      <c r="E118" s="953">
        <f>E113/K55</f>
        <v>0.54270221418888387</v>
      </c>
      <c r="F118" s="234" t="s">
        <v>573</v>
      </c>
      <c r="G118" s="739">
        <v>0.46</v>
      </c>
      <c r="H118" s="234"/>
      <c r="I118" s="234"/>
      <c r="J118" s="234"/>
      <c r="K118" s="234"/>
      <c r="L118" s="234"/>
      <c r="M118" s="234"/>
      <c r="N118" s="234"/>
      <c r="O118" s="234"/>
      <c r="P118" s="234"/>
      <c r="Q118" s="234"/>
      <c r="R118" s="234"/>
      <c r="S118" s="234"/>
      <c r="T118" s="234"/>
      <c r="U118" s="234"/>
      <c r="V118" s="234"/>
      <c r="W118" s="234"/>
      <c r="X118" s="234"/>
      <c r="Y118" s="234"/>
      <c r="Z118" s="234"/>
      <c r="AA118" s="234"/>
      <c r="AB118" s="234"/>
      <c r="AC118" s="234"/>
      <c r="AD118" s="234"/>
      <c r="AE118" s="234"/>
      <c r="AF118" s="234"/>
      <c r="AG118" s="234"/>
      <c r="AH118" s="234"/>
      <c r="AI118" s="234"/>
      <c r="AJ118" s="234"/>
      <c r="AK118" s="234"/>
      <c r="AL118" s="234"/>
      <c r="AM118" s="234"/>
      <c r="AN118" s="234"/>
      <c r="AO118" s="234"/>
      <c r="AP118" s="234"/>
      <c r="AQ118" s="234"/>
      <c r="AR118" s="234"/>
      <c r="AS118" s="234"/>
    </row>
    <row r="119" spans="1:45" ht="14.45">
      <c r="A119" s="772"/>
      <c r="B119" s="806" t="s">
        <v>574</v>
      </c>
      <c r="C119" s="234"/>
      <c r="D119" s="234"/>
      <c r="E119" s="234"/>
      <c r="F119" s="234"/>
      <c r="G119" s="234"/>
      <c r="H119" s="234"/>
      <c r="I119" s="234"/>
      <c r="J119" s="234"/>
      <c r="K119" s="883" t="s">
        <v>505</v>
      </c>
      <c r="L119" s="884" t="s">
        <v>506</v>
      </c>
      <c r="M119" s="234"/>
      <c r="N119" s="234"/>
      <c r="O119" s="234"/>
      <c r="P119" s="234"/>
      <c r="Q119" s="234"/>
      <c r="R119" s="234"/>
      <c r="S119" s="234"/>
      <c r="T119" s="234"/>
      <c r="U119" s="234"/>
      <c r="V119" s="234"/>
      <c r="W119" s="234"/>
      <c r="X119" s="234"/>
      <c r="Y119" s="234"/>
      <c r="Z119" s="234"/>
      <c r="AA119" s="234"/>
      <c r="AB119" s="234"/>
      <c r="AC119" s="234"/>
      <c r="AD119" s="234"/>
      <c r="AE119" s="234"/>
      <c r="AF119" s="234"/>
      <c r="AG119" s="234"/>
      <c r="AH119" s="234"/>
      <c r="AI119" s="234"/>
      <c r="AJ119" s="234"/>
      <c r="AK119" s="234"/>
      <c r="AL119" s="234"/>
      <c r="AM119" s="234"/>
      <c r="AN119" s="234"/>
      <c r="AO119" s="234"/>
      <c r="AP119" s="234"/>
      <c r="AQ119" s="234"/>
      <c r="AR119" s="234"/>
      <c r="AS119" s="234"/>
    </row>
    <row r="120" spans="1:45" ht="14.45">
      <c r="A120" s="772"/>
      <c r="B120" s="235" t="s">
        <v>575</v>
      </c>
      <c r="C120" s="234"/>
      <c r="D120" s="234"/>
      <c r="E120" s="234"/>
      <c r="F120" s="234"/>
      <c r="G120" s="234"/>
      <c r="H120" s="234"/>
      <c r="I120" s="739"/>
      <c r="J120" s="234"/>
      <c r="K120" s="885">
        <f>AVERAGE(S58:V58)</f>
        <v>0.03</v>
      </c>
      <c r="L120" s="886">
        <f>AVERAGE(W58:AR58)</f>
        <v>2.0000000000000004E-2</v>
      </c>
      <c r="M120" s="234"/>
      <c r="N120" s="234"/>
      <c r="O120" s="234"/>
      <c r="P120" s="234"/>
      <c r="Q120" s="234"/>
      <c r="R120" s="234"/>
      <c r="S120" s="234"/>
      <c r="T120" s="234"/>
      <c r="U120" s="234"/>
      <c r="V120" s="234"/>
      <c r="W120" s="234"/>
      <c r="X120" s="234"/>
      <c r="Y120" s="234"/>
      <c r="Z120" s="234"/>
      <c r="AA120" s="234"/>
      <c r="AB120" s="234"/>
      <c r="AC120" s="234"/>
      <c r="AD120" s="234"/>
      <c r="AE120" s="234"/>
      <c r="AF120" s="234"/>
      <c r="AG120" s="234"/>
      <c r="AH120" s="234"/>
      <c r="AI120" s="234"/>
      <c r="AJ120" s="234"/>
      <c r="AK120" s="234"/>
      <c r="AL120" s="234"/>
      <c r="AM120" s="234"/>
      <c r="AN120" s="234"/>
      <c r="AO120" s="234"/>
      <c r="AP120" s="234"/>
      <c r="AQ120" s="234"/>
      <c r="AR120" s="234"/>
      <c r="AS120" s="234"/>
    </row>
    <row r="121" spans="1:45" ht="14.45">
      <c r="A121" s="772"/>
      <c r="B121" s="234"/>
      <c r="C121" s="234"/>
      <c r="D121" s="234"/>
      <c r="E121" s="234"/>
      <c r="F121" s="234"/>
      <c r="G121" s="234"/>
      <c r="H121" s="234"/>
      <c r="I121" s="739"/>
      <c r="J121" s="234"/>
      <c r="K121" s="739"/>
      <c r="L121" s="739"/>
      <c r="M121" s="234"/>
      <c r="N121" s="234"/>
      <c r="O121" s="234"/>
      <c r="P121" s="234"/>
      <c r="Q121" s="234"/>
      <c r="R121" s="234"/>
      <c r="S121" s="234"/>
      <c r="T121" s="234"/>
      <c r="U121" s="234"/>
      <c r="V121" s="234"/>
      <c r="W121" s="234"/>
      <c r="X121" s="234"/>
      <c r="Y121" s="234"/>
      <c r="Z121" s="234"/>
      <c r="AA121" s="234"/>
      <c r="AB121" s="234"/>
      <c r="AC121" s="234"/>
      <c r="AD121" s="234"/>
      <c r="AE121" s="234"/>
      <c r="AF121" s="234"/>
      <c r="AG121" s="234"/>
      <c r="AH121" s="234"/>
      <c r="AI121" s="234"/>
      <c r="AJ121" s="234"/>
      <c r="AK121" s="234"/>
      <c r="AL121" s="234"/>
      <c r="AM121" s="234"/>
      <c r="AN121" s="234"/>
      <c r="AO121" s="234"/>
      <c r="AP121" s="234"/>
      <c r="AQ121" s="234"/>
      <c r="AR121" s="234"/>
      <c r="AS121" s="234"/>
    </row>
    <row r="122" spans="1:45" ht="14.45">
      <c r="A122" s="772"/>
      <c r="B122" s="234"/>
      <c r="C122" s="234"/>
      <c r="D122" s="234"/>
      <c r="E122" s="234"/>
      <c r="F122" s="234"/>
      <c r="G122" s="234"/>
      <c r="H122" s="234"/>
      <c r="I122" s="234"/>
      <c r="J122" s="234"/>
      <c r="K122" s="234"/>
      <c r="L122" s="234"/>
      <c r="M122" s="234"/>
      <c r="N122" s="234"/>
      <c r="O122" s="234"/>
      <c r="P122" s="234"/>
      <c r="Q122" s="234"/>
      <c r="R122" s="234"/>
      <c r="S122" s="234"/>
      <c r="T122" s="234"/>
      <c r="U122" s="234"/>
      <c r="V122" s="234"/>
      <c r="W122" s="234"/>
      <c r="X122" s="234"/>
      <c r="Y122" s="234"/>
      <c r="Z122" s="234"/>
      <c r="AA122" s="234"/>
      <c r="AB122" s="234"/>
      <c r="AC122" s="234"/>
      <c r="AD122" s="234"/>
      <c r="AE122" s="234"/>
      <c r="AF122" s="234"/>
      <c r="AG122" s="234"/>
      <c r="AH122" s="234"/>
      <c r="AI122" s="234"/>
      <c r="AJ122" s="234"/>
      <c r="AK122" s="234"/>
      <c r="AL122" s="234"/>
      <c r="AM122" s="234"/>
      <c r="AN122" s="234"/>
      <c r="AO122" s="234"/>
      <c r="AP122" s="234"/>
      <c r="AQ122" s="234"/>
      <c r="AR122" s="234"/>
      <c r="AS122" s="234"/>
    </row>
    <row r="123" spans="1:45" ht="14.45">
      <c r="A123" s="772"/>
      <c r="B123" s="806" t="s">
        <v>576</v>
      </c>
      <c r="C123" s="234"/>
      <c r="D123" s="234"/>
      <c r="E123" s="234"/>
      <c r="F123" s="234"/>
      <c r="G123" s="234"/>
      <c r="J123" s="234"/>
      <c r="K123" s="883" t="s">
        <v>505</v>
      </c>
      <c r="L123" s="884" t="s">
        <v>506</v>
      </c>
      <c r="M123" s="234"/>
      <c r="N123" s="234"/>
      <c r="O123" s="234"/>
      <c r="P123" s="234"/>
      <c r="Q123" s="234"/>
      <c r="R123" s="234"/>
      <c r="S123" s="234"/>
      <c r="T123" s="234"/>
      <c r="U123" s="234"/>
      <c r="V123" s="234"/>
      <c r="W123" s="234"/>
      <c r="X123" s="234"/>
      <c r="Y123" s="234"/>
      <c r="Z123" s="234"/>
      <c r="AA123" s="234"/>
      <c r="AB123" s="234"/>
      <c r="AC123" s="234"/>
      <c r="AD123" s="234"/>
      <c r="AE123" s="234"/>
      <c r="AF123" s="234"/>
      <c r="AG123" s="234"/>
      <c r="AH123" s="234"/>
      <c r="AI123" s="234"/>
      <c r="AJ123" s="234"/>
      <c r="AK123" s="234"/>
      <c r="AL123" s="234"/>
      <c r="AM123" s="234"/>
      <c r="AN123" s="234"/>
      <c r="AO123" s="234"/>
      <c r="AP123" s="234"/>
      <c r="AQ123" s="234"/>
      <c r="AR123" s="234"/>
      <c r="AS123" s="234"/>
    </row>
    <row r="124" spans="1:45" ht="14.45">
      <c r="A124" s="772"/>
      <c r="B124" s="235" t="s">
        <v>577</v>
      </c>
      <c r="C124" s="234"/>
      <c r="D124" s="234"/>
      <c r="E124" s="234"/>
      <c r="F124" s="234"/>
      <c r="G124" s="234"/>
      <c r="H124" s="234"/>
      <c r="I124" s="234"/>
      <c r="J124" s="234"/>
      <c r="K124" s="885">
        <f>AVERAGE(S60:V60)</f>
        <v>0.03</v>
      </c>
      <c r="L124" s="886">
        <f>AVERAGE(W60:AR60)</f>
        <v>2.0000000000000004E-2</v>
      </c>
      <c r="M124" s="234"/>
      <c r="N124" s="234"/>
      <c r="O124" s="234"/>
      <c r="P124" s="234"/>
      <c r="Q124" s="234"/>
      <c r="R124" s="234"/>
      <c r="S124" s="234"/>
      <c r="T124" s="234"/>
      <c r="U124" s="234"/>
      <c r="V124" s="234"/>
      <c r="W124" s="234"/>
      <c r="X124" s="234"/>
      <c r="Y124" s="234"/>
      <c r="Z124" s="234"/>
      <c r="AA124" s="234"/>
      <c r="AB124" s="234"/>
      <c r="AC124" s="234"/>
      <c r="AD124" s="234"/>
      <c r="AE124" s="234"/>
      <c r="AF124" s="234"/>
      <c r="AG124" s="234"/>
      <c r="AH124" s="234"/>
      <c r="AI124" s="234"/>
      <c r="AJ124" s="234"/>
      <c r="AK124" s="234"/>
      <c r="AL124" s="234"/>
      <c r="AM124" s="234"/>
      <c r="AN124" s="234"/>
      <c r="AO124" s="234"/>
      <c r="AP124" s="234"/>
      <c r="AQ124" s="234"/>
      <c r="AR124" s="234"/>
      <c r="AS124" s="234"/>
    </row>
    <row r="125" spans="1:45" ht="14.45">
      <c r="A125" s="772"/>
      <c r="B125" s="235" t="s">
        <v>578</v>
      </c>
      <c r="C125" s="234"/>
      <c r="D125" s="234"/>
      <c r="E125" s="234"/>
      <c r="F125" s="234"/>
      <c r="G125" s="234"/>
      <c r="H125" s="234"/>
      <c r="I125" s="234"/>
      <c r="J125" s="234"/>
      <c r="K125" s="234"/>
      <c r="L125" s="234"/>
      <c r="M125" s="234"/>
      <c r="N125" s="234"/>
      <c r="O125" s="234"/>
      <c r="P125" s="234"/>
      <c r="Q125" s="234"/>
      <c r="R125" s="234"/>
      <c r="S125" s="234"/>
      <c r="T125" s="234"/>
      <c r="U125" s="234"/>
      <c r="V125" s="234"/>
      <c r="W125" s="234"/>
      <c r="X125" s="234"/>
      <c r="Y125" s="234"/>
      <c r="Z125" s="234"/>
      <c r="AA125" s="234"/>
      <c r="AB125" s="234"/>
      <c r="AC125" s="234"/>
      <c r="AD125" s="234"/>
      <c r="AE125" s="234"/>
      <c r="AF125" s="234"/>
      <c r="AG125" s="772"/>
    </row>
    <row r="126" spans="1:45" ht="14.45">
      <c r="A126" s="772"/>
      <c r="B126" s="234"/>
      <c r="C126" s="234"/>
      <c r="D126" s="234"/>
      <c r="E126" s="234"/>
      <c r="F126" s="234"/>
      <c r="G126" s="234"/>
      <c r="H126" s="234"/>
      <c r="I126" s="234"/>
      <c r="J126" s="234"/>
      <c r="K126" s="234"/>
      <c r="L126" s="234"/>
      <c r="M126" s="234"/>
      <c r="N126" s="234"/>
      <c r="O126" s="234"/>
      <c r="P126" s="234"/>
      <c r="Q126" s="234"/>
      <c r="R126" s="234"/>
      <c r="S126" s="234"/>
      <c r="T126" s="234"/>
      <c r="U126" s="234"/>
      <c r="V126" s="234"/>
      <c r="W126" s="234"/>
      <c r="X126" s="234"/>
      <c r="Y126" s="234"/>
      <c r="Z126" s="234"/>
      <c r="AA126" s="234"/>
      <c r="AB126" s="234"/>
      <c r="AC126" s="234"/>
      <c r="AD126" s="234"/>
      <c r="AE126" s="234"/>
      <c r="AF126" s="234"/>
      <c r="AG126" s="772"/>
    </row>
    <row r="127" spans="1:45" ht="14.45">
      <c r="A127" s="772"/>
      <c r="B127" s="234"/>
      <c r="C127" s="234"/>
      <c r="D127" s="234"/>
      <c r="E127" s="234"/>
      <c r="F127" s="234"/>
      <c r="G127" s="234"/>
      <c r="H127" s="234"/>
      <c r="I127" s="234"/>
      <c r="J127" s="234"/>
      <c r="K127" s="234"/>
      <c r="L127" s="234"/>
      <c r="M127" s="234"/>
      <c r="N127" s="234"/>
      <c r="O127" s="234"/>
      <c r="P127" s="234"/>
      <c r="Q127" s="234"/>
      <c r="R127" s="234"/>
      <c r="S127" s="234"/>
      <c r="T127" s="234"/>
      <c r="U127" s="234"/>
      <c r="V127" s="234"/>
      <c r="W127" s="234"/>
      <c r="X127" s="234"/>
      <c r="Y127" s="234"/>
      <c r="Z127" s="234"/>
      <c r="AA127" s="234"/>
      <c r="AB127" s="234"/>
      <c r="AC127" s="234"/>
      <c r="AD127" s="234"/>
      <c r="AE127" s="234"/>
      <c r="AF127" s="234"/>
      <c r="AG127" s="772"/>
    </row>
    <row r="128" spans="1:45" ht="14.45">
      <c r="A128" s="772"/>
      <c r="B128" s="738" t="s">
        <v>579</v>
      </c>
      <c r="C128" s="234"/>
      <c r="D128" s="234"/>
      <c r="E128" s="234"/>
      <c r="F128" s="234"/>
      <c r="G128" s="234"/>
      <c r="H128" s="234"/>
      <c r="I128" s="234"/>
      <c r="J128" s="234"/>
      <c r="K128" s="234"/>
      <c r="L128" s="234"/>
      <c r="M128" s="234"/>
      <c r="N128" s="234"/>
      <c r="O128" s="234"/>
      <c r="P128" s="234"/>
      <c r="Q128" s="234"/>
      <c r="R128" s="234"/>
      <c r="S128" s="234"/>
      <c r="T128" s="234"/>
      <c r="U128" s="234"/>
      <c r="V128" s="234"/>
      <c r="W128" s="234"/>
      <c r="X128" s="234"/>
      <c r="Y128" s="234"/>
      <c r="Z128" s="234"/>
      <c r="AA128" s="234"/>
      <c r="AB128" s="234"/>
      <c r="AC128" s="234"/>
      <c r="AD128" s="234"/>
      <c r="AE128" s="234"/>
      <c r="AF128" s="234"/>
      <c r="AG128" s="772"/>
    </row>
    <row r="129" spans="2:32" ht="14.45">
      <c r="B129" s="234"/>
      <c r="C129" s="234"/>
      <c r="D129" s="234"/>
      <c r="E129" s="234"/>
      <c r="F129" s="234"/>
      <c r="G129" s="234"/>
      <c r="H129" s="234"/>
      <c r="I129" s="234"/>
      <c r="J129" s="234"/>
      <c r="K129" s="234"/>
      <c r="L129" s="234"/>
      <c r="M129" s="234"/>
      <c r="N129" s="234"/>
      <c r="O129" s="234"/>
      <c r="P129" s="234"/>
      <c r="Q129" s="234"/>
      <c r="R129" s="234"/>
      <c r="S129" s="234"/>
      <c r="T129" s="234"/>
      <c r="U129" s="234"/>
      <c r="V129" s="234"/>
      <c r="W129" s="234"/>
      <c r="X129" s="234"/>
      <c r="Y129" s="234"/>
      <c r="Z129" s="234"/>
      <c r="AA129" s="234"/>
      <c r="AB129" s="234"/>
      <c r="AC129" s="234"/>
      <c r="AD129" s="234"/>
      <c r="AE129" s="234"/>
      <c r="AF129" s="234"/>
    </row>
    <row r="130" spans="2:32">
      <c r="B130" s="772"/>
      <c r="C130" s="772"/>
      <c r="D130" s="772"/>
      <c r="E130" s="772"/>
      <c r="F130" s="772"/>
      <c r="G130" s="772"/>
      <c r="H130" s="772"/>
      <c r="I130" s="772"/>
      <c r="J130" s="772"/>
      <c r="K130" s="772"/>
      <c r="L130" s="772"/>
      <c r="M130" s="772"/>
      <c r="N130" s="772"/>
      <c r="O130" s="772"/>
      <c r="P130" s="772"/>
      <c r="Q130" s="772"/>
      <c r="R130" s="772"/>
      <c r="S130" s="772"/>
      <c r="T130" s="772"/>
      <c r="U130" s="772"/>
      <c r="V130" s="772"/>
      <c r="W130" s="772"/>
      <c r="X130" s="772"/>
      <c r="Y130" s="772"/>
      <c r="Z130" s="772"/>
      <c r="AA130" s="772"/>
      <c r="AB130" s="772"/>
      <c r="AC130" s="772"/>
      <c r="AD130" s="772"/>
      <c r="AE130" s="772"/>
      <c r="AF130" s="772"/>
    </row>
    <row r="131" spans="2:32" ht="14.45">
      <c r="B131" s="772"/>
      <c r="C131" s="772"/>
      <c r="D131" s="787">
        <v>9</v>
      </c>
      <c r="E131" s="788" t="s">
        <v>580</v>
      </c>
      <c r="F131" s="788" t="s">
        <v>581</v>
      </c>
      <c r="G131" s="788" t="s">
        <v>582</v>
      </c>
      <c r="H131" s="788" t="s">
        <v>583</v>
      </c>
      <c r="I131" s="788" t="s">
        <v>584</v>
      </c>
      <c r="J131" s="788" t="s">
        <v>585</v>
      </c>
      <c r="K131" s="788" t="s">
        <v>586</v>
      </c>
      <c r="L131" s="788" t="s">
        <v>587</v>
      </c>
      <c r="M131" s="788" t="s">
        <v>588</v>
      </c>
      <c r="N131" s="789">
        <v>2</v>
      </c>
      <c r="O131" s="772"/>
      <c r="P131" s="772"/>
      <c r="Q131" s="772"/>
      <c r="R131" s="772"/>
      <c r="S131" s="772"/>
      <c r="T131" s="772"/>
      <c r="U131" s="772"/>
      <c r="V131" s="772"/>
      <c r="W131" s="772"/>
      <c r="X131" s="772"/>
      <c r="Y131" s="772"/>
      <c r="Z131" s="772"/>
      <c r="AA131" s="772"/>
      <c r="AB131" s="772"/>
      <c r="AC131" s="772"/>
      <c r="AD131" s="772"/>
      <c r="AE131" s="772"/>
      <c r="AF131" s="772"/>
    </row>
    <row r="132" spans="2:32" ht="14.45">
      <c r="B132" s="772"/>
      <c r="C132" s="772"/>
      <c r="D132" s="409"/>
      <c r="E132" s="755">
        <v>0.08</v>
      </c>
      <c r="F132" s="739">
        <v>0.08</v>
      </c>
      <c r="G132" s="739">
        <v>7.0000000000000007E-2</v>
      </c>
      <c r="H132" s="739">
        <v>0.06</v>
      </c>
      <c r="I132" s="739">
        <v>0.06</v>
      </c>
      <c r="J132" s="739">
        <v>0.05</v>
      </c>
      <c r="K132" s="739">
        <v>0.04</v>
      </c>
      <c r="L132" s="739">
        <v>0.03</v>
      </c>
      <c r="M132" s="739">
        <v>0.03</v>
      </c>
      <c r="N132" s="785">
        <v>0.02</v>
      </c>
      <c r="O132" s="772"/>
      <c r="P132" s="772"/>
      <c r="Q132" s="772"/>
      <c r="R132" s="772"/>
      <c r="S132" s="772"/>
      <c r="T132" s="772"/>
      <c r="U132" s="772"/>
      <c r="V132" s="772"/>
      <c r="W132" s="772"/>
      <c r="X132" s="772"/>
      <c r="Y132" s="772"/>
      <c r="Z132" s="772"/>
      <c r="AA132" s="772"/>
      <c r="AB132" s="772"/>
      <c r="AC132" s="772"/>
      <c r="AD132" s="772"/>
      <c r="AE132" s="772"/>
      <c r="AF132" s="772"/>
    </row>
    <row r="133" spans="2:32" ht="14.45">
      <c r="B133" s="234" t="s">
        <v>589</v>
      </c>
      <c r="C133" s="772"/>
      <c r="D133" s="787">
        <v>8</v>
      </c>
      <c r="E133" s="788" t="s">
        <v>590</v>
      </c>
      <c r="F133" s="788" t="s">
        <v>591</v>
      </c>
      <c r="G133" s="788" t="s">
        <v>583</v>
      </c>
      <c r="H133" s="788" t="s">
        <v>592</v>
      </c>
      <c r="I133" s="788">
        <v>5</v>
      </c>
      <c r="J133" s="788" t="s">
        <v>593</v>
      </c>
      <c r="K133" s="788" t="s">
        <v>594</v>
      </c>
      <c r="L133" s="788" t="s">
        <v>595</v>
      </c>
      <c r="M133" s="788" t="s">
        <v>596</v>
      </c>
      <c r="N133" s="789">
        <v>2</v>
      </c>
      <c r="O133" s="772"/>
      <c r="P133" s="772"/>
      <c r="Q133" s="772"/>
      <c r="R133" s="772"/>
      <c r="S133" s="772"/>
      <c r="T133" s="772"/>
      <c r="U133" s="772"/>
      <c r="V133" s="772"/>
      <c r="W133" s="772"/>
      <c r="X133" s="772"/>
      <c r="Y133" s="772"/>
      <c r="Z133" s="772"/>
      <c r="AA133" s="772"/>
      <c r="AB133" s="772"/>
      <c r="AC133" s="772"/>
      <c r="AD133" s="772"/>
      <c r="AE133" s="772"/>
      <c r="AF133" s="772"/>
    </row>
    <row r="134" spans="2:32" ht="14.45">
      <c r="D134" s="409"/>
      <c r="E134" s="755">
        <v>7.0000000000000007E-2</v>
      </c>
      <c r="F134" s="739">
        <v>7.0000000000000007E-2</v>
      </c>
      <c r="G134" s="739">
        <v>0.06</v>
      </c>
      <c r="H134" s="739">
        <v>0.06</v>
      </c>
      <c r="I134" s="739">
        <v>0.05</v>
      </c>
      <c r="J134" s="739">
        <v>0.04</v>
      </c>
      <c r="K134" s="739">
        <v>0.04</v>
      </c>
      <c r="L134" s="739">
        <v>0.03</v>
      </c>
      <c r="M134" s="739">
        <v>0.03</v>
      </c>
      <c r="N134" s="785">
        <v>0.02</v>
      </c>
    </row>
    <row r="135" spans="2:32" ht="14.45">
      <c r="D135" s="787">
        <v>10</v>
      </c>
      <c r="E135" s="788" t="s">
        <v>597</v>
      </c>
      <c r="F135" s="788" t="s">
        <v>598</v>
      </c>
      <c r="G135" s="788" t="s">
        <v>581</v>
      </c>
      <c r="H135" s="788" t="s">
        <v>591</v>
      </c>
      <c r="I135" s="788">
        <v>6</v>
      </c>
      <c r="J135" s="788" t="s">
        <v>599</v>
      </c>
      <c r="K135" s="788" t="s">
        <v>593</v>
      </c>
      <c r="L135" s="788" t="s">
        <v>600</v>
      </c>
      <c r="M135" s="788" t="s">
        <v>601</v>
      </c>
      <c r="N135" s="789">
        <v>2</v>
      </c>
    </row>
    <row r="136" spans="2:32" ht="14.45">
      <c r="D136" s="780"/>
      <c r="E136" s="743">
        <v>0.09</v>
      </c>
      <c r="F136" s="744">
        <v>0.08</v>
      </c>
      <c r="G136" s="744">
        <v>0.08</v>
      </c>
      <c r="H136" s="744">
        <v>7.0000000000000007E-2</v>
      </c>
      <c r="I136" s="744">
        <v>0.06</v>
      </c>
      <c r="J136" s="744">
        <v>0.05</v>
      </c>
      <c r="K136" s="744">
        <v>0.04</v>
      </c>
      <c r="L136" s="744">
        <v>0.04</v>
      </c>
      <c r="M136" s="744">
        <v>0.03</v>
      </c>
      <c r="N136" s="786">
        <v>0.02</v>
      </c>
    </row>
    <row r="138" spans="2:32" ht="14.45">
      <c r="B138" s="234" t="s">
        <v>602</v>
      </c>
      <c r="C138" s="739">
        <v>0.03</v>
      </c>
    </row>
    <row r="142" spans="2:32">
      <c r="B142" s="772"/>
      <c r="C142" s="772"/>
      <c r="D142" s="772"/>
      <c r="E142" s="772"/>
      <c r="F142" s="772"/>
      <c r="G142" s="772"/>
      <c r="H142" s="772"/>
      <c r="I142" s="772"/>
      <c r="J142" s="772"/>
    </row>
    <row r="143" spans="2:32">
      <c r="B143" s="772" t="s">
        <v>121</v>
      </c>
      <c r="C143" s="772">
        <v>2023</v>
      </c>
      <c r="D143" s="772">
        <v>2022</v>
      </c>
      <c r="E143" s="772">
        <v>2021</v>
      </c>
      <c r="F143" s="772">
        <v>2020</v>
      </c>
      <c r="G143" s="772">
        <v>2019</v>
      </c>
      <c r="H143" s="772">
        <v>2018</v>
      </c>
      <c r="I143" s="772">
        <v>2017</v>
      </c>
      <c r="J143" s="772">
        <v>2016</v>
      </c>
    </row>
    <row r="144" spans="2:32">
      <c r="B144" s="772" t="s">
        <v>603</v>
      </c>
      <c r="C144" s="916">
        <v>0.143510287020574</v>
      </c>
      <c r="D144" s="916">
        <v>9.6657381615598892E-2</v>
      </c>
      <c r="E144" s="916">
        <v>8.0471013129679081E-2</v>
      </c>
      <c r="F144" s="916">
        <v>2.7563012215865212E-2</v>
      </c>
      <c r="G144" s="916">
        <v>-2.698743156758443E-3</v>
      </c>
      <c r="H144" s="916">
        <v>1.6218721037997152E-3</v>
      </c>
      <c r="I144" s="916">
        <v>-1.0415461173475249E-3</v>
      </c>
      <c r="J144" s="916">
        <v>-0.12528681333513292</v>
      </c>
    </row>
    <row r="145" spans="2:10">
      <c r="B145" s="772" t="s">
        <v>604</v>
      </c>
      <c r="C145" s="916">
        <v>-3.5000000000000003E-2</v>
      </c>
      <c r="D145" s="916">
        <v>-6.6000000000000003E-2</v>
      </c>
      <c r="E145" s="916">
        <v>1.7000000000000001E-2</v>
      </c>
      <c r="F145" s="916">
        <v>-2.4E-2</v>
      </c>
      <c r="G145" s="916">
        <v>-4.4999999999999998E-2</v>
      </c>
      <c r="H145" s="916">
        <v>-1.4E-2</v>
      </c>
      <c r="I145" s="916">
        <v>3.0000000000000001E-3</v>
      </c>
      <c r="J145" s="916">
        <v>-4.5999999999999999E-2</v>
      </c>
    </row>
    <row r="146" spans="2:10">
      <c r="C146" s="917">
        <f t="shared" ref="C146:J146" si="17">(C145-D145)/D145</f>
        <v>-0.46969696969696967</v>
      </c>
      <c r="D146" s="918">
        <f t="shared" si="17"/>
        <v>-4.8823529411764701</v>
      </c>
      <c r="E146" s="918">
        <f t="shared" si="17"/>
        <v>-1.7083333333333333</v>
      </c>
      <c r="F146" s="918">
        <f t="shared" si="17"/>
        <v>-0.46666666666666662</v>
      </c>
      <c r="G146" s="918">
        <f t="shared" si="17"/>
        <v>2.2142857142857144</v>
      </c>
      <c r="H146" s="918">
        <f t="shared" si="17"/>
        <v>-5.666666666666667</v>
      </c>
      <c r="I146" s="918">
        <f t="shared" si="17"/>
        <v>-1.0652173913043479</v>
      </c>
      <c r="J146" s="918" t="e">
        <f t="shared" si="17"/>
        <v>#DIV/0!</v>
      </c>
    </row>
    <row r="162" spans="1:13">
      <c r="A162" s="626"/>
      <c r="B162" s="626"/>
    </row>
    <row r="163" spans="1:13">
      <c r="A163" s="626"/>
      <c r="B163" s="626"/>
      <c r="C163" s="626">
        <v>2023</v>
      </c>
      <c r="D163" s="626">
        <v>2022</v>
      </c>
      <c r="E163" s="626">
        <v>2021</v>
      </c>
      <c r="F163" s="626">
        <f>E163-1</f>
        <v>2020</v>
      </c>
      <c r="G163" s="626">
        <f t="shared" ref="G163:L163" si="18">F163-1</f>
        <v>2019</v>
      </c>
      <c r="H163" s="626">
        <f t="shared" si="18"/>
        <v>2018</v>
      </c>
      <c r="I163" s="626">
        <f t="shared" si="18"/>
        <v>2017</v>
      </c>
      <c r="J163" s="626">
        <f t="shared" si="18"/>
        <v>2016</v>
      </c>
      <c r="K163" s="626">
        <f t="shared" si="18"/>
        <v>2015</v>
      </c>
      <c r="L163" s="626">
        <f t="shared" si="18"/>
        <v>2014</v>
      </c>
    </row>
    <row r="164" spans="1:13">
      <c r="A164" s="626"/>
      <c r="B164" s="626" t="s">
        <v>605</v>
      </c>
      <c r="C164" s="624">
        <v>871</v>
      </c>
      <c r="D164" s="624">
        <v>785</v>
      </c>
      <c r="E164" s="624">
        <v>772</v>
      </c>
      <c r="F164" s="624">
        <v>712</v>
      </c>
      <c r="G164" s="624">
        <v>674</v>
      </c>
      <c r="H164" s="624">
        <v>635</v>
      </c>
      <c r="I164" s="624">
        <v>638</v>
      </c>
      <c r="J164" s="624">
        <v>647</v>
      </c>
      <c r="K164" s="624">
        <v>713</v>
      </c>
      <c r="L164" s="624">
        <v>853</v>
      </c>
    </row>
    <row r="165" spans="1:13">
      <c r="A165" s="626"/>
      <c r="B165" s="626"/>
      <c r="C165" s="624">
        <v>130</v>
      </c>
      <c r="D165" s="624">
        <v>95</v>
      </c>
      <c r="E165" s="624">
        <v>89</v>
      </c>
      <c r="F165" s="624">
        <v>60</v>
      </c>
      <c r="G165" s="624">
        <v>29</v>
      </c>
      <c r="H165" s="624">
        <v>0</v>
      </c>
      <c r="I165" s="624">
        <v>0</v>
      </c>
      <c r="J165" s="624">
        <v>0</v>
      </c>
      <c r="K165" s="624">
        <v>0</v>
      </c>
      <c r="L165" s="624">
        <v>0</v>
      </c>
    </row>
    <row r="166" spans="1:13">
      <c r="A166" s="626"/>
      <c r="B166" s="626"/>
      <c r="C166" s="624">
        <f>C164+C165</f>
        <v>1001</v>
      </c>
      <c r="D166" s="624">
        <f t="shared" ref="D166:L166" si="19">D164+D165</f>
        <v>880</v>
      </c>
      <c r="E166" s="624">
        <f t="shared" si="19"/>
        <v>861</v>
      </c>
      <c r="F166" s="624">
        <f t="shared" si="19"/>
        <v>772</v>
      </c>
      <c r="G166" s="624">
        <f t="shared" si="19"/>
        <v>703</v>
      </c>
      <c r="H166" s="624">
        <f t="shared" si="19"/>
        <v>635</v>
      </c>
      <c r="I166" s="624">
        <f t="shared" si="19"/>
        <v>638</v>
      </c>
      <c r="J166" s="624">
        <f t="shared" si="19"/>
        <v>647</v>
      </c>
      <c r="K166" s="624">
        <f t="shared" si="19"/>
        <v>713</v>
      </c>
      <c r="L166" s="624">
        <f t="shared" si="19"/>
        <v>853</v>
      </c>
    </row>
    <row r="167" spans="1:13">
      <c r="A167" s="626"/>
      <c r="B167" s="626" t="s">
        <v>606</v>
      </c>
      <c r="C167" s="791">
        <f>'Fin. Data'!B42</f>
        <v>10377</v>
      </c>
      <c r="D167" s="791">
        <f>'Fin. Data'!C42</f>
        <v>9680</v>
      </c>
      <c r="E167" s="791">
        <f>'Fin. Data'!D42</f>
        <v>9271</v>
      </c>
      <c r="F167" s="791">
        <f>'Fin. Data'!E42</f>
        <v>9664</v>
      </c>
      <c r="G167" s="791">
        <f>'Fin. Data'!F42</f>
        <v>9301</v>
      </c>
      <c r="H167" s="791">
        <f>'Fin. Data'!G42</f>
        <v>8482</v>
      </c>
      <c r="I167" s="791">
        <f>'Fin. Data'!H42</f>
        <v>8677</v>
      </c>
      <c r="J167" s="791">
        <f>'Fin. Data'!I42</f>
        <v>8229</v>
      </c>
      <c r="K167" s="791">
        <f>'Fin. Data'!J42</f>
        <v>8362</v>
      </c>
      <c r="L167" s="791">
        <f>'Fin. Data'!K42</f>
        <v>9827</v>
      </c>
      <c r="M167" s="626" t="s">
        <v>223</v>
      </c>
    </row>
    <row r="168" spans="1:13">
      <c r="A168" s="626"/>
      <c r="B168" s="626" t="s">
        <v>607</v>
      </c>
      <c r="C168" s="926">
        <f>C166/C167</f>
        <v>9.6463332369663674E-2</v>
      </c>
      <c r="D168" s="926">
        <f t="shared" ref="D168:L168" si="20">D166/D167</f>
        <v>9.0909090909090912E-2</v>
      </c>
      <c r="E168" s="926">
        <f t="shared" si="20"/>
        <v>9.2870240535001619E-2</v>
      </c>
      <c r="F168" s="926">
        <f t="shared" si="20"/>
        <v>7.9884105960264906E-2</v>
      </c>
      <c r="G168" s="926">
        <f t="shared" si="20"/>
        <v>7.5583270616062792E-2</v>
      </c>
      <c r="H168" s="926">
        <f t="shared" si="20"/>
        <v>7.4864418769158211E-2</v>
      </c>
      <c r="I168" s="926">
        <f t="shared" si="20"/>
        <v>7.3527716952863892E-2</v>
      </c>
      <c r="J168" s="926">
        <f t="shared" si="20"/>
        <v>7.8624377202576257E-2</v>
      </c>
      <c r="K168" s="926">
        <f t="shared" si="20"/>
        <v>8.5266682611815359E-2</v>
      </c>
      <c r="L168" s="926">
        <f t="shared" si="20"/>
        <v>8.6801668871476542E-2</v>
      </c>
      <c r="M168" s="924">
        <f>AVERAGE(C168:L168)</f>
        <v>8.3479490479797414E-2</v>
      </c>
    </row>
    <row r="169" spans="1:13">
      <c r="A169" s="626"/>
      <c r="B169" s="626"/>
    </row>
    <row r="170" spans="1:13">
      <c r="A170" s="626"/>
      <c r="B170" s="626" t="s">
        <v>608</v>
      </c>
      <c r="C170" s="624">
        <v>151</v>
      </c>
      <c r="D170" s="624">
        <v>132</v>
      </c>
      <c r="E170" s="624">
        <v>134</v>
      </c>
      <c r="F170" s="624">
        <v>194</v>
      </c>
      <c r="G170" s="624">
        <v>174</v>
      </c>
      <c r="H170" s="624">
        <v>176</v>
      </c>
      <c r="I170" s="624">
        <v>178</v>
      </c>
      <c r="J170" s="624">
        <v>176</v>
      </c>
      <c r="K170" s="624">
        <v>181</v>
      </c>
      <c r="L170" s="624">
        <v>206</v>
      </c>
    </row>
    <row r="171" spans="1:13">
      <c r="A171" s="626"/>
      <c r="B171" s="626" t="s">
        <v>609</v>
      </c>
      <c r="C171" s="624">
        <v>19836</v>
      </c>
      <c r="D171" s="624">
        <v>19710</v>
      </c>
      <c r="E171" s="624">
        <v>18291</v>
      </c>
      <c r="F171" s="624">
        <v>18482</v>
      </c>
      <c r="G171" s="624">
        <v>17957</v>
      </c>
      <c r="H171" s="624">
        <v>18002</v>
      </c>
      <c r="I171" s="624">
        <v>18639</v>
      </c>
      <c r="J171" s="624">
        <v>18101</v>
      </c>
      <c r="K171" s="624">
        <v>18768</v>
      </c>
      <c r="L171" s="624">
        <v>20335</v>
      </c>
      <c r="M171" s="626" t="s">
        <v>223</v>
      </c>
    </row>
    <row r="172" spans="1:13">
      <c r="A172" s="626"/>
      <c r="B172" s="626" t="s">
        <v>607</v>
      </c>
      <c r="C172" s="926">
        <f>C170/C171</f>
        <v>7.6124218592458154E-3</v>
      </c>
      <c r="D172" s="926">
        <f t="shared" ref="D172:L172" si="21">D170/D171</f>
        <v>6.6971080669710808E-3</v>
      </c>
      <c r="E172" s="926">
        <f t="shared" si="21"/>
        <v>7.326007326007326E-3</v>
      </c>
      <c r="F172" s="926">
        <f t="shared" si="21"/>
        <v>1.0496699491397034E-2</v>
      </c>
      <c r="G172" s="926">
        <f t="shared" si="21"/>
        <v>9.6898145569972709E-3</v>
      </c>
      <c r="H172" s="926">
        <f t="shared" si="21"/>
        <v>9.7766914787245866E-3</v>
      </c>
      <c r="I172" s="926">
        <f t="shared" si="21"/>
        <v>9.5498685551799987E-3</v>
      </c>
      <c r="J172" s="926">
        <f t="shared" si="21"/>
        <v>9.7232197116181428E-3</v>
      </c>
      <c r="K172" s="926">
        <f t="shared" si="21"/>
        <v>9.6440750213128736E-3</v>
      </c>
      <c r="L172" s="926">
        <f t="shared" si="21"/>
        <v>1.013031718711581E-2</v>
      </c>
      <c r="M172" s="924">
        <f>AVERAGE(C172:L172)</f>
        <v>9.0646223254569926E-3</v>
      </c>
    </row>
    <row r="173" spans="1:13">
      <c r="A173" s="626"/>
      <c r="B173" s="626"/>
    </row>
    <row r="174" spans="1:13">
      <c r="A174" s="626"/>
      <c r="B174" s="626" t="s">
        <v>610</v>
      </c>
      <c r="C174" s="624">
        <v>146</v>
      </c>
      <c r="D174" s="624">
        <v>120</v>
      </c>
      <c r="E174" s="624">
        <v>121</v>
      </c>
      <c r="F174" s="624">
        <v>126</v>
      </c>
      <c r="G174" s="624">
        <v>135</v>
      </c>
      <c r="H174" s="624">
        <v>128</v>
      </c>
      <c r="I174" s="624">
        <v>137</v>
      </c>
      <c r="J174" s="624">
        <v>140</v>
      </c>
      <c r="K174" s="624">
        <v>136</v>
      </c>
      <c r="L174" s="624">
        <v>0</v>
      </c>
    </row>
    <row r="175" spans="1:13">
      <c r="A175" s="626"/>
      <c r="B175" s="626" t="s">
        <v>611</v>
      </c>
      <c r="C175" s="791">
        <f>Inputs!B6</f>
        <v>36016</v>
      </c>
      <c r="D175" s="791">
        <f>Inputs!C6</f>
        <v>31496</v>
      </c>
      <c r="E175" s="791">
        <f>Inputs!D6</f>
        <v>28720</v>
      </c>
      <c r="F175" s="791">
        <f>Inputs!E6</f>
        <v>26581</v>
      </c>
      <c r="G175" s="791">
        <f>Inputs!F6</f>
        <v>25868</v>
      </c>
      <c r="H175" s="791">
        <f>Inputs!G6</f>
        <v>25938</v>
      </c>
      <c r="I175" s="791">
        <f>Inputs!H6</f>
        <v>25896</v>
      </c>
      <c r="J175" s="791">
        <f>Inputs!I6</f>
        <v>25923</v>
      </c>
      <c r="K175" s="791">
        <f>Inputs!J6</f>
        <v>29636</v>
      </c>
      <c r="L175" s="791">
        <f>Inputs!K6</f>
        <v>34244</v>
      </c>
      <c r="M175" s="626" t="s">
        <v>223</v>
      </c>
    </row>
    <row r="176" spans="1:13">
      <c r="A176" s="626"/>
      <c r="B176" s="624" t="s">
        <v>607</v>
      </c>
      <c r="C176" s="926">
        <f>C174/C175</f>
        <v>4.0537538871612613E-3</v>
      </c>
      <c r="D176" s="926">
        <f t="shared" ref="D176:L176" si="22">D174/D175</f>
        <v>3.8100076200152399E-3</v>
      </c>
      <c r="E176" s="926">
        <f t="shared" si="22"/>
        <v>4.2130919220055713E-3</v>
      </c>
      <c r="F176" s="926">
        <f t="shared" si="22"/>
        <v>4.7402279823934388E-3</v>
      </c>
      <c r="G176" s="926">
        <f t="shared" si="22"/>
        <v>5.2188031544765732E-3</v>
      </c>
      <c r="H176" s="926">
        <f t="shared" si="22"/>
        <v>4.9348446295011178E-3</v>
      </c>
      <c r="I176" s="926">
        <f t="shared" si="22"/>
        <v>5.2903923385851093E-3</v>
      </c>
      <c r="J176" s="926">
        <f t="shared" si="22"/>
        <v>5.4006094973575586E-3</v>
      </c>
      <c r="K176" s="926">
        <f t="shared" si="22"/>
        <v>4.5890133621271428E-3</v>
      </c>
      <c r="L176" s="926">
        <f t="shared" si="22"/>
        <v>0</v>
      </c>
      <c r="M176" s="924">
        <f>AVERAGE(C176:L176)</f>
        <v>4.2250744393623014E-3</v>
      </c>
    </row>
    <row r="177" spans="1:13">
      <c r="A177" s="626"/>
    </row>
    <row r="178" spans="1:13">
      <c r="A178" s="626"/>
      <c r="B178" s="626"/>
    </row>
    <row r="179" spans="1:13">
      <c r="A179" s="626"/>
      <c r="B179" s="626" t="s">
        <v>61</v>
      </c>
      <c r="C179" s="791">
        <f>'Fin. Data'!B11</f>
        <v>5501</v>
      </c>
      <c r="D179" s="791">
        <f>'Fin. Data'!C11</f>
        <v>3405</v>
      </c>
      <c r="E179" s="791">
        <f>'Fin. Data'!D11</f>
        <v>4516</v>
      </c>
      <c r="F179" s="791">
        <f>'Fin. Data'!E11</f>
        <v>3668</v>
      </c>
      <c r="G179" s="791">
        <f>'Fin. Data'!F11</f>
        <v>3843</v>
      </c>
      <c r="H179" s="791">
        <f>'Fin. Data'!G11</f>
        <v>3172</v>
      </c>
      <c r="I179" s="791">
        <f>'Fin. Data'!H11</f>
        <v>3495</v>
      </c>
      <c r="J179" s="791">
        <f>'Fin. Data'!I11</f>
        <v>2142</v>
      </c>
      <c r="K179" s="791">
        <f>'Fin. Data'!J11</f>
        <v>8897</v>
      </c>
      <c r="L179" s="791">
        <f>'Fin. Data'!K11</f>
        <v>2747</v>
      </c>
    </row>
    <row r="180" spans="1:13">
      <c r="A180" s="626"/>
      <c r="B180" s="626" t="s">
        <v>612</v>
      </c>
      <c r="C180" s="791">
        <f>'Fin. Data'!B14</f>
        <v>56</v>
      </c>
      <c r="D180" s="791">
        <f>'Fin. Data'!C14</f>
        <v>-428</v>
      </c>
      <c r="E180" s="791">
        <f>'Fin. Data'!D14</f>
        <v>-365</v>
      </c>
      <c r="F180" s="791">
        <f>'Fin. Data'!E14</f>
        <v>-526</v>
      </c>
      <c r="G180" s="791">
        <f>'Fin. Data'!F14</f>
        <v>-498</v>
      </c>
      <c r="H180" s="791">
        <f>'Fin. Data'!G14</f>
        <v>-358</v>
      </c>
      <c r="I180" s="791">
        <f>'Fin. Data'!H14</f>
        <v>-385</v>
      </c>
      <c r="J180" s="791">
        <f>'Fin. Data'!I14</f>
        <v>-580</v>
      </c>
      <c r="K180" s="791">
        <f>'Fin. Data'!J14</f>
        <v>-1013</v>
      </c>
      <c r="L180" s="791">
        <f>'Fin. Data'!K14</f>
        <v>-150</v>
      </c>
    </row>
    <row r="181" spans="1:13">
      <c r="A181" s="626"/>
      <c r="B181" s="626" t="s">
        <v>613</v>
      </c>
      <c r="C181" s="791">
        <f>C179+C180</f>
        <v>5557</v>
      </c>
      <c r="D181" s="791">
        <f t="shared" ref="D181:L181" si="23">D179+D180</f>
        <v>2977</v>
      </c>
      <c r="E181" s="791">
        <f t="shared" si="23"/>
        <v>4151</v>
      </c>
      <c r="F181" s="791">
        <f t="shared" si="23"/>
        <v>3142</v>
      </c>
      <c r="G181" s="791">
        <f t="shared" si="23"/>
        <v>3345</v>
      </c>
      <c r="H181" s="791">
        <f t="shared" si="23"/>
        <v>2814</v>
      </c>
      <c r="I181" s="791">
        <f t="shared" si="23"/>
        <v>3110</v>
      </c>
      <c r="J181" s="791">
        <f t="shared" si="23"/>
        <v>1562</v>
      </c>
      <c r="K181" s="791">
        <f t="shared" si="23"/>
        <v>7884</v>
      </c>
      <c r="L181" s="791">
        <f t="shared" si="23"/>
        <v>2597</v>
      </c>
    </row>
    <row r="182" spans="1:13">
      <c r="A182" s="626"/>
      <c r="B182" s="626" t="s">
        <v>614</v>
      </c>
      <c r="C182" s="791">
        <f>'Fin. Data'!B21</f>
        <v>-1537</v>
      </c>
      <c r="D182" s="791">
        <f>'Fin. Data'!C21</f>
        <v>-865</v>
      </c>
      <c r="E182" s="791">
        <f>'Fin. Data'!D21</f>
        <v>-1190</v>
      </c>
      <c r="F182" s="791">
        <f>'Fin. Data'!E21</f>
        <v>-1224</v>
      </c>
      <c r="G182" s="791">
        <f>'Fin. Data'!F21</f>
        <v>3</v>
      </c>
      <c r="H182" s="791">
        <f>'Fin. Data'!G21</f>
        <v>-754</v>
      </c>
      <c r="I182" s="791">
        <f>'Fin. Data'!H21</f>
        <v>-747</v>
      </c>
      <c r="J182" s="791">
        <f>'Fin. Data'!I21</f>
        <v>-129</v>
      </c>
      <c r="K182" s="791">
        <f>'Fin. Data'!J21</f>
        <v>-593</v>
      </c>
      <c r="L182" s="791">
        <f>'Fin. Data'!K21</f>
        <v>-353</v>
      </c>
      <c r="M182" s="626" t="s">
        <v>223</v>
      </c>
    </row>
    <row r="183" spans="1:13">
      <c r="A183" s="626"/>
      <c r="B183" s="626" t="s">
        <v>607</v>
      </c>
      <c r="C183" s="926">
        <f>C182/C181</f>
        <v>-0.27658808709735466</v>
      </c>
      <c r="D183" s="926">
        <f t="shared" ref="D183:L183" si="24">D182/D181</f>
        <v>-0.2905609674168626</v>
      </c>
      <c r="E183" s="926">
        <f t="shared" si="24"/>
        <v>-0.28667790893760542</v>
      </c>
      <c r="F183" s="926">
        <f t="shared" si="24"/>
        <v>-0.38956078930617444</v>
      </c>
      <c r="G183" s="926">
        <f t="shared" si="24"/>
        <v>8.9686098654708521E-4</v>
      </c>
      <c r="H183" s="926">
        <f t="shared" si="24"/>
        <v>-0.26794598436389483</v>
      </c>
      <c r="I183" s="926">
        <f t="shared" si="24"/>
        <v>-0.24019292604501608</v>
      </c>
      <c r="J183" s="926">
        <f t="shared" si="24"/>
        <v>-8.2586427656850189E-2</v>
      </c>
      <c r="K183" s="926">
        <f t="shared" si="24"/>
        <v>-7.5215626585489595E-2</v>
      </c>
      <c r="L183" s="926">
        <f t="shared" si="24"/>
        <v>-0.13592606854062381</v>
      </c>
      <c r="M183" s="924">
        <f>AVERAGE(C183:L183)</f>
        <v>-0.20443579249633242</v>
      </c>
    </row>
    <row r="184" spans="1:13">
      <c r="A184" s="626"/>
      <c r="B184" s="626" t="s">
        <v>615</v>
      </c>
      <c r="C184" s="923">
        <f>AVERAGE(C183:E183)</f>
        <v>-0.28460898781727423</v>
      </c>
    </row>
    <row r="185" spans="1:13">
      <c r="A185" s="626"/>
      <c r="B185" s="626" t="s">
        <v>616</v>
      </c>
      <c r="C185" s="633">
        <v>0.22600000000000001</v>
      </c>
      <c r="D185" s="922">
        <v>0.23</v>
      </c>
      <c r="E185" s="633">
        <v>0.22800000000000001</v>
      </c>
    </row>
    <row r="186" spans="1:13">
      <c r="A186" s="626"/>
      <c r="B186" s="626" t="s">
        <v>615</v>
      </c>
      <c r="C186" s="923">
        <f>AVERAGE(C185:E185)</f>
        <v>0.22800000000000001</v>
      </c>
    </row>
    <row r="187" spans="1:13">
      <c r="A187" s="626"/>
      <c r="B187" s="626"/>
    </row>
    <row r="188" spans="1:13">
      <c r="A188" s="626"/>
      <c r="B188" s="626" t="s">
        <v>617</v>
      </c>
      <c r="C188" s="791">
        <f>'Fin. Data'!B68</f>
        <v>19408</v>
      </c>
      <c r="D188" s="791">
        <f>'Fin. Data'!C68</f>
        <v>22933</v>
      </c>
      <c r="E188" s="791">
        <f>'Fin. Data'!D68</f>
        <v>19512</v>
      </c>
      <c r="F188" s="791">
        <f>'Fin. Data'!E68</f>
        <v>20046</v>
      </c>
      <c r="G188" s="791">
        <f>'Fin. Data'!F68</f>
        <v>18549</v>
      </c>
      <c r="H188" s="791"/>
      <c r="I188" s="791">
        <f>'Fin. Data'!H68</f>
        <v>17652</v>
      </c>
      <c r="J188" s="791">
        <f>'Fin. Data'!I68</f>
        <v>17199</v>
      </c>
      <c r="K188" s="791">
        <f>'Fin. Data'!J68</f>
        <v>15398</v>
      </c>
      <c r="L188" s="791">
        <f>'Fin. Data'!K68</f>
        <v>16700</v>
      </c>
    </row>
    <row r="189" spans="1:13">
      <c r="A189" s="626"/>
      <c r="B189" s="626" t="s">
        <v>612</v>
      </c>
      <c r="C189" s="791">
        <f>Inputs!B10</f>
        <v>56</v>
      </c>
      <c r="D189" s="791">
        <f>Inputs!C10</f>
        <v>-428</v>
      </c>
      <c r="E189" s="791">
        <f>Inputs!D10</f>
        <v>-365</v>
      </c>
      <c r="F189" s="791">
        <f>Inputs!E10</f>
        <v>-526</v>
      </c>
      <c r="G189" s="791">
        <f>Inputs!F10</f>
        <v>-498</v>
      </c>
      <c r="H189" s="791">
        <f>Inputs!G10</f>
        <v>-358</v>
      </c>
      <c r="I189" s="791">
        <f>Inputs!H10</f>
        <v>-385</v>
      </c>
      <c r="J189" s="791">
        <f>Inputs!I10</f>
        <v>-580</v>
      </c>
      <c r="K189" s="791">
        <f>Inputs!J10</f>
        <v>-1013</v>
      </c>
      <c r="L189" s="791">
        <f>Inputs!K10</f>
        <v>-150</v>
      </c>
    </row>
    <row r="190" spans="1:13">
      <c r="A190" s="626"/>
      <c r="B190" s="626" t="s">
        <v>607</v>
      </c>
      <c r="C190" s="926"/>
      <c r="D190" s="926">
        <f t="shared" ref="D190:G190" si="25">D189/D188</f>
        <v>-1.866306196310993E-2</v>
      </c>
      <c r="E190" s="926">
        <f t="shared" si="25"/>
        <v>-1.8706437064370644E-2</v>
      </c>
      <c r="F190" s="926">
        <f t="shared" si="25"/>
        <v>-2.6239648807742193E-2</v>
      </c>
      <c r="G190" s="926">
        <f t="shared" si="25"/>
        <v>-2.6847808507197153E-2</v>
      </c>
    </row>
    <row r="191" spans="1:13">
      <c r="A191" s="626"/>
      <c r="B191" s="626"/>
      <c r="C191" s="946" t="s">
        <v>618</v>
      </c>
      <c r="D191" s="923">
        <f>AVERAGE(D190:F190)</f>
        <v>-2.120304927840759E-2</v>
      </c>
    </row>
    <row r="192" spans="1:13">
      <c r="A192" s="626"/>
      <c r="B192" s="626"/>
    </row>
    <row r="193" spans="1:12">
      <c r="A193" s="626"/>
      <c r="B193" s="626" t="s">
        <v>619</v>
      </c>
      <c r="C193" s="791">
        <f>Inputs!B70</f>
        <v>-2499</v>
      </c>
      <c r="D193" s="791">
        <f>Inputs!C70</f>
        <v>-3032</v>
      </c>
      <c r="E193" s="791">
        <f>Inputs!D70</f>
        <v>-6247</v>
      </c>
      <c r="F193" s="791">
        <f>Inputs!E70</f>
        <v>-5052</v>
      </c>
      <c r="G193" s="791">
        <f>Inputs!F70</f>
        <v>-5044</v>
      </c>
      <c r="H193" s="791">
        <f>Inputs!G70</f>
        <v>-4677</v>
      </c>
      <c r="I193" s="791">
        <f>Inputs!H70</f>
        <v>-3381</v>
      </c>
      <c r="J193" s="791">
        <f>Inputs!I70</f>
        <v>-7217</v>
      </c>
      <c r="K193" s="791">
        <f>Inputs!J70</f>
        <v>-5685</v>
      </c>
      <c r="L193" s="791">
        <f>Inputs!K70</f>
        <v>-5730</v>
      </c>
    </row>
    <row r="194" spans="1:12">
      <c r="A194" s="626"/>
      <c r="B194" s="626" t="s">
        <v>620</v>
      </c>
      <c r="C194" s="926">
        <f>-C193/C188</f>
        <v>0.12876133553173949</v>
      </c>
      <c r="D194" s="926">
        <f t="shared" ref="D194:L194" si="26">-D193/D188</f>
        <v>0.13221122400034885</v>
      </c>
      <c r="E194" s="926">
        <f t="shared" si="26"/>
        <v>0.32016195161951622</v>
      </c>
      <c r="F194" s="926">
        <f t="shared" si="26"/>
        <v>0.25202035318766836</v>
      </c>
      <c r="G194" s="926">
        <f t="shared" si="26"/>
        <v>0.27192840584398081</v>
      </c>
      <c r="H194" s="926"/>
      <c r="I194" s="926">
        <f t="shared" si="26"/>
        <v>0.19153636981645139</v>
      </c>
      <c r="J194" s="926">
        <f t="shared" si="26"/>
        <v>0.41961741961741961</v>
      </c>
      <c r="K194" s="926">
        <f t="shared" si="26"/>
        <v>0.3692037927003507</v>
      </c>
      <c r="L194" s="926">
        <f t="shared" si="26"/>
        <v>0.34311377245508984</v>
      </c>
    </row>
    <row r="195" spans="1:12">
      <c r="A195" s="626"/>
      <c r="B195" s="626" t="s">
        <v>621</v>
      </c>
      <c r="C195" s="791">
        <f>AVERAGE(C193:L193)</f>
        <v>-4856.3999999999996</v>
      </c>
    </row>
    <row r="196" spans="1:12">
      <c r="A196" s="626"/>
      <c r="B196" s="626"/>
      <c r="C196" s="791"/>
    </row>
    <row r="197" spans="1:12">
      <c r="A197" s="626"/>
      <c r="B197" s="626" t="s">
        <v>622</v>
      </c>
      <c r="C197" s="791">
        <f>Inputs!B12</f>
        <v>4959</v>
      </c>
      <c r="D197" s="791">
        <f>Inputs!C12</f>
        <v>2717</v>
      </c>
      <c r="E197" s="791">
        <f>Inputs!D12</f>
        <v>4300</v>
      </c>
      <c r="F197" s="791">
        <f>Inputs!E12</f>
        <v>3555</v>
      </c>
      <c r="G197" s="791">
        <f>Inputs!F12</f>
        <v>3870</v>
      </c>
      <c r="H197" s="791">
        <f>Inputs!G12</f>
        <v>3381</v>
      </c>
      <c r="I197" s="791">
        <f>Inputs!H12</f>
        <v>2922</v>
      </c>
      <c r="J197" s="791">
        <f>Inputs!I12</f>
        <v>1659</v>
      </c>
      <c r="K197" s="791">
        <f>Inputs!J12</f>
        <v>7267</v>
      </c>
      <c r="L197" s="791">
        <f>Inputs!K12</f>
        <v>2184</v>
      </c>
    </row>
    <row r="198" spans="1:12">
      <c r="A198" s="626"/>
      <c r="B198" s="626" t="s">
        <v>623</v>
      </c>
      <c r="C198" s="791">
        <f>Inputs!B73</f>
        <v>-2160</v>
      </c>
      <c r="D198" s="791">
        <f>Inputs!C73</f>
        <v>-1985</v>
      </c>
      <c r="E198" s="791">
        <f>Inputs!D73</f>
        <v>-1826</v>
      </c>
      <c r="F198" s="791">
        <f>Inputs!E73</f>
        <v>-1678</v>
      </c>
      <c r="G198" s="791">
        <f>Inputs!F73</f>
        <v>-1542</v>
      </c>
      <c r="H198" s="791">
        <f>Inputs!G73</f>
        <v>-1359</v>
      </c>
      <c r="I198" s="791">
        <f>Inputs!H73</f>
        <v>-1198</v>
      </c>
      <c r="J198" s="791">
        <f>Inputs!I73</f>
        <v>-1094</v>
      </c>
      <c r="K198" s="791">
        <f>Inputs!J73</f>
        <v>-1008</v>
      </c>
      <c r="L198" s="791">
        <f>Inputs!K73</f>
        <v>-964</v>
      </c>
    </row>
    <row r="199" spans="1:12">
      <c r="A199" s="626"/>
      <c r="B199" s="626" t="s">
        <v>624</v>
      </c>
      <c r="C199" s="791">
        <f>Inputs!B74</f>
        <v>-1547</v>
      </c>
      <c r="D199" s="791">
        <f>Inputs!C74</f>
        <v>-2017</v>
      </c>
      <c r="E199" s="791">
        <f>Inputs!D74</f>
        <v>-2110</v>
      </c>
      <c r="F199" s="791">
        <f>Inputs!E74</f>
        <v>-1390</v>
      </c>
      <c r="G199" s="791">
        <f>Inputs!F74</f>
        <v>-1480</v>
      </c>
      <c r="H199" s="791">
        <f>Inputs!G74</f>
        <v>-2020</v>
      </c>
      <c r="I199" s="791">
        <f>Inputs!H74</f>
        <v>-2174</v>
      </c>
      <c r="J199" s="791">
        <f>Inputs!I74</f>
        <v>-2601</v>
      </c>
      <c r="K199" s="791">
        <f>Inputs!J74</f>
        <v>-3622</v>
      </c>
      <c r="L199" s="791">
        <f>Inputs!K74</f>
        <v>-1700</v>
      </c>
    </row>
    <row r="200" spans="1:12">
      <c r="A200" s="626"/>
      <c r="B200" s="626" t="s">
        <v>625</v>
      </c>
      <c r="C200" s="921">
        <f>C198/C197</f>
        <v>-0.43557168784029038</v>
      </c>
      <c r="D200" s="921">
        <f t="shared" ref="D200:L200" si="27">D198/D197</f>
        <v>-0.73058520426941476</v>
      </c>
      <c r="E200" s="921">
        <f t="shared" si="27"/>
        <v>-0.4246511627906977</v>
      </c>
      <c r="F200" s="921">
        <f t="shared" si="27"/>
        <v>-0.47201125175808722</v>
      </c>
      <c r="G200" s="921">
        <f t="shared" si="27"/>
        <v>-0.39844961240310078</v>
      </c>
      <c r="H200" s="921">
        <f t="shared" si="27"/>
        <v>-0.40195208518189884</v>
      </c>
      <c r="I200" s="921">
        <f t="shared" si="27"/>
        <v>-0.40999315537303216</v>
      </c>
      <c r="J200" s="921">
        <f t="shared" si="27"/>
        <v>-0.65943339361060882</v>
      </c>
      <c r="K200" s="921">
        <f t="shared" si="27"/>
        <v>-0.13870923352139811</v>
      </c>
      <c r="L200" s="921">
        <f t="shared" si="27"/>
        <v>-0.44139194139194138</v>
      </c>
    </row>
    <row r="201" spans="1:12">
      <c r="A201" s="626"/>
      <c r="B201" s="626" t="s">
        <v>626</v>
      </c>
      <c r="C201" s="921">
        <f>C199/C197</f>
        <v>-0.31195805605968946</v>
      </c>
      <c r="D201" s="921">
        <f t="shared" ref="D201:L201" si="28">D199/D197</f>
        <v>-0.74236290025763707</v>
      </c>
      <c r="E201" s="921">
        <f t="shared" si="28"/>
        <v>-0.49069767441860462</v>
      </c>
      <c r="F201" s="921">
        <f t="shared" si="28"/>
        <v>-0.39099859353023908</v>
      </c>
      <c r="G201" s="921">
        <f t="shared" si="28"/>
        <v>-0.38242894056847543</v>
      </c>
      <c r="H201" s="921">
        <f t="shared" si="28"/>
        <v>-0.59745637385388939</v>
      </c>
      <c r="I201" s="921">
        <f t="shared" si="28"/>
        <v>-0.74401095140314855</v>
      </c>
      <c r="J201" s="921">
        <f t="shared" si="28"/>
        <v>-1.5678119349005426</v>
      </c>
      <c r="K201" s="921">
        <f t="shared" si="28"/>
        <v>-0.49841750378423005</v>
      </c>
      <c r="L201" s="921">
        <f t="shared" si="28"/>
        <v>-0.7783882783882784</v>
      </c>
    </row>
    <row r="202" spans="1:12">
      <c r="A202" s="626"/>
      <c r="B202" s="626"/>
      <c r="C202" s="921"/>
      <c r="D202" s="921"/>
      <c r="E202" s="921"/>
      <c r="F202" s="921"/>
      <c r="G202" s="921"/>
      <c r="H202" s="921"/>
      <c r="I202" s="921"/>
      <c r="J202" s="921"/>
      <c r="K202" s="921"/>
      <c r="L202" s="921"/>
    </row>
    <row r="203" spans="1:12">
      <c r="A203" s="626"/>
      <c r="B203" s="626" t="s">
        <v>627</v>
      </c>
      <c r="C203" s="791">
        <f>Inputs!B65</f>
        <v>-1112</v>
      </c>
      <c r="D203" s="791">
        <f>Inputs!C65</f>
        <v>-906</v>
      </c>
      <c r="E203" s="791">
        <f>Inputs!D65</f>
        <v>-965</v>
      </c>
      <c r="F203" s="791">
        <f>Inputs!E65</f>
        <v>-863</v>
      </c>
      <c r="G203" s="791">
        <f>Inputs!F65</f>
        <v>-925</v>
      </c>
      <c r="H203" s="791">
        <f>Inputs!G65</f>
        <v>-1095</v>
      </c>
      <c r="I203" s="791">
        <f>Inputs!H65</f>
        <v>-1014</v>
      </c>
      <c r="J203" s="791">
        <f>Inputs!I65</f>
        <v>-1224</v>
      </c>
      <c r="K203" s="791">
        <f>Inputs!J65</f>
        <v>-1514</v>
      </c>
      <c r="L203" s="791">
        <f>Inputs!K65</f>
        <v>-1642</v>
      </c>
    </row>
    <row r="204" spans="1:12">
      <c r="A204" s="626"/>
      <c r="B204" s="624" t="s">
        <v>628</v>
      </c>
      <c r="C204" s="791">
        <f>Inputs!B66</f>
        <v>3924</v>
      </c>
      <c r="D204" s="791">
        <f>Inputs!C66</f>
        <v>-3982</v>
      </c>
      <c r="E204" s="791">
        <f>Inputs!D66</f>
        <v>939</v>
      </c>
      <c r="F204" s="791">
        <f>Inputs!E66</f>
        <v>1363</v>
      </c>
      <c r="G204" s="791">
        <f>Inputs!F66</f>
        <v>-35</v>
      </c>
      <c r="H204" s="791">
        <f>Inputs!G66</f>
        <v>-129</v>
      </c>
      <c r="I204" s="791">
        <f>Inputs!H66</f>
        <v>713</v>
      </c>
      <c r="J204" s="791">
        <f>Inputs!I66</f>
        <v>195</v>
      </c>
      <c r="K204" s="791">
        <f>Inputs!J66</f>
        <v>4163</v>
      </c>
      <c r="L204" s="791">
        <f>Inputs!K66</f>
        <v>0</v>
      </c>
    </row>
    <row r="205" spans="1:12">
      <c r="A205" s="626"/>
      <c r="B205" s="626" t="s">
        <v>607</v>
      </c>
      <c r="C205" s="925">
        <f>C203/C175</f>
        <v>-3.08751665926255E-2</v>
      </c>
      <c r="D205" s="925">
        <f t="shared" ref="D205:L205" si="29">D203/D175</f>
        <v>-2.8765557531115062E-2</v>
      </c>
      <c r="E205" s="925">
        <f t="shared" si="29"/>
        <v>-3.3600278551532033E-2</v>
      </c>
      <c r="F205" s="925">
        <f t="shared" si="29"/>
        <v>-3.2466799593694744E-2</v>
      </c>
      <c r="G205" s="925">
        <f t="shared" si="29"/>
        <v>-3.5758466058450594E-2</v>
      </c>
      <c r="H205" s="925">
        <f t="shared" si="29"/>
        <v>-4.2216053666435348E-2</v>
      </c>
      <c r="I205" s="925">
        <f t="shared" si="29"/>
        <v>-3.9156626506024098E-2</v>
      </c>
      <c r="J205" s="925">
        <f t="shared" si="29"/>
        <v>-4.7216757319754658E-2</v>
      </c>
      <c r="K205" s="925">
        <f t="shared" si="29"/>
        <v>-5.108651639897422E-2</v>
      </c>
      <c r="L205" s="925">
        <f t="shared" si="29"/>
        <v>-4.7950005840439201E-2</v>
      </c>
    </row>
    <row r="206" spans="1:12">
      <c r="A206" s="626"/>
      <c r="B206" s="947" t="s">
        <v>629</v>
      </c>
      <c r="C206" s="945">
        <f>AVERAGE(C205:I205)</f>
        <v>-3.4691278357125342E-2</v>
      </c>
    </row>
    <row r="207" spans="1:12">
      <c r="A207" s="626"/>
    </row>
    <row r="208" spans="1:12">
      <c r="A208" s="626"/>
      <c r="B208" s="626"/>
      <c r="C208" s="791"/>
    </row>
    <row r="209" spans="1:13">
      <c r="A209" s="626"/>
      <c r="B209" s="626" t="s">
        <v>630</v>
      </c>
      <c r="C209" s="925">
        <f t="shared" ref="C209:L209" si="30">C204/C175</f>
        <v>0.10895157707685472</v>
      </c>
      <c r="D209" s="925">
        <f t="shared" si="30"/>
        <v>-0.12642875285750571</v>
      </c>
      <c r="E209" s="925">
        <f t="shared" si="30"/>
        <v>3.2694986072423396E-2</v>
      </c>
      <c r="F209" s="925">
        <f t="shared" si="30"/>
        <v>5.1277228095256012E-2</v>
      </c>
      <c r="G209" s="925">
        <f t="shared" si="30"/>
        <v>-1.353023040049482E-3</v>
      </c>
      <c r="H209" s="925">
        <f t="shared" si="30"/>
        <v>-4.9733981031690952E-3</v>
      </c>
      <c r="I209" s="925">
        <f t="shared" si="30"/>
        <v>2.7533209762125425E-2</v>
      </c>
      <c r="J209" s="925">
        <f t="shared" si="30"/>
        <v>7.5222775141765997E-3</v>
      </c>
      <c r="K209" s="925">
        <f t="shared" si="30"/>
        <v>0.14047104872452423</v>
      </c>
      <c r="L209" s="925">
        <f t="shared" si="30"/>
        <v>0</v>
      </c>
    </row>
    <row r="210" spans="1:13">
      <c r="A210" s="626"/>
      <c r="B210" s="947" t="s">
        <v>618</v>
      </c>
      <c r="C210" s="945">
        <f>AVERAGE(C209,E209,F209)</f>
        <v>6.4307930414844713E-2</v>
      </c>
    </row>
    <row r="211" spans="1:13">
      <c r="A211" s="626"/>
      <c r="B211" s="626"/>
      <c r="C211" s="948">
        <f>AVERAGE(C209:F209)</f>
        <v>1.6623759596757104E-2</v>
      </c>
    </row>
    <row r="212" spans="1:13">
      <c r="A212" s="626"/>
      <c r="B212" s="626"/>
      <c r="C212" s="791"/>
    </row>
    <row r="213" spans="1:13">
      <c r="A213" s="626"/>
      <c r="B213" s="626" t="s">
        <v>631</v>
      </c>
      <c r="C213" s="791">
        <v>-487</v>
      </c>
      <c r="D213" s="791">
        <v>-521</v>
      </c>
      <c r="E213" s="791">
        <v>-649</v>
      </c>
      <c r="F213" s="791">
        <v>-177</v>
      </c>
      <c r="G213" s="791">
        <v>-448</v>
      </c>
      <c r="H213" s="791">
        <v>-97</v>
      </c>
      <c r="I213" s="791">
        <v>-993</v>
      </c>
      <c r="J213" s="791">
        <v>-206</v>
      </c>
      <c r="K213" s="791">
        <v>187</v>
      </c>
      <c r="L213" s="791">
        <v>426</v>
      </c>
    </row>
    <row r="214" spans="1:13">
      <c r="A214" s="626"/>
      <c r="B214" s="626" t="s">
        <v>632</v>
      </c>
      <c r="C214" s="791">
        <f t="shared" ref="C214:K214" si="31">C175-D175</f>
        <v>4520</v>
      </c>
      <c r="D214" s="791">
        <f t="shared" si="31"/>
        <v>2776</v>
      </c>
      <c r="E214" s="791">
        <f t="shared" si="31"/>
        <v>2139</v>
      </c>
      <c r="F214" s="791">
        <f t="shared" si="31"/>
        <v>713</v>
      </c>
      <c r="G214" s="791">
        <f t="shared" si="31"/>
        <v>-70</v>
      </c>
      <c r="H214" s="791">
        <f t="shared" si="31"/>
        <v>42</v>
      </c>
      <c r="I214" s="791">
        <f t="shared" si="31"/>
        <v>-27</v>
      </c>
      <c r="J214" s="791">
        <f t="shared" si="31"/>
        <v>-3713</v>
      </c>
      <c r="K214" s="791">
        <f t="shared" si="31"/>
        <v>-4608</v>
      </c>
      <c r="L214" s="791"/>
    </row>
    <row r="215" spans="1:13">
      <c r="A215" s="626"/>
      <c r="B215" s="626" t="s">
        <v>607</v>
      </c>
      <c r="C215" s="921">
        <f>C213/C214</f>
        <v>-0.10774336283185841</v>
      </c>
      <c r="D215" s="921">
        <f t="shared" ref="D215:L215" si="32">D213/D214</f>
        <v>-0.18768011527377521</v>
      </c>
      <c r="E215" s="921">
        <f t="shared" si="32"/>
        <v>-0.30341280972417017</v>
      </c>
      <c r="F215" s="921">
        <f t="shared" si="32"/>
        <v>-0.24824684431977559</v>
      </c>
      <c r="G215" s="921">
        <f t="shared" si="32"/>
        <v>6.4</v>
      </c>
      <c r="H215" s="921">
        <f t="shared" si="32"/>
        <v>-2.3095238095238093</v>
      </c>
      <c r="I215" s="921">
        <f t="shared" si="32"/>
        <v>36.777777777777779</v>
      </c>
      <c r="J215" s="921">
        <f t="shared" si="32"/>
        <v>5.5480743334231079E-2</v>
      </c>
      <c r="K215" s="921">
        <f t="shared" si="32"/>
        <v>-4.0581597222222224E-2</v>
      </c>
      <c r="L215" s="921" t="e">
        <f t="shared" si="32"/>
        <v>#DIV/0!</v>
      </c>
    </row>
    <row r="216" spans="1:13">
      <c r="A216" s="626"/>
      <c r="B216" s="947" t="s">
        <v>618</v>
      </c>
      <c r="C216" s="948">
        <f>AVERAGE(C215:E215)</f>
        <v>-0.19961209594326793</v>
      </c>
    </row>
    <row r="217" spans="1:13">
      <c r="A217" s="626"/>
      <c r="B217" s="626"/>
      <c r="C217" s="791"/>
    </row>
    <row r="218" spans="1:13">
      <c r="A218" s="626"/>
      <c r="B218" s="626" t="s">
        <v>633</v>
      </c>
      <c r="C218" s="791">
        <f>Inputs!B72+Inputs!B71</f>
        <v>38</v>
      </c>
      <c r="D218" s="791">
        <f>Inputs!C72+Inputs!C71</f>
        <v>53</v>
      </c>
      <c r="E218" s="791">
        <f>Inputs!D72+Inputs!D71</f>
        <v>-12</v>
      </c>
      <c r="F218" s="791">
        <f>Inputs!E72+Inputs!E71</f>
        <v>124</v>
      </c>
      <c r="G218" s="791">
        <f>Inputs!F72+Inputs!F71</f>
        <v>72</v>
      </c>
      <c r="H218" s="791">
        <f>Inputs!G72+Inputs!G71</f>
        <v>0</v>
      </c>
      <c r="I218" s="791">
        <f>Inputs!H72+Inputs!H71</f>
        <v>0</v>
      </c>
      <c r="J218" s="791">
        <f>Inputs!I72+Inputs!I71</f>
        <v>0</v>
      </c>
      <c r="K218" s="791">
        <f>Inputs!J72+Inputs!J71</f>
        <v>0</v>
      </c>
      <c r="L218" s="791">
        <f>Inputs!K72+Inputs!K71</f>
        <v>0</v>
      </c>
    </row>
    <row r="219" spans="1:13">
      <c r="A219" s="626"/>
      <c r="B219" s="626"/>
      <c r="C219" s="791">
        <f>C175</f>
        <v>36016</v>
      </c>
      <c r="D219" s="791">
        <f t="shared" ref="D219:L219" si="33">D175</f>
        <v>31496</v>
      </c>
      <c r="E219" s="791">
        <f t="shared" si="33"/>
        <v>28720</v>
      </c>
      <c r="F219" s="791">
        <f t="shared" si="33"/>
        <v>26581</v>
      </c>
      <c r="G219" s="791">
        <f t="shared" si="33"/>
        <v>25868</v>
      </c>
      <c r="H219" s="791">
        <f t="shared" si="33"/>
        <v>25938</v>
      </c>
      <c r="I219" s="791">
        <f t="shared" si="33"/>
        <v>25896</v>
      </c>
      <c r="J219" s="791">
        <f t="shared" si="33"/>
        <v>25923</v>
      </c>
      <c r="K219" s="791">
        <f t="shared" si="33"/>
        <v>29636</v>
      </c>
      <c r="L219" s="791">
        <f t="shared" si="33"/>
        <v>34244</v>
      </c>
      <c r="M219" s="791"/>
    </row>
    <row r="220" spans="1:13">
      <c r="A220" s="626"/>
      <c r="B220" s="626"/>
      <c r="C220" s="926">
        <f>C218/C219</f>
        <v>1.0550866281652598E-3</v>
      </c>
      <c r="D220" s="926">
        <f t="shared" ref="D220:L220" si="34">D218/D219</f>
        <v>1.6827533655067309E-3</v>
      </c>
      <c r="E220" s="926">
        <f t="shared" si="34"/>
        <v>-4.1782729805013927E-4</v>
      </c>
      <c r="F220" s="926">
        <f t="shared" si="34"/>
        <v>4.6649862683871939E-3</v>
      </c>
      <c r="G220" s="926">
        <f t="shared" si="34"/>
        <v>2.7833616823875057E-3</v>
      </c>
      <c r="H220" s="926">
        <f t="shared" si="34"/>
        <v>0</v>
      </c>
      <c r="I220" s="926">
        <f t="shared" si="34"/>
        <v>0</v>
      </c>
      <c r="J220" s="926">
        <f t="shared" si="34"/>
        <v>0</v>
      </c>
      <c r="K220" s="926">
        <f t="shared" si="34"/>
        <v>0</v>
      </c>
      <c r="L220" s="926">
        <f t="shared" si="34"/>
        <v>0</v>
      </c>
    </row>
    <row r="221" spans="1:13">
      <c r="A221" s="626"/>
      <c r="B221" s="626"/>
      <c r="C221" s="945">
        <f>AVERAGE(C220:F220)</f>
        <v>1.7462497410022614E-3</v>
      </c>
      <c r="D221" s="633"/>
      <c r="E221" s="633"/>
      <c r="F221" s="633"/>
      <c r="G221" s="633"/>
      <c r="H221" s="633"/>
      <c r="I221" s="633"/>
      <c r="J221" s="633"/>
      <c r="K221" s="633"/>
      <c r="L221" s="633"/>
    </row>
    <row r="222" spans="1:13">
      <c r="A222" s="626"/>
      <c r="B222" s="626"/>
      <c r="C222" s="791"/>
    </row>
    <row r="223" spans="1:13">
      <c r="A223" s="626"/>
      <c r="B223" s="626"/>
      <c r="C223" s="791"/>
    </row>
    <row r="224" spans="1:13">
      <c r="A224" s="626"/>
      <c r="B224" s="626" t="s">
        <v>634</v>
      </c>
      <c r="C224" s="791">
        <f>AVERAGE('Fin. Data'!B68:F68)</f>
        <v>20089.599999999999</v>
      </c>
    </row>
    <row r="225" spans="1:12">
      <c r="A225" s="626"/>
      <c r="B225" s="626"/>
      <c r="C225" s="791"/>
    </row>
    <row r="226" spans="1:12">
      <c r="A226" s="626"/>
      <c r="B226" s="626"/>
      <c r="C226" s="921"/>
      <c r="D226" s="921"/>
      <c r="E226" s="921"/>
      <c r="F226" s="921"/>
      <c r="G226" s="921"/>
      <c r="H226" s="921"/>
      <c r="I226" s="921"/>
      <c r="J226" s="921"/>
      <c r="K226" s="921"/>
      <c r="L226" s="921"/>
    </row>
    <row r="227" spans="1:12">
      <c r="A227" s="626"/>
      <c r="B227" s="626"/>
      <c r="C227" s="978">
        <v>2023</v>
      </c>
      <c r="D227" s="978">
        <f>C227-1</f>
        <v>2022</v>
      </c>
      <c r="E227" s="978">
        <f t="shared" ref="E227:K227" si="35">D227-1</f>
        <v>2021</v>
      </c>
      <c r="F227" s="978">
        <f t="shared" si="35"/>
        <v>2020</v>
      </c>
      <c r="G227" s="978">
        <f t="shared" si="35"/>
        <v>2019</v>
      </c>
      <c r="H227" s="978">
        <f t="shared" si="35"/>
        <v>2018</v>
      </c>
      <c r="I227" s="978">
        <f t="shared" si="35"/>
        <v>2017</v>
      </c>
      <c r="J227" s="978">
        <f t="shared" si="35"/>
        <v>2016</v>
      </c>
      <c r="K227" s="978">
        <f t="shared" si="35"/>
        <v>2015</v>
      </c>
    </row>
    <row r="228" spans="1:12">
      <c r="A228" s="626" t="s">
        <v>635</v>
      </c>
      <c r="B228" s="626" t="s">
        <v>299</v>
      </c>
      <c r="C228" s="977">
        <f>(AVERAGE(Inputs!B30,Inputs!C30)/(Inputs!B6-Inputs!B7))*365</f>
        <v>57.377763796512667</v>
      </c>
      <c r="D228" s="977">
        <f>(AVERAGE(Inputs!C30,Inputs!D30)/(Inputs!C6-Inputs!C7))*365</f>
        <v>55.055613357114545</v>
      </c>
      <c r="E228" s="977">
        <f>(AVERAGE(Inputs!D30,Inputs!E30)/(Inputs!D6-Inputs!D7))*365</f>
        <v>55.953710065269661</v>
      </c>
      <c r="F228" s="977">
        <f>(AVERAGE(Inputs!E30,Inputs!F30)/(Inputs!E6-Inputs!E7))*365</f>
        <v>58.737062286953822</v>
      </c>
      <c r="G228" s="977">
        <f>(AVERAGE(Inputs!F30,Inputs!G30)/(Inputs!F6-Inputs!F7))*365</f>
        <v>60.375056338935032</v>
      </c>
      <c r="H228" s="977">
        <f>(AVERAGE(Inputs!G30,Inputs!H30)/(Inputs!G6-Inputs!G7))*365</f>
        <v>60.290805851405111</v>
      </c>
      <c r="I228" s="977">
        <f>(AVERAGE(Inputs!H30,Inputs!I30)/(Inputs!H6-Inputs!H7))*365</f>
        <v>57.939801654980727</v>
      </c>
      <c r="J228" s="977">
        <f>(AVERAGE(Inputs!I30,Inputs!J30)/(Inputs!I6-Inputs!I7))*365</f>
        <v>58.672681228236783</v>
      </c>
      <c r="K228" s="977">
        <f>(AVERAGE(Inputs!J30,Inputs!K30)/(Inputs!J6-Inputs!J7))*365</f>
        <v>61.313313838004852</v>
      </c>
      <c r="L228" s="977"/>
    </row>
    <row r="229" spans="1:12">
      <c r="A229" s="626"/>
      <c r="B229" s="626" t="s">
        <v>636</v>
      </c>
      <c r="C229" s="624">
        <v>74</v>
      </c>
      <c r="D229" s="624">
        <v>67</v>
      </c>
      <c r="E229" s="624">
        <v>72</v>
      </c>
      <c r="F229" s="624">
        <v>73</v>
      </c>
      <c r="G229" s="624">
        <v>67</v>
      </c>
      <c r="H229" s="624">
        <v>67</v>
      </c>
      <c r="I229" s="624">
        <v>67</v>
      </c>
      <c r="J229" s="624">
        <v>64</v>
      </c>
      <c r="K229" s="624">
        <v>70</v>
      </c>
    </row>
    <row r="230" spans="1:12">
      <c r="A230" s="626"/>
      <c r="B230" s="626" t="s">
        <v>306</v>
      </c>
      <c r="C230" s="624">
        <v>98</v>
      </c>
      <c r="D230" s="624">
        <v>95</v>
      </c>
      <c r="E230" s="624">
        <v>89</v>
      </c>
      <c r="F230" s="624">
        <v>83</v>
      </c>
      <c r="G230" s="624">
        <v>72</v>
      </c>
      <c r="H230" s="624">
        <v>73</v>
      </c>
      <c r="I230" s="624">
        <v>70</v>
      </c>
      <c r="J230" s="624">
        <v>69</v>
      </c>
      <c r="K230" s="624">
        <v>71</v>
      </c>
    </row>
    <row r="231" spans="1:12">
      <c r="A231" s="626"/>
      <c r="B231" s="626" t="s">
        <v>307</v>
      </c>
      <c r="C231" s="624">
        <v>180</v>
      </c>
      <c r="D231" s="624">
        <v>170</v>
      </c>
      <c r="E231" s="624">
        <v>168</v>
      </c>
      <c r="F231" s="624">
        <v>185</v>
      </c>
      <c r="G231" s="624">
        <v>182</v>
      </c>
      <c r="H231" s="624">
        <v>185</v>
      </c>
      <c r="I231" s="624">
        <v>170</v>
      </c>
      <c r="J231" s="624">
        <v>172</v>
      </c>
      <c r="K231" s="624">
        <v>169</v>
      </c>
    </row>
    <row r="232" spans="1:12">
      <c r="A232" s="626"/>
      <c r="B232" s="626"/>
    </row>
    <row r="233" spans="1:12">
      <c r="A233" s="626"/>
      <c r="B233" s="626"/>
    </row>
    <row r="234" spans="1:12">
      <c r="A234" s="626" t="s">
        <v>637</v>
      </c>
      <c r="B234" s="626" t="s">
        <v>299</v>
      </c>
      <c r="C234" s="624">
        <v>34</v>
      </c>
      <c r="D234" s="624">
        <v>31</v>
      </c>
      <c r="E234" s="624">
        <v>29</v>
      </c>
      <c r="F234" s="624">
        <v>31</v>
      </c>
      <c r="G234" s="624">
        <v>32</v>
      </c>
      <c r="H234" s="624">
        <v>35</v>
      </c>
      <c r="I234" s="624">
        <v>37</v>
      </c>
      <c r="J234" s="624">
        <v>37</v>
      </c>
      <c r="K234" s="624">
        <v>40</v>
      </c>
    </row>
    <row r="235" spans="1:12">
      <c r="A235" s="626"/>
      <c r="B235" s="626" t="s">
        <v>636</v>
      </c>
      <c r="C235" s="624">
        <v>25</v>
      </c>
      <c r="D235" s="624">
        <v>24</v>
      </c>
      <c r="E235" s="624">
        <v>26</v>
      </c>
      <c r="F235" s="624">
        <v>27</v>
      </c>
      <c r="G235" s="624">
        <v>27</v>
      </c>
      <c r="H235" s="624">
        <v>28</v>
      </c>
      <c r="I235" s="624">
        <v>28</v>
      </c>
      <c r="J235" s="624">
        <v>29</v>
      </c>
      <c r="K235" s="624">
        <v>30</v>
      </c>
    </row>
    <row r="236" spans="1:12">
      <c r="A236" s="626"/>
      <c r="B236" s="626" t="s">
        <v>306</v>
      </c>
      <c r="C236" s="624">
        <v>35</v>
      </c>
      <c r="D236" s="624">
        <v>33</v>
      </c>
      <c r="E236" s="624">
        <v>35</v>
      </c>
      <c r="F236" s="624">
        <v>38</v>
      </c>
      <c r="G236" s="624">
        <v>36</v>
      </c>
      <c r="H236" s="624">
        <v>37</v>
      </c>
      <c r="I236" s="624">
        <v>40</v>
      </c>
      <c r="J236" s="624">
        <v>40</v>
      </c>
      <c r="K236" s="624">
        <v>41</v>
      </c>
    </row>
    <row r="237" spans="1:12">
      <c r="A237" s="626"/>
      <c r="B237" s="626" t="s">
        <v>307</v>
      </c>
      <c r="C237" s="624">
        <v>68</v>
      </c>
      <c r="D237" s="624">
        <v>68</v>
      </c>
      <c r="E237" s="624">
        <v>68</v>
      </c>
      <c r="F237" s="624">
        <v>82</v>
      </c>
      <c r="G237" s="624">
        <v>81</v>
      </c>
      <c r="H237" s="624">
        <v>88</v>
      </c>
      <c r="I237" s="624">
        <v>91</v>
      </c>
      <c r="J237" s="624">
        <v>89</v>
      </c>
      <c r="K237" s="624">
        <v>91</v>
      </c>
    </row>
    <row r="238" spans="1:12">
      <c r="A238" s="626"/>
      <c r="B238" s="626"/>
    </row>
    <row r="239" spans="1:12">
      <c r="A239" s="626"/>
      <c r="B239" s="626"/>
    </row>
    <row r="240" spans="1:12">
      <c r="A240" s="626" t="s">
        <v>638</v>
      </c>
      <c r="B240" s="626" t="s">
        <v>299</v>
      </c>
      <c r="C240" s="977">
        <f>(AVERAGE(Inputs!B43,Inputs!C43)/(Inputs!B6-Inputs!B7))*365</f>
        <v>130.26458295883518</v>
      </c>
      <c r="D240" s="977">
        <f>(AVERAGE(Inputs!C43,Inputs!D43)/(Inputs!C6-Inputs!C7))*365</f>
        <v>129.22562425683711</v>
      </c>
      <c r="E240" s="977">
        <f>(AVERAGE(Inputs!D43,Inputs!E43)/(Inputs!D6-Inputs!D7))*365</f>
        <v>135.19795602885605</v>
      </c>
      <c r="F240" s="977">
        <f>(AVERAGE(Inputs!E43,Inputs!F43)/(Inputs!E6-Inputs!E7))*365</f>
        <v>136.43105051131081</v>
      </c>
      <c r="G240" s="977">
        <f>(AVERAGE(Inputs!F43,Inputs!G43)/(Inputs!F6-Inputs!F7))*365</f>
        <v>136.86031163479493</v>
      </c>
      <c r="H240" s="977">
        <f>(AVERAGE(Inputs!G43,Inputs!H43)/(Inputs!G6-Inputs!G7))*365</f>
        <v>134.64439240343899</v>
      </c>
      <c r="I240" s="977">
        <f>(AVERAGE(Inputs!H43,Inputs!I43)/(Inputs!H6-Inputs!H7))*365</f>
        <v>127.07330553976375</v>
      </c>
      <c r="J240" s="977">
        <f>(AVERAGE(Inputs!I43,Inputs!J43)/(Inputs!I6-Inputs!I7))*365</f>
        <v>117.94618550174106</v>
      </c>
      <c r="K240" s="977">
        <f>(AVERAGE(Inputs!J43,Inputs!K43)/(Inputs!J6-Inputs!J7))*365</f>
        <v>102.59835025380711</v>
      </c>
    </row>
    <row r="241" spans="1:11">
      <c r="A241" s="626"/>
      <c r="B241" s="626" t="s">
        <v>636</v>
      </c>
      <c r="C241" s="624">
        <v>59</v>
      </c>
      <c r="D241" s="624">
        <v>50</v>
      </c>
      <c r="E241" s="624">
        <v>57</v>
      </c>
      <c r="F241" s="624">
        <v>45</v>
      </c>
      <c r="G241" s="624">
        <v>44</v>
      </c>
      <c r="H241" s="624">
        <v>44</v>
      </c>
      <c r="I241" s="624">
        <v>47</v>
      </c>
      <c r="J241" s="624">
        <v>43</v>
      </c>
      <c r="K241" s="624">
        <v>44</v>
      </c>
    </row>
    <row r="242" spans="1:11">
      <c r="A242" s="626"/>
      <c r="B242" s="626" t="s">
        <v>306</v>
      </c>
      <c r="C242" s="624">
        <v>116</v>
      </c>
      <c r="D242" s="624">
        <v>105</v>
      </c>
      <c r="E242" s="624">
        <v>113</v>
      </c>
      <c r="F242" s="624">
        <v>116</v>
      </c>
      <c r="G242" s="624">
        <v>105</v>
      </c>
      <c r="H242" s="624">
        <v>103</v>
      </c>
      <c r="I242" s="624">
        <v>99</v>
      </c>
      <c r="J242" s="979" t="s">
        <v>639</v>
      </c>
      <c r="K242" s="979" t="s">
        <v>639</v>
      </c>
    </row>
    <row r="243" spans="1:11">
      <c r="A243" s="626"/>
      <c r="B243" s="626" t="s">
        <v>307</v>
      </c>
      <c r="C243" s="624">
        <v>58</v>
      </c>
      <c r="D243" s="624">
        <v>52</v>
      </c>
      <c r="E243" s="624">
        <v>47</v>
      </c>
      <c r="F243" s="624">
        <v>56</v>
      </c>
      <c r="G243" s="624">
        <v>54</v>
      </c>
      <c r="H243" s="624">
        <v>53</v>
      </c>
      <c r="I243" s="624">
        <v>46</v>
      </c>
      <c r="J243" s="624">
        <v>48</v>
      </c>
      <c r="K243" s="624">
        <v>49</v>
      </c>
    </row>
    <row r="244" spans="1:11">
      <c r="A244" s="626"/>
      <c r="B244" s="626"/>
    </row>
    <row r="245" spans="1:11">
      <c r="A245" s="626" t="s">
        <v>640</v>
      </c>
      <c r="B245" s="626" t="s">
        <v>299</v>
      </c>
      <c r="C245" s="977">
        <f>C228-C240+C234</f>
        <v>-38.88681916232251</v>
      </c>
      <c r="D245" s="977">
        <f t="shared" ref="D245:K245" si="36">D228-D240+D234</f>
        <v>-43.17001089972257</v>
      </c>
      <c r="E245" s="977">
        <f t="shared" si="36"/>
        <v>-50.244245963586394</v>
      </c>
      <c r="F245" s="977">
        <f t="shared" si="36"/>
        <v>-46.693988224356985</v>
      </c>
      <c r="G245" s="977">
        <f t="shared" si="36"/>
        <v>-44.485255295859901</v>
      </c>
      <c r="H245" s="977">
        <f t="shared" si="36"/>
        <v>-39.353586552033875</v>
      </c>
      <c r="I245" s="977">
        <f t="shared" si="36"/>
        <v>-32.133503884783025</v>
      </c>
      <c r="J245" s="977">
        <f t="shared" si="36"/>
        <v>-22.273504273504273</v>
      </c>
      <c r="K245" s="977">
        <f t="shared" si="36"/>
        <v>-1.28503641580226</v>
      </c>
    </row>
    <row r="246" spans="1:11">
      <c r="A246" s="626"/>
      <c r="B246" s="626" t="s">
        <v>636</v>
      </c>
      <c r="C246" s="977">
        <f>C229-C241+C235</f>
        <v>40</v>
      </c>
      <c r="D246" s="977">
        <f t="shared" ref="D246:K246" si="37">D229-D241+D235</f>
        <v>41</v>
      </c>
      <c r="E246" s="977">
        <f t="shared" si="37"/>
        <v>41</v>
      </c>
      <c r="F246" s="977">
        <f t="shared" si="37"/>
        <v>55</v>
      </c>
      <c r="G246" s="977">
        <f t="shared" si="37"/>
        <v>50</v>
      </c>
      <c r="H246" s="977">
        <f t="shared" si="37"/>
        <v>51</v>
      </c>
      <c r="I246" s="977">
        <f t="shared" si="37"/>
        <v>48</v>
      </c>
      <c r="J246" s="977">
        <f t="shared" si="37"/>
        <v>50</v>
      </c>
      <c r="K246" s="977">
        <f t="shared" si="37"/>
        <v>56</v>
      </c>
    </row>
    <row r="247" spans="1:11">
      <c r="A247" s="626"/>
      <c r="B247" s="626" t="s">
        <v>306</v>
      </c>
      <c r="C247" s="977">
        <f t="shared" ref="C247:K247" si="38">C230-C242+C236</f>
        <v>17</v>
      </c>
      <c r="D247" s="977">
        <f t="shared" si="38"/>
        <v>23</v>
      </c>
      <c r="E247" s="977">
        <f t="shared" si="38"/>
        <v>11</v>
      </c>
      <c r="F247" s="977">
        <f t="shared" si="38"/>
        <v>5</v>
      </c>
      <c r="G247" s="977">
        <f t="shared" si="38"/>
        <v>3</v>
      </c>
      <c r="H247" s="977">
        <f t="shared" si="38"/>
        <v>7</v>
      </c>
      <c r="I247" s="977">
        <f t="shared" si="38"/>
        <v>11</v>
      </c>
      <c r="J247" s="977" t="e">
        <f t="shared" si="38"/>
        <v>#VALUE!</v>
      </c>
      <c r="K247" s="977" t="e">
        <f t="shared" si="38"/>
        <v>#VALUE!</v>
      </c>
    </row>
    <row r="248" spans="1:11">
      <c r="A248" s="626"/>
      <c r="B248" s="626" t="s">
        <v>307</v>
      </c>
      <c r="C248" s="977">
        <f t="shared" ref="C248:K248" si="39">C231-C243+C237</f>
        <v>190</v>
      </c>
      <c r="D248" s="977">
        <f t="shared" si="39"/>
        <v>186</v>
      </c>
      <c r="E248" s="977">
        <f t="shared" si="39"/>
        <v>189</v>
      </c>
      <c r="F248" s="977">
        <f t="shared" si="39"/>
        <v>211</v>
      </c>
      <c r="G248" s="977">
        <f t="shared" si="39"/>
        <v>209</v>
      </c>
      <c r="H248" s="977">
        <f t="shared" si="39"/>
        <v>220</v>
      </c>
      <c r="I248" s="977">
        <f t="shared" si="39"/>
        <v>215</v>
      </c>
      <c r="J248" s="977">
        <f t="shared" si="39"/>
        <v>213</v>
      </c>
      <c r="K248" s="977">
        <f t="shared" si="39"/>
        <v>211</v>
      </c>
    </row>
    <row r="249" spans="1:11">
      <c r="A249" s="626"/>
    </row>
    <row r="250" spans="1:11">
      <c r="A250" s="626"/>
      <c r="B250" s="624" t="s">
        <v>641</v>
      </c>
      <c r="C250" s="977">
        <f>AVERAGE(C245:K245)</f>
        <v>-35.391772296885755</v>
      </c>
    </row>
    <row r="251" spans="1:11">
      <c r="A251" s="626"/>
      <c r="B251" s="626"/>
      <c r="C251" s="791"/>
    </row>
    <row r="252" spans="1:11">
      <c r="A252" s="626"/>
      <c r="B252" s="626"/>
      <c r="C252" s="791"/>
    </row>
    <row r="253" spans="1:11">
      <c r="A253" s="626"/>
      <c r="B253" s="626"/>
      <c r="C253" s="791"/>
    </row>
    <row r="254" spans="1:11">
      <c r="A254" s="626"/>
      <c r="B254" s="626"/>
      <c r="C254" s="791"/>
    </row>
    <row r="255" spans="1:11">
      <c r="A255" s="626"/>
      <c r="B255" s="626"/>
      <c r="C255" s="791"/>
    </row>
    <row r="256" spans="1:11">
      <c r="A256" s="626"/>
      <c r="B256" s="626"/>
      <c r="C256" s="791"/>
    </row>
    <row r="257" spans="1:18">
      <c r="A257" s="626"/>
      <c r="B257" s="626"/>
      <c r="C257" s="791"/>
    </row>
    <row r="258" spans="1:18">
      <c r="A258" s="626"/>
      <c r="B258" s="626"/>
      <c r="C258" s="791"/>
    </row>
    <row r="259" spans="1:18">
      <c r="A259" s="626"/>
      <c r="B259" s="626"/>
      <c r="C259" s="791"/>
    </row>
    <row r="260" spans="1:18">
      <c r="A260" s="626"/>
      <c r="B260" s="626"/>
      <c r="C260" s="791"/>
    </row>
    <row r="261" spans="1:18">
      <c r="A261" s="626"/>
      <c r="B261" s="626"/>
      <c r="C261" s="791"/>
    </row>
    <row r="262" spans="1:18" ht="14.45" customHeight="1">
      <c r="A262" s="626"/>
      <c r="B262" s="626"/>
      <c r="C262" s="626"/>
      <c r="D262" s="626"/>
    </row>
    <row r="263" spans="1:18">
      <c r="A263" s="626"/>
      <c r="B263" s="626"/>
      <c r="C263" s="626"/>
      <c r="D263" s="626"/>
    </row>
    <row r="264" spans="1:18">
      <c r="A264" s="626"/>
      <c r="B264" s="626"/>
      <c r="C264" s="626"/>
      <c r="D264" s="626"/>
    </row>
    <row r="265" spans="1:18" ht="14.45">
      <c r="A265" s="626"/>
      <c r="B265" s="626"/>
      <c r="C265" s="626"/>
      <c r="D265" s="626"/>
      <c r="K265" s="234"/>
      <c r="L265" s="234"/>
      <c r="M265" s="234"/>
      <c r="N265" s="234"/>
      <c r="O265" s="234"/>
      <c r="P265" s="234"/>
      <c r="Q265" s="234"/>
      <c r="R265" s="234"/>
    </row>
    <row r="266" spans="1:18" ht="14.45">
      <c r="A266" s="626"/>
      <c r="B266" s="626"/>
      <c r="C266" s="626"/>
      <c r="D266" s="626"/>
      <c r="K266" s="234"/>
      <c r="L266" s="234"/>
      <c r="M266" s="234"/>
      <c r="N266" s="234"/>
      <c r="O266" s="234"/>
      <c r="P266" s="234"/>
      <c r="Q266" s="234"/>
      <c r="R266" s="234"/>
    </row>
    <row r="267" spans="1:18" ht="14.45">
      <c r="A267" s="626"/>
      <c r="B267" s="626"/>
      <c r="C267" s="626"/>
      <c r="D267" s="626"/>
      <c r="K267" s="942"/>
      <c r="L267" s="942"/>
      <c r="M267" s="942"/>
    </row>
    <row r="268" spans="1:18" ht="14.45">
      <c r="A268" s="626"/>
      <c r="B268" s="626"/>
      <c r="C268" s="626"/>
      <c r="D268" s="626"/>
      <c r="K268" s="943"/>
      <c r="L268" s="234"/>
      <c r="M268" s="234"/>
      <c r="O268" s="234"/>
      <c r="P268" s="234"/>
      <c r="Q268" s="234"/>
      <c r="R268" s="234"/>
    </row>
    <row r="269" spans="1:18" ht="14.45">
      <c r="A269" s="626"/>
      <c r="B269" s="626"/>
      <c r="C269" s="626"/>
      <c r="D269" s="626"/>
      <c r="K269" s="943"/>
      <c r="L269" s="234"/>
      <c r="M269" s="234"/>
      <c r="O269" s="234"/>
      <c r="P269" s="234"/>
      <c r="Q269" s="234"/>
      <c r="R269" s="234"/>
    </row>
    <row r="270" spans="1:18" ht="14.45">
      <c r="A270" s="626"/>
      <c r="B270" s="943"/>
      <c r="C270" s="741"/>
      <c r="D270" s="234"/>
      <c r="K270" s="234"/>
      <c r="L270" s="234"/>
      <c r="M270" s="234"/>
      <c r="O270" s="624" t="s">
        <v>642</v>
      </c>
    </row>
    <row r="271" spans="1:18" ht="14.45">
      <c r="A271" s="626"/>
      <c r="B271" s="943"/>
      <c r="C271" s="741"/>
      <c r="D271" s="234"/>
      <c r="K271" s="942"/>
      <c r="L271" s="942"/>
      <c r="M271" s="942"/>
    </row>
    <row r="272" spans="1:18" ht="14.45">
      <c r="A272" s="626"/>
      <c r="B272" s="943"/>
      <c r="C272" s="741"/>
      <c r="D272" s="234"/>
      <c r="K272" s="943"/>
      <c r="L272" s="234"/>
      <c r="M272" s="234"/>
      <c r="O272" s="1259" t="s">
        <v>643</v>
      </c>
      <c r="P272" s="1259"/>
      <c r="Q272" s="1259"/>
      <c r="R272" s="1259"/>
    </row>
    <row r="273" spans="1:18" ht="14.45">
      <c r="A273" s="626"/>
      <c r="B273" s="943"/>
      <c r="C273" s="741"/>
      <c r="D273" s="234"/>
      <c r="K273" s="234"/>
      <c r="L273" s="234"/>
      <c r="M273" s="234"/>
      <c r="O273" s="624" t="s">
        <v>644</v>
      </c>
      <c r="P273" s="624">
        <v>11275</v>
      </c>
      <c r="Q273" s="921">
        <f>P273/$P$278</f>
        <v>0.55440822146825985</v>
      </c>
      <c r="R273" s="926">
        <v>2.998E-2</v>
      </c>
    </row>
    <row r="274" spans="1:18" ht="14.45">
      <c r="A274" s="626"/>
      <c r="B274" s="943"/>
      <c r="C274" s="741"/>
      <c r="D274" s="234"/>
      <c r="K274" s="942"/>
      <c r="L274" s="942"/>
      <c r="M274" s="942"/>
      <c r="O274" s="624" t="s">
        <v>645</v>
      </c>
      <c r="P274" s="624">
        <v>7666</v>
      </c>
      <c r="Q274" s="921">
        <f>P274/$P$278</f>
        <v>0.37694841913753258</v>
      </c>
      <c r="R274" s="926">
        <v>7.1199999999999996E-3</v>
      </c>
    </row>
    <row r="275" spans="1:18" ht="14.45">
      <c r="A275" s="626"/>
      <c r="B275" s="943"/>
      <c r="C275" s="741"/>
      <c r="D275" s="234"/>
      <c r="K275" s="943"/>
      <c r="L275" s="234"/>
      <c r="M275" s="234"/>
      <c r="O275" s="624" t="s">
        <v>646</v>
      </c>
      <c r="P275" s="624">
        <v>316</v>
      </c>
      <c r="Q275" s="921">
        <f>P275/$P$278</f>
        <v>1.5538181639376506E-2</v>
      </c>
      <c r="R275" s="926">
        <v>4.1509999999999998E-2</v>
      </c>
    </row>
    <row r="276" spans="1:18" ht="14.45">
      <c r="A276" s="626"/>
      <c r="B276" s="943"/>
      <c r="C276" s="741"/>
      <c r="D276" s="234"/>
      <c r="K276" s="234"/>
      <c r="L276" s="234"/>
      <c r="M276" s="234"/>
      <c r="O276" s="624" t="s">
        <v>647</v>
      </c>
      <c r="P276" s="624">
        <v>638</v>
      </c>
      <c r="Q276" s="921">
        <f>P276/$P$278</f>
        <v>3.137139204405763E-2</v>
      </c>
      <c r="R276" s="945">
        <v>0.04</v>
      </c>
    </row>
    <row r="277" spans="1:18" ht="14.45">
      <c r="A277" s="626"/>
      <c r="B277" s="943"/>
      <c r="C277" s="741"/>
      <c r="D277" s="234"/>
      <c r="K277" s="942"/>
      <c r="L277" s="942"/>
      <c r="M277" s="942"/>
      <c r="O277" s="624" t="s">
        <v>647</v>
      </c>
      <c r="P277" s="624">
        <v>442</v>
      </c>
      <c r="Q277" s="921">
        <f>P277/$P$278</f>
        <v>2.1733785710773466E-2</v>
      </c>
      <c r="R277" s="945">
        <v>0.04</v>
      </c>
    </row>
    <row r="278" spans="1:18" ht="14.45">
      <c r="A278" s="626"/>
      <c r="B278" s="943"/>
      <c r="C278" s="741"/>
      <c r="D278" s="234"/>
      <c r="K278" s="943"/>
      <c r="L278" s="234"/>
      <c r="M278" s="234"/>
      <c r="P278" s="624">
        <f>SUM(P273:P277)</f>
        <v>20337</v>
      </c>
    </row>
    <row r="279" spans="1:18" ht="14.45">
      <c r="A279" s="626"/>
      <c r="B279" s="943"/>
      <c r="C279" s="741"/>
      <c r="D279" s="234"/>
      <c r="K279" s="234"/>
      <c r="L279" s="234"/>
      <c r="M279" s="234"/>
      <c r="R279" s="945">
        <f>SUMPRODUCT(Q273:Q277,R273:R277)</f>
        <v>2.207422825392142E-2</v>
      </c>
    </row>
    <row r="280" spans="1:18" ht="14.45">
      <c r="A280" s="626"/>
      <c r="B280" s="943"/>
      <c r="C280" s="741"/>
      <c r="D280" s="234"/>
      <c r="K280" s="942"/>
      <c r="L280" s="942"/>
      <c r="M280" s="942"/>
      <c r="P280" s="944"/>
    </row>
    <row r="281" spans="1:18" ht="14.45">
      <c r="B281" s="943"/>
      <c r="C281" s="741"/>
      <c r="D281" s="234"/>
      <c r="K281" s="943"/>
      <c r="L281" s="234"/>
      <c r="M281" s="234"/>
      <c r="O281" s="624" t="s">
        <v>648</v>
      </c>
    </row>
    <row r="282" spans="1:18" ht="14.45">
      <c r="B282" s="943"/>
      <c r="C282" s="741"/>
      <c r="D282" s="234"/>
      <c r="K282" s="234"/>
      <c r="L282" s="234"/>
      <c r="M282" s="234"/>
      <c r="O282" s="234"/>
      <c r="P282" s="234"/>
      <c r="Q282" s="234"/>
      <c r="R282" s="234"/>
    </row>
    <row r="283" spans="1:18" ht="14.45">
      <c r="B283" s="943"/>
      <c r="C283" s="741"/>
      <c r="D283" s="234"/>
      <c r="K283" s="942"/>
      <c r="L283" s="942"/>
      <c r="M283" s="942"/>
    </row>
    <row r="284" spans="1:18" ht="14.45">
      <c r="B284" s="943"/>
      <c r="C284" s="741"/>
      <c r="D284" s="234"/>
      <c r="K284" s="943"/>
      <c r="L284" s="234"/>
      <c r="M284" s="234"/>
      <c r="O284" s="234"/>
      <c r="P284" s="234"/>
      <c r="Q284" s="234"/>
      <c r="R284" s="234"/>
    </row>
    <row r="285" spans="1:18" ht="14.45">
      <c r="B285" s="943"/>
      <c r="C285" s="741"/>
      <c r="D285" s="234"/>
      <c r="K285" s="234"/>
      <c r="L285" s="234"/>
      <c r="M285" s="234"/>
      <c r="O285" s="234"/>
      <c r="P285" s="234"/>
      <c r="Q285" s="234"/>
      <c r="R285" s="234"/>
    </row>
    <row r="286" spans="1:18" ht="14.45">
      <c r="B286" s="943"/>
      <c r="C286" s="741"/>
      <c r="D286" s="234"/>
    </row>
    <row r="287" spans="1:18" ht="14.45">
      <c r="B287" s="943"/>
      <c r="C287" s="741"/>
      <c r="D287" s="234"/>
    </row>
    <row r="288" spans="1:18" ht="14.45">
      <c r="B288" s="943"/>
      <c r="C288" s="741"/>
      <c r="D288" s="234"/>
    </row>
    <row r="289" spans="2:4" ht="14.45">
      <c r="B289" s="943"/>
      <c r="C289" s="741"/>
      <c r="D289" s="234"/>
    </row>
    <row r="290" spans="2:4" ht="14.45">
      <c r="B290" s="943"/>
      <c r="C290" s="741"/>
      <c r="D290" s="234"/>
    </row>
    <row r="291" spans="2:4" ht="14.45">
      <c r="B291" s="943"/>
      <c r="C291" s="741"/>
      <c r="D291" s="234"/>
    </row>
    <row r="292" spans="2:4" ht="14.45">
      <c r="B292" s="943"/>
      <c r="C292" s="741"/>
      <c r="D292" s="234"/>
    </row>
    <row r="293" spans="2:4" ht="14.45">
      <c r="B293" s="943"/>
      <c r="C293" s="741"/>
      <c r="D293" s="234"/>
    </row>
    <row r="294" spans="2:4" ht="14.45">
      <c r="B294" s="943"/>
      <c r="C294" s="741"/>
      <c r="D294" s="234"/>
    </row>
    <row r="295" spans="2:4" ht="14.45">
      <c r="B295" s="943"/>
      <c r="C295" s="741"/>
      <c r="D295" s="234"/>
    </row>
    <row r="296" spans="2:4" ht="14.45">
      <c r="B296" s="943"/>
      <c r="C296" s="741"/>
      <c r="D296" s="234"/>
    </row>
    <row r="297" spans="2:4" ht="14.45">
      <c r="B297" s="943"/>
      <c r="C297" s="741"/>
      <c r="D297" s="234"/>
    </row>
    <row r="298" spans="2:4" ht="14.45">
      <c r="B298" s="943"/>
      <c r="C298" s="741"/>
      <c r="D298" s="234"/>
    </row>
    <row r="299" spans="2:4" ht="14.45">
      <c r="B299" s="943"/>
      <c r="C299" s="741"/>
      <c r="D299" s="234"/>
    </row>
    <row r="300" spans="2:4" ht="14.45">
      <c r="B300" s="943"/>
      <c r="C300" s="741"/>
      <c r="D300" s="234"/>
    </row>
    <row r="301" spans="2:4" ht="14.45">
      <c r="B301" s="943"/>
      <c r="C301" s="741"/>
      <c r="D301" s="234"/>
    </row>
    <row r="302" spans="2:4" ht="14.45">
      <c r="B302" s="943"/>
      <c r="C302" s="741"/>
      <c r="D302" s="234"/>
    </row>
    <row r="303" spans="2:4" ht="14.45">
      <c r="B303" s="943"/>
      <c r="C303" s="741"/>
      <c r="D303" s="234"/>
    </row>
    <row r="304" spans="2:4" ht="14.45">
      <c r="B304" s="943"/>
      <c r="C304" s="741"/>
      <c r="D304" s="234"/>
    </row>
    <row r="305" spans="2:4" ht="14.45">
      <c r="B305" s="943"/>
      <c r="C305" s="741"/>
      <c r="D305" s="234"/>
    </row>
    <row r="306" spans="2:4" ht="14.45">
      <c r="B306" s="943"/>
      <c r="C306" s="741"/>
      <c r="D306" s="234"/>
    </row>
    <row r="307" spans="2:4" ht="14.45">
      <c r="B307" s="943"/>
      <c r="C307" s="741"/>
      <c r="D307" s="234"/>
    </row>
    <row r="308" spans="2:4" ht="14.45">
      <c r="B308" s="943"/>
      <c r="C308" s="741"/>
      <c r="D308" s="234"/>
    </row>
    <row r="309" spans="2:4" ht="14.45">
      <c r="B309" s="943"/>
      <c r="C309" s="741"/>
      <c r="D309" s="234"/>
    </row>
    <row r="310" spans="2:4" ht="14.45">
      <c r="B310" s="943"/>
      <c r="C310" s="741"/>
      <c r="D310" s="234"/>
    </row>
    <row r="311" spans="2:4" ht="14.45">
      <c r="B311" s="943"/>
      <c r="C311" s="741"/>
      <c r="D311" s="234"/>
    </row>
    <row r="312" spans="2:4" ht="14.45">
      <c r="B312" s="943"/>
      <c r="C312" s="741"/>
      <c r="D312" s="234"/>
    </row>
  </sheetData>
  <mergeCells count="4">
    <mergeCell ref="O272:R272"/>
    <mergeCell ref="C15:G15"/>
    <mergeCell ref="P6:Y6"/>
    <mergeCell ref="AE6:AF6"/>
  </mergeCells>
  <hyperlinks>
    <hyperlink ref="U73" r:id="rId1" xr:uid="{C630EB2C-AA8B-4BA3-8DA4-A2F14BD02F3E}"/>
    <hyperlink ref="B108" r:id="rId2" xr:uid="{4A6C4AB5-69B3-4AD3-90D1-4046F9A73BFC}"/>
    <hyperlink ref="B107" r:id="rId3" xr:uid="{D858A925-0AEE-4A6A-BFE4-3C5C9AD0A127}"/>
    <hyperlink ref="B74" r:id="rId4" xr:uid="{885A63D5-413F-4355-8F0C-21000603CCCC}"/>
    <hyperlink ref="B109" r:id="rId5" xr:uid="{61A2694E-CD0D-490A-BEE6-20372F4DDF6D}"/>
    <hyperlink ref="B57" r:id="rId6" xr:uid="{385CE563-A2E0-4055-83D5-571BD6F140C6}"/>
    <hyperlink ref="S85" r:id="rId7" xr:uid="{3A0CFE2F-FE21-4264-A336-83DEA8C2A7AD}"/>
  </hyperlinks>
  <pageMargins left="0.7" right="0.7" top="0.75" bottom="0.75" header="0.3" footer="0.3"/>
  <pageSetup paperSize="9" orientation="portrait" r:id="rId8"/>
  <drawing r:id="rId9"/>
  <legacyDrawing r:id="rId1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4">
    <tabColor rgb="FF0070C0"/>
  </sheetPr>
  <dimension ref="A1:AN88"/>
  <sheetViews>
    <sheetView showGridLines="0" topLeftCell="P5" zoomScale="80" zoomScaleNormal="80" workbookViewId="0">
      <selection activeCell="R23" sqref="R23"/>
    </sheetView>
  </sheetViews>
  <sheetFormatPr defaultColWidth="11.42578125" defaultRowHeight="13.15" outlineLevelCol="1"/>
  <cols>
    <col min="1" max="1" width="24.42578125" bestFit="1" customWidth="1"/>
    <col min="2" max="2" width="11.42578125" customWidth="1" outlineLevel="1"/>
    <col min="3" max="3" width="32.140625" customWidth="1" outlineLevel="1"/>
    <col min="4" max="4" width="20" customWidth="1" outlineLevel="1"/>
    <col min="5" max="5" width="24" customWidth="1"/>
    <col min="6" max="6" width="27.28515625" customWidth="1"/>
    <col min="7" max="7" width="14.140625" style="2" customWidth="1"/>
    <col min="8" max="8" width="15.140625" style="2" customWidth="1"/>
    <col min="9" max="9" width="14.85546875" style="2" bestFit="1" customWidth="1"/>
    <col min="10" max="10" width="18.85546875" style="2" bestFit="1" customWidth="1"/>
    <col min="11" max="11" width="14.42578125" style="2" bestFit="1" customWidth="1"/>
    <col min="12" max="12" width="19" style="2" customWidth="1"/>
    <col min="13" max="14" width="24.28515625" style="2" bestFit="1" customWidth="1"/>
    <col min="15" max="15" width="23.140625" style="2" bestFit="1" customWidth="1"/>
    <col min="16" max="25" width="24.28515625" style="2" bestFit="1" customWidth="1"/>
    <col min="26" max="28" width="23.140625" style="2" bestFit="1" customWidth="1"/>
    <col min="29" max="30" width="24.28515625" style="2" bestFit="1" customWidth="1"/>
    <col min="31" max="32" width="23.140625" style="2" bestFit="1" customWidth="1"/>
    <col min="33" max="33" width="14.42578125" customWidth="1"/>
  </cols>
  <sheetData>
    <row r="1" spans="1:40" ht="21" customHeight="1">
      <c r="A1" s="1271" t="s">
        <v>649</v>
      </c>
      <c r="B1" s="1271"/>
      <c r="C1" s="1271"/>
      <c r="D1" s="1271"/>
      <c r="E1" s="1271"/>
      <c r="F1" s="1271"/>
      <c r="G1" s="1271"/>
      <c r="H1" s="1271"/>
      <c r="I1" s="1271"/>
      <c r="J1" s="1271"/>
      <c r="K1" s="1271"/>
      <c r="L1" s="1271"/>
      <c r="M1" s="1271"/>
      <c r="N1" s="1271"/>
      <c r="O1" s="1271"/>
      <c r="P1" s="1271"/>
      <c r="Q1" s="1271"/>
      <c r="R1" s="1271"/>
      <c r="S1" s="1271"/>
      <c r="T1" s="1271"/>
      <c r="U1" s="1271"/>
      <c r="V1" s="1271"/>
      <c r="W1" s="1271"/>
      <c r="X1" s="1271"/>
      <c r="Y1" s="1271"/>
      <c r="Z1" s="1271"/>
      <c r="AA1" s="1271"/>
      <c r="AB1" s="1271"/>
      <c r="AC1" s="1271"/>
      <c r="AD1" s="1271"/>
      <c r="AE1" s="1271"/>
      <c r="AF1" s="1271"/>
      <c r="AG1" s="11"/>
      <c r="AH1" s="11"/>
      <c r="AI1" s="11"/>
      <c r="AJ1" s="11"/>
      <c r="AK1" s="11"/>
      <c r="AL1" s="11"/>
      <c r="AM1" s="11"/>
      <c r="AN1" s="11"/>
    </row>
    <row r="2" spans="1:40" ht="3.75" customHeight="1" thickBot="1">
      <c r="A2" s="1272"/>
      <c r="B2" s="1272"/>
      <c r="C2" s="1272"/>
      <c r="D2" s="1272"/>
      <c r="E2" s="1272"/>
      <c r="F2" s="1272"/>
      <c r="G2" s="1272"/>
      <c r="H2" s="1272"/>
      <c r="I2" s="1272"/>
      <c r="J2" s="1272"/>
      <c r="K2" s="1272"/>
      <c r="L2" s="1272"/>
      <c r="M2" s="1272"/>
      <c r="N2" s="1272"/>
      <c r="O2" s="1272"/>
      <c r="P2" s="1272"/>
      <c r="Q2" s="1272"/>
      <c r="R2" s="1272"/>
      <c r="S2" s="1272"/>
      <c r="T2" s="1272"/>
      <c r="U2" s="1272"/>
      <c r="V2" s="1272"/>
      <c r="W2" s="1272"/>
      <c r="X2" s="1272"/>
      <c r="Y2" s="1272"/>
      <c r="Z2" s="1272"/>
      <c r="AA2" s="1272"/>
      <c r="AB2" s="1272"/>
      <c r="AC2" s="1272"/>
      <c r="AD2" s="1272"/>
      <c r="AE2" s="1272"/>
      <c r="AF2" s="1272"/>
      <c r="AG2" s="507"/>
      <c r="AH2" s="11"/>
      <c r="AI2" s="11"/>
      <c r="AJ2" s="11"/>
      <c r="AK2" s="11"/>
      <c r="AL2" s="11"/>
      <c r="AM2" s="11"/>
      <c r="AN2" s="11"/>
    </row>
    <row r="3" spans="1:40" ht="18.600000000000001" thickBot="1">
      <c r="A3" s="234"/>
      <c r="B3" s="234"/>
      <c r="C3" s="234"/>
      <c r="D3" s="234"/>
      <c r="E3" s="234"/>
      <c r="F3" s="234"/>
      <c r="G3" s="1278" t="s">
        <v>650</v>
      </c>
      <c r="H3" s="1279"/>
      <c r="I3" s="1279"/>
      <c r="J3" s="1279"/>
      <c r="K3" s="1280" t="s">
        <v>651</v>
      </c>
      <c r="L3" s="1281"/>
      <c r="M3" s="1281"/>
      <c r="N3" s="1281"/>
      <c r="O3" s="1281"/>
      <c r="P3" s="1281"/>
      <c r="Q3" s="1281"/>
      <c r="R3" s="1281"/>
      <c r="S3" s="1281"/>
      <c r="T3" s="1281"/>
      <c r="U3" s="1281"/>
      <c r="V3" s="1281"/>
      <c r="W3" s="1281"/>
      <c r="X3" s="1281"/>
      <c r="Y3" s="1281"/>
      <c r="Z3" s="1281"/>
      <c r="AA3" s="1281"/>
      <c r="AB3" s="1281"/>
      <c r="AC3" s="1281"/>
      <c r="AD3" s="1281"/>
      <c r="AE3" s="1281"/>
      <c r="AF3" s="1282"/>
      <c r="AG3" s="507"/>
      <c r="AH3" s="11"/>
      <c r="AI3" s="11"/>
      <c r="AJ3" s="11"/>
      <c r="AK3" s="11"/>
      <c r="AL3" s="11"/>
      <c r="AM3" s="11"/>
      <c r="AN3" s="11"/>
    </row>
    <row r="4" spans="1:40" ht="15" thickBot="1">
      <c r="A4" s="254" t="s">
        <v>652</v>
      </c>
      <c r="B4" s="257" t="s">
        <v>653</v>
      </c>
      <c r="C4" s="258" t="s">
        <v>654</v>
      </c>
      <c r="D4" s="267" t="s">
        <v>655</v>
      </c>
      <c r="E4" s="267" t="s">
        <v>656</v>
      </c>
      <c r="F4" s="268" t="s">
        <v>657</v>
      </c>
      <c r="G4" s="267">
        <v>2024</v>
      </c>
      <c r="H4" s="267">
        <f>G4+1</f>
        <v>2025</v>
      </c>
      <c r="I4" s="267">
        <f t="shared" ref="I4:AF4" si="0">H4+1</f>
        <v>2026</v>
      </c>
      <c r="J4" s="268">
        <f t="shared" si="0"/>
        <v>2027</v>
      </c>
      <c r="K4" s="269">
        <f t="shared" si="0"/>
        <v>2028</v>
      </c>
      <c r="L4" s="269">
        <f t="shared" si="0"/>
        <v>2029</v>
      </c>
      <c r="M4" s="269">
        <f t="shared" si="0"/>
        <v>2030</v>
      </c>
      <c r="N4" s="269">
        <f t="shared" si="0"/>
        <v>2031</v>
      </c>
      <c r="O4" s="269">
        <f t="shared" si="0"/>
        <v>2032</v>
      </c>
      <c r="P4" s="269">
        <f t="shared" si="0"/>
        <v>2033</v>
      </c>
      <c r="Q4" s="269">
        <f t="shared" si="0"/>
        <v>2034</v>
      </c>
      <c r="R4" s="269">
        <f t="shared" si="0"/>
        <v>2035</v>
      </c>
      <c r="S4" s="269">
        <f t="shared" si="0"/>
        <v>2036</v>
      </c>
      <c r="T4" s="269">
        <f t="shared" si="0"/>
        <v>2037</v>
      </c>
      <c r="U4" s="269">
        <f t="shared" si="0"/>
        <v>2038</v>
      </c>
      <c r="V4" s="269">
        <f t="shared" si="0"/>
        <v>2039</v>
      </c>
      <c r="W4" s="269">
        <f t="shared" si="0"/>
        <v>2040</v>
      </c>
      <c r="X4" s="269">
        <f t="shared" si="0"/>
        <v>2041</v>
      </c>
      <c r="Y4" s="269">
        <f t="shared" si="0"/>
        <v>2042</v>
      </c>
      <c r="Z4" s="269">
        <f t="shared" si="0"/>
        <v>2043</v>
      </c>
      <c r="AA4" s="269">
        <f t="shared" si="0"/>
        <v>2044</v>
      </c>
      <c r="AB4" s="269">
        <f t="shared" si="0"/>
        <v>2045</v>
      </c>
      <c r="AC4" s="269">
        <f t="shared" si="0"/>
        <v>2046</v>
      </c>
      <c r="AD4" s="269">
        <f t="shared" si="0"/>
        <v>2047</v>
      </c>
      <c r="AE4" s="269">
        <f t="shared" si="0"/>
        <v>2048</v>
      </c>
      <c r="AF4" s="270">
        <f t="shared" si="0"/>
        <v>2049</v>
      </c>
      <c r="AG4" s="507"/>
      <c r="AH4" s="11"/>
      <c r="AI4" s="11"/>
      <c r="AJ4" s="11"/>
      <c r="AK4" s="11"/>
      <c r="AL4" s="11"/>
      <c r="AM4" s="11"/>
      <c r="AN4" s="11"/>
    </row>
    <row r="5" spans="1:40">
      <c r="A5" s="1009" t="s">
        <v>658</v>
      </c>
      <c r="B5" s="259">
        <v>1</v>
      </c>
      <c r="C5" s="265" t="s">
        <v>503</v>
      </c>
      <c r="D5" s="276">
        <f>'Fin. Data'!D6</f>
        <v>8.0471013129679081E-2</v>
      </c>
      <c r="E5" s="279">
        <f t="shared" ref="E5:AF5" si="1">+E6/D6-1</f>
        <v>9.6657381615598892E-2</v>
      </c>
      <c r="F5" s="319">
        <f t="shared" si="1"/>
        <v>0.143510287020574</v>
      </c>
      <c r="G5" s="335">
        <f>+G6/F6-1</f>
        <v>4.062027987561101E-2</v>
      </c>
      <c r="H5" s="336">
        <f>+H6/G6-1</f>
        <v>7.7559239872589947E-2</v>
      </c>
      <c r="I5" s="336">
        <f>+I6/H6-1</f>
        <v>7.7844610177197682E-2</v>
      </c>
      <c r="J5" s="337">
        <f>+J6/I6-1</f>
        <v>6.1199414321603252E-2</v>
      </c>
      <c r="K5" s="335">
        <f t="shared" si="1"/>
        <v>6.037447315995581E-2</v>
      </c>
      <c r="L5" s="336">
        <f t="shared" si="1"/>
        <v>6.0038641547158322E-2</v>
      </c>
      <c r="M5" s="336">
        <f t="shared" si="1"/>
        <v>4.6193699653971354E-2</v>
      </c>
      <c r="N5" s="336">
        <f t="shared" si="1"/>
        <v>4.5559489467822845E-2</v>
      </c>
      <c r="O5" s="336">
        <f t="shared" si="1"/>
        <v>4.5639725887621774E-2</v>
      </c>
      <c r="P5" s="336">
        <f t="shared" si="1"/>
        <v>4.5719022828758282E-2</v>
      </c>
      <c r="Q5" s="336">
        <f t="shared" si="1"/>
        <v>4.5024565682846074E-2</v>
      </c>
      <c r="R5" s="336">
        <f t="shared" si="1"/>
        <v>3.6534363910093681E-2</v>
      </c>
      <c r="S5" s="336">
        <f t="shared" si="1"/>
        <v>3.6584121120357027E-2</v>
      </c>
      <c r="T5" s="336">
        <f t="shared" si="1"/>
        <v>3.5836939519745759E-2</v>
      </c>
      <c r="U5" s="336">
        <f t="shared" si="1"/>
        <v>3.5872923977510185E-2</v>
      </c>
      <c r="V5" s="336">
        <f t="shared" si="1"/>
        <v>3.5908656289621588E-2</v>
      </c>
      <c r="W5" s="336">
        <f t="shared" si="1"/>
        <v>2.6563494938139254E-2</v>
      </c>
      <c r="X5" s="336">
        <f t="shared" si="1"/>
        <v>2.6585466772993893E-2</v>
      </c>
      <c r="Y5" s="336">
        <f t="shared" si="1"/>
        <v>2.6607370740894476E-2</v>
      </c>
      <c r="Z5" s="336">
        <f t="shared" si="1"/>
        <v>2.6629206118216286E-2</v>
      </c>
      <c r="AA5" s="336">
        <f t="shared" si="1"/>
        <v>2.6650972192365341E-2</v>
      </c>
      <c r="AB5" s="336">
        <f>+AB6/AA6-1</f>
        <v>2.667266826184167E-2</v>
      </c>
      <c r="AC5" s="336">
        <f t="shared" si="1"/>
        <v>2.0822405629067786E-2</v>
      </c>
      <c r="AD5" s="336">
        <f t="shared" si="1"/>
        <v>2.0829799378686342E-2</v>
      </c>
      <c r="AE5" s="336">
        <f t="shared" si="1"/>
        <v>2.0837253536845068E-2</v>
      </c>
      <c r="AF5" s="337">
        <f t="shared" si="1"/>
        <v>2.0844768487790821E-2</v>
      </c>
      <c r="AG5" s="398"/>
      <c r="AH5" s="11"/>
      <c r="AI5" s="11"/>
      <c r="AJ5" s="11"/>
      <c r="AK5" s="11"/>
      <c r="AL5" s="11"/>
      <c r="AM5" s="11"/>
      <c r="AN5" s="11"/>
    </row>
    <row r="6" spans="1:40" ht="14.45">
      <c r="A6" s="1009"/>
      <c r="B6" s="259">
        <v>2</v>
      </c>
      <c r="C6" s="253" t="s">
        <v>659</v>
      </c>
      <c r="D6" s="660">
        <f>Inputs!D6</f>
        <v>28720</v>
      </c>
      <c r="E6" s="660">
        <f>Inputs!C6</f>
        <v>31496</v>
      </c>
      <c r="F6" s="320">
        <f>Inputs!B6</f>
        <v>36016</v>
      </c>
      <c r="G6" s="790">
        <f>Assumptions!S61</f>
        <v>37478.980000000003</v>
      </c>
      <c r="H6" s="790">
        <f>Assumptions!T61</f>
        <v>40385.821200000006</v>
      </c>
      <c r="I6" s="790">
        <f>Assumptions!U61</f>
        <v>43529.63970800001</v>
      </c>
      <c r="J6" s="790">
        <f>Assumptions!V61</f>
        <v>46193.628163760019</v>
      </c>
      <c r="K6" s="790">
        <f>Assumptions!W61</f>
        <v>48982.544127493922</v>
      </c>
      <c r="L6" s="790">
        <f>Assumptions!X61</f>
        <v>51923.389536432391</v>
      </c>
      <c r="M6" s="790">
        <f>Assumptions!Y61</f>
        <v>54321.922997694506</v>
      </c>
      <c r="N6" s="790">
        <f>Assumptions!Z61</f>
        <v>56796.802076379849</v>
      </c>
      <c r="O6" s="790">
        <f>Assumptions!AA61</f>
        <v>59388.992554439334</v>
      </c>
      <c r="P6" s="790">
        <f>Assumptions!AB61</f>
        <v>62104.199260812697</v>
      </c>
      <c r="Q6" s="790">
        <f>Assumptions!AC61</f>
        <v>64900.413859611712</v>
      </c>
      <c r="R6" s="790">
        <f>Assumptions!AD61</f>
        <v>67271.509197474457</v>
      </c>
      <c r="S6" s="790">
        <f>Assumptions!AE61</f>
        <v>69732.578237904076</v>
      </c>
      <c r="T6" s="790">
        <f>Assumptions!AF61</f>
        <v>72231.580426771776</v>
      </c>
      <c r="U6" s="790">
        <f>Assumptions!AG61</f>
        <v>74822.73842019678</v>
      </c>
      <c r="V6" s="790">
        <f>Assumptions!AH61</f>
        <v>77509.522416775886</v>
      </c>
      <c r="W6" s="790">
        <f>Assumptions!AI61</f>
        <v>79568.446223151506</v>
      </c>
      <c r="X6" s="790">
        <f>Assumptions!AJ61</f>
        <v>81683.81050639585</v>
      </c>
      <c r="Y6" s="790">
        <f>Assumptions!AK61</f>
        <v>83857.201936068494</v>
      </c>
      <c r="Z6" s="790">
        <f>Assumptions!AL61</f>
        <v>86090.252650920957</v>
      </c>
      <c r="AA6" s="790">
        <f>Assumptions!AM61</f>
        <v>88384.641580354364</v>
      </c>
      <c r="AB6" s="790">
        <f>Assumptions!AN61</f>
        <v>90742.095804668934</v>
      </c>
      <c r="AC6" s="790">
        <f>Assumptions!AO61</f>
        <v>92631.564531145486</v>
      </c>
      <c r="AD6" s="790">
        <f>Assumptions!AP61</f>
        <v>94561.061436463089</v>
      </c>
      <c r="AE6" s="790">
        <f>Assumptions!AQ61</f>
        <v>96531.454248327864</v>
      </c>
      <c r="AF6" s="790">
        <f>Assumptions!AR61</f>
        <v>98543.630063924022</v>
      </c>
      <c r="AG6" s="508"/>
      <c r="AH6" s="11"/>
      <c r="AI6" s="11"/>
      <c r="AJ6" s="11"/>
      <c r="AK6" s="11"/>
      <c r="AL6" s="11"/>
      <c r="AM6" s="11"/>
      <c r="AN6" s="11"/>
    </row>
    <row r="7" spans="1:40">
      <c r="A7" s="1009"/>
      <c r="B7" s="259">
        <v>3</v>
      </c>
      <c r="C7" s="89" t="s">
        <v>660</v>
      </c>
      <c r="D7" s="315">
        <f>D8/D6</f>
        <v>0.15724233983286909</v>
      </c>
      <c r="E7" s="312">
        <f t="shared" ref="E7:F7" si="2">E8/E6</f>
        <v>0.10810896621793244</v>
      </c>
      <c r="F7" s="321">
        <f t="shared" si="2"/>
        <v>0.15273767214571302</v>
      </c>
      <c r="G7" s="338">
        <v>0.14000000000000001</v>
      </c>
      <c r="H7" s="339">
        <v>0.14000000000000001</v>
      </c>
      <c r="I7" s="339">
        <v>0.14000000000000001</v>
      </c>
      <c r="J7" s="340">
        <v>0.14000000000000001</v>
      </c>
      <c r="K7" s="338">
        <v>0.15</v>
      </c>
      <c r="L7" s="339">
        <v>0.15</v>
      </c>
      <c r="M7" s="339">
        <v>0.17</v>
      </c>
      <c r="N7" s="339">
        <v>0.17</v>
      </c>
      <c r="O7" s="339">
        <v>0.17</v>
      </c>
      <c r="P7" s="339">
        <v>0.16</v>
      </c>
      <c r="Q7" s="339">
        <v>0.16</v>
      </c>
      <c r="R7" s="339">
        <v>0.16</v>
      </c>
      <c r="S7" s="339">
        <v>0.16</v>
      </c>
      <c r="T7" s="339">
        <v>0.16</v>
      </c>
      <c r="U7" s="339">
        <v>0.16</v>
      </c>
      <c r="V7" s="339">
        <v>0.16</v>
      </c>
      <c r="W7" s="339">
        <v>0.15</v>
      </c>
      <c r="X7" s="339">
        <v>0.15</v>
      </c>
      <c r="Y7" s="339">
        <v>0.15</v>
      </c>
      <c r="Z7" s="339">
        <v>0.15</v>
      </c>
      <c r="AA7" s="339">
        <v>0.15</v>
      </c>
      <c r="AB7" s="339">
        <v>0.15</v>
      </c>
      <c r="AC7" s="339">
        <v>0.15</v>
      </c>
      <c r="AD7" s="339">
        <v>0.15</v>
      </c>
      <c r="AE7" s="339">
        <v>0.15</v>
      </c>
      <c r="AF7" s="339">
        <v>0.15</v>
      </c>
      <c r="AG7" s="398"/>
      <c r="AH7" s="11"/>
      <c r="AI7" s="11"/>
      <c r="AJ7" s="11"/>
      <c r="AK7" s="11"/>
      <c r="AL7" s="11"/>
      <c r="AM7" s="11"/>
      <c r="AN7" s="11"/>
    </row>
    <row r="8" spans="1:40" ht="14.45">
      <c r="A8" s="1009"/>
      <c r="B8" s="259">
        <v>4</v>
      </c>
      <c r="C8" s="243" t="s">
        <v>61</v>
      </c>
      <c r="D8" s="316">
        <f>'Fin. Data'!D11</f>
        <v>4516</v>
      </c>
      <c r="E8" s="313">
        <f>'Fin. Data'!C11</f>
        <v>3405</v>
      </c>
      <c r="F8" s="322">
        <f>'Fin. Data'!B11</f>
        <v>5501</v>
      </c>
      <c r="G8" s="328">
        <f>G7*G6</f>
        <v>5247.0572000000011</v>
      </c>
      <c r="H8" s="326">
        <f t="shared" ref="H8:AF8" si="3">H7*H6</f>
        <v>5654.0149680000013</v>
      </c>
      <c r="I8" s="326">
        <f t="shared" si="3"/>
        <v>6094.1495591200019</v>
      </c>
      <c r="J8" s="329">
        <f t="shared" si="3"/>
        <v>6467.1079429264037</v>
      </c>
      <c r="K8" s="328">
        <f t="shared" si="3"/>
        <v>7347.3816191240885</v>
      </c>
      <c r="L8" s="326">
        <f t="shared" si="3"/>
        <v>7788.5084304648581</v>
      </c>
      <c r="M8" s="326">
        <f t="shared" si="3"/>
        <v>9234.7269096080672</v>
      </c>
      <c r="N8" s="326">
        <f t="shared" si="3"/>
        <v>9655.4563529845746</v>
      </c>
      <c r="O8" s="326">
        <f t="shared" si="3"/>
        <v>10096.128734254688</v>
      </c>
      <c r="P8" s="326">
        <f t="shared" si="3"/>
        <v>9936.6718817300316</v>
      </c>
      <c r="Q8" s="326">
        <f t="shared" si="3"/>
        <v>10384.066217537875</v>
      </c>
      <c r="R8" s="326">
        <f t="shared" si="3"/>
        <v>10763.441471595914</v>
      </c>
      <c r="S8" s="326">
        <f t="shared" si="3"/>
        <v>11157.212518064653</v>
      </c>
      <c r="T8" s="326">
        <f t="shared" si="3"/>
        <v>11557.052868283485</v>
      </c>
      <c r="U8" s="326">
        <f t="shared" si="3"/>
        <v>11971.638147231484</v>
      </c>
      <c r="V8" s="326">
        <f t="shared" si="3"/>
        <v>12401.523586684141</v>
      </c>
      <c r="W8" s="326">
        <f t="shared" si="3"/>
        <v>11935.266933472725</v>
      </c>
      <c r="X8" s="326">
        <f t="shared" si="3"/>
        <v>12252.571575959377</v>
      </c>
      <c r="Y8" s="326">
        <f t="shared" si="3"/>
        <v>12578.580290410273</v>
      </c>
      <c r="Z8" s="326">
        <f t="shared" si="3"/>
        <v>12913.537897638143</v>
      </c>
      <c r="AA8" s="326">
        <f t="shared" si="3"/>
        <v>13257.696237053155</v>
      </c>
      <c r="AB8" s="326">
        <f t="shared" si="3"/>
        <v>13611.31437070034</v>
      </c>
      <c r="AC8" s="326">
        <f t="shared" si="3"/>
        <v>13894.734679671823</v>
      </c>
      <c r="AD8" s="326">
        <f t="shared" si="3"/>
        <v>14184.159215469463</v>
      </c>
      <c r="AE8" s="326">
        <f t="shared" si="3"/>
        <v>14479.71813724918</v>
      </c>
      <c r="AF8" s="329">
        <f t="shared" si="3"/>
        <v>14781.544509588603</v>
      </c>
      <c r="AG8" s="492"/>
      <c r="AH8" s="7"/>
      <c r="AI8" s="7"/>
      <c r="AJ8" s="7"/>
      <c r="AK8" s="11"/>
      <c r="AL8" s="11"/>
      <c r="AM8" s="11"/>
      <c r="AN8" s="11"/>
    </row>
    <row r="9" spans="1:40" ht="14.45">
      <c r="A9" s="1009"/>
      <c r="B9" s="259" t="s">
        <v>661</v>
      </c>
      <c r="C9" s="253" t="s">
        <v>662</v>
      </c>
      <c r="D9" s="480">
        <f>-89-772</f>
        <v>-861</v>
      </c>
      <c r="E9" s="481">
        <f>-95-785</f>
        <v>-880</v>
      </c>
      <c r="F9" s="482">
        <f>-871-130</f>
        <v>-1001</v>
      </c>
      <c r="G9" s="972">
        <f>$D$53*Assumptions!C167</f>
        <v>-904.27261782558014</v>
      </c>
      <c r="H9" s="972">
        <f>$D$53*G40</f>
        <v>-1698.031638851885</v>
      </c>
      <c r="I9" s="973">
        <f>$D$53*DCF!H40</f>
        <v>-1802.5242010107922</v>
      </c>
      <c r="J9" s="974">
        <f>$D$53*DCF!I40</f>
        <v>-1915.1509459373763</v>
      </c>
      <c r="K9" s="484">
        <f>$E$53*DCF!J40</f>
        <v>-2034.670381690416</v>
      </c>
      <c r="L9" s="485">
        <f>$E$53*DCF!K40</f>
        <v>-2205.4078719320114</v>
      </c>
      <c r="M9" s="485">
        <f>$E$53*DCF!L40</f>
        <v>-2386.3962091488838</v>
      </c>
      <c r="N9" s="485">
        <f>$E$53*DCF!M40</f>
        <v>-2575.7450672560235</v>
      </c>
      <c r="O9" s="485">
        <f>$E$53*DCF!N40</f>
        <v>-2773.7205626698401</v>
      </c>
      <c r="P9" s="485">
        <f>$E$53*DCF!O40</f>
        <v>-2980.7316054268094</v>
      </c>
      <c r="Q9" s="485">
        <f>$E$53*DCF!P40</f>
        <v>-3197.2069907733899</v>
      </c>
      <c r="R9" s="485">
        <f>$E$53*DCF!Q40</f>
        <v>-3423.4290863262263</v>
      </c>
      <c r="S9" s="485">
        <f>$E$53*DCF!R40</f>
        <v>-3657.9160622424943</v>
      </c>
      <c r="T9" s="485">
        <f>$E$53*DCF!S40</f>
        <v>-3900.981538086829</v>
      </c>
      <c r="U9" s="485">
        <f>$E$53*DCF!T40</f>
        <v>-4152.7577366883352</v>
      </c>
      <c r="V9" s="485">
        <f>$E$53*DCF!U40</f>
        <v>-4413.5658837216206</v>
      </c>
      <c r="W9" s="485">
        <f>$E$53*DCF!V40</f>
        <v>-4683.7393008642566</v>
      </c>
      <c r="X9" s="485">
        <f>$E$53*DCF!W40</f>
        <v>-4961.0894682055814</v>
      </c>
      <c r="Y9" s="485">
        <f>$E$53*DCF!X40</f>
        <v>-5245.8131192052424</v>
      </c>
      <c r="Z9" s="485">
        <f>$E$53*DCF!Y40</f>
        <v>-5538.1125179457531</v>
      </c>
      <c r="AA9" s="485">
        <f>$E$53*DCF!Z40</f>
        <v>-5838.1956176235562</v>
      </c>
      <c r="AB9" s="485">
        <f>$E$53*DCF!AA40</f>
        <v>-6146.2762236462695</v>
      </c>
      <c r="AC9" s="485">
        <f>$E$53*DCF!AB40</f>
        <v>-6462.5741614713352</v>
      </c>
      <c r="AD9" s="485">
        <f>$E$53*DCF!AC40</f>
        <v>-6785.4581832574313</v>
      </c>
      <c r="AE9" s="485">
        <f>$E$53*DCF!AD40</f>
        <v>-7115.0678144399153</v>
      </c>
      <c r="AF9" s="486">
        <f>$E$53*DCF!AE40</f>
        <v>-7451.5456050755356</v>
      </c>
      <c r="AG9" s="493">
        <f>SUM(D9:AF9)</f>
        <v>-106992.38041132338</v>
      </c>
      <c r="AH9" s="7"/>
      <c r="AI9" s="7"/>
      <c r="AJ9" s="7"/>
      <c r="AK9" s="11"/>
      <c r="AL9" s="11"/>
      <c r="AM9" s="11"/>
      <c r="AN9" s="11"/>
    </row>
    <row r="10" spans="1:40" ht="14.45">
      <c r="A10" s="1009"/>
      <c r="B10" s="259" t="s">
        <v>663</v>
      </c>
      <c r="C10" s="253" t="s">
        <v>664</v>
      </c>
      <c r="D10" s="480">
        <v>-151</v>
      </c>
      <c r="E10" s="481">
        <v>-132</v>
      </c>
      <c r="F10" s="482">
        <v>-134</v>
      </c>
      <c r="G10" s="483">
        <f>D38*$D$54</f>
        <v>-169.71388417791002</v>
      </c>
      <c r="H10" s="487">
        <f t="shared" ref="H10:J10" si="4">G38*$D$54</f>
        <v>-171.13344073201316</v>
      </c>
      <c r="I10" s="487">
        <f t="shared" si="4"/>
        <v>-172.56487103952227</v>
      </c>
      <c r="J10" s="488">
        <f t="shared" si="4"/>
        <v>-174.00827441738218</v>
      </c>
      <c r="K10" s="484">
        <f t="shared" ref="K10:AF10" si="5">J38*$E$54</f>
        <v>-190.15239392618565</v>
      </c>
      <c r="L10" s="485">
        <f t="shared" si="5"/>
        <v>-191.87605356140804</v>
      </c>
      <c r="M10" s="485">
        <f t="shared" si="5"/>
        <v>-193.61533752024138</v>
      </c>
      <c r="N10" s="485">
        <f t="shared" si="5"/>
        <v>-195.37038743127826</v>
      </c>
      <c r="O10" s="485">
        <f t="shared" si="5"/>
        <v>-197.14134620692099</v>
      </c>
      <c r="P10" s="485">
        <f t="shared" si="5"/>
        <v>-198.92835805501889</v>
      </c>
      <c r="Q10" s="485">
        <f t="shared" si="5"/>
        <v>-200.73156849061093</v>
      </c>
      <c r="R10" s="485">
        <f t="shared" si="5"/>
        <v>-202.5511243477749</v>
      </c>
      <c r="S10" s="485">
        <f t="shared" si="5"/>
        <v>-204.38717379158416</v>
      </c>
      <c r="T10" s="485">
        <f t="shared" si="5"/>
        <v>-206.23986633017239</v>
      </c>
      <c r="U10" s="485">
        <f t="shared" si="5"/>
        <v>-208.10935282690815</v>
      </c>
      <c r="V10" s="485">
        <f t="shared" si="5"/>
        <v>-209.99578551267933</v>
      </c>
      <c r="W10" s="485">
        <f t="shared" si="5"/>
        <v>-211.89931799828943</v>
      </c>
      <c r="X10" s="485">
        <f t="shared" si="5"/>
        <v>-213.82010528696586</v>
      </c>
      <c r="Y10" s="485">
        <f t="shared" si="5"/>
        <v>-215.75830378698163</v>
      </c>
      <c r="Z10" s="485">
        <f t="shared" si="5"/>
        <v>-217.71407132439185</v>
      </c>
      <c r="AA10" s="485">
        <f t="shared" si="5"/>
        <v>-219.68756715588506</v>
      </c>
      <c r="AB10" s="485">
        <f t="shared" si="5"/>
        <v>-221.67895198175162</v>
      </c>
      <c r="AC10" s="485">
        <f t="shared" si="5"/>
        <v>-223.68838795896932</v>
      </c>
      <c r="AD10" s="485">
        <f t="shared" si="5"/>
        <v>-225.71603871440769</v>
      </c>
      <c r="AE10" s="485">
        <f t="shared" si="5"/>
        <v>-227.76206935815202</v>
      </c>
      <c r="AF10" s="486">
        <f t="shared" si="5"/>
        <v>-229.8266464969482</v>
      </c>
      <c r="AG10" s="492"/>
      <c r="AH10" s="7"/>
      <c r="AI10" s="7"/>
      <c r="AJ10" s="7"/>
      <c r="AK10" s="11"/>
      <c r="AL10" s="11"/>
      <c r="AM10" s="11"/>
      <c r="AN10" s="11"/>
    </row>
    <row r="11" spans="1:40" ht="14.45">
      <c r="A11" s="1009"/>
      <c r="B11" s="259" t="s">
        <v>665</v>
      </c>
      <c r="C11" s="253" t="s">
        <v>666</v>
      </c>
      <c r="D11" s="480">
        <f>D20</f>
        <v>-121</v>
      </c>
      <c r="E11" s="481">
        <f>E20</f>
        <v>-120</v>
      </c>
      <c r="F11" s="482">
        <f>F20</f>
        <v>-146</v>
      </c>
      <c r="G11" s="483">
        <f>G6*$D$55</f>
        <v>-165.17649538667499</v>
      </c>
      <c r="H11" s="487">
        <f t="shared" ref="H11:AF11" si="6">H6*$D$55</f>
        <v>-177.98745881368387</v>
      </c>
      <c r="I11" s="487">
        <f t="shared" si="6"/>
        <v>-191.84282316146511</v>
      </c>
      <c r="J11" s="488">
        <f t="shared" si="6"/>
        <v>-203.58349158074969</v>
      </c>
      <c r="K11" s="483">
        <f t="shared" si="6"/>
        <v>-215.87473762900171</v>
      </c>
      <c r="L11" s="487">
        <f t="shared" si="6"/>
        <v>-228.83556362059619</v>
      </c>
      <c r="M11" s="487">
        <f t="shared" si="6"/>
        <v>-239.40632491663325</v>
      </c>
      <c r="N11" s="487">
        <f t="shared" si="6"/>
        <v>-250.31355485520277</v>
      </c>
      <c r="O11" s="487">
        <f t="shared" si="6"/>
        <v>-261.73779688475042</v>
      </c>
      <c r="P11" s="487">
        <f t="shared" si="6"/>
        <v>-273.70419319567321</v>
      </c>
      <c r="Q11" s="487">
        <f t="shared" si="6"/>
        <v>-286.02760561988214</v>
      </c>
      <c r="R11" s="487">
        <f t="shared" si="6"/>
        <v>-296.47744225193168</v>
      </c>
      <c r="S11" s="487">
        <f t="shared" si="6"/>
        <v>-307.32380890873003</v>
      </c>
      <c r="T11" s="487">
        <f t="shared" si="6"/>
        <v>-318.33735366157003</v>
      </c>
      <c r="U11" s="487">
        <f t="shared" si="6"/>
        <v>-329.75704534867333</v>
      </c>
      <c r="V11" s="487">
        <f t="shared" si="6"/>
        <v>-341.59817774918002</v>
      </c>
      <c r="W11" s="487">
        <f t="shared" si="6"/>
        <v>-350.67221921469798</v>
      </c>
      <c r="X11" s="487">
        <f t="shared" si="6"/>
        <v>-359.99500384684234</v>
      </c>
      <c r="Y11" s="487">
        <f t="shared" si="6"/>
        <v>-369.57352437906496</v>
      </c>
      <c r="Z11" s="487">
        <f t="shared" si="6"/>
        <v>-379.41497393559081</v>
      </c>
      <c r="AA11" s="487">
        <f t="shared" si="6"/>
        <v>-389.52675185531524</v>
      </c>
      <c r="AB11" s="487">
        <f t="shared" si="6"/>
        <v>-399.91646968666481</v>
      </c>
      <c r="AC11" s="487">
        <f t="shared" si="6"/>
        <v>-408.24369263622538</v>
      </c>
      <c r="AD11" s="487">
        <f t="shared" si="6"/>
        <v>-416.74732685145204</v>
      </c>
      <c r="AE11" s="487">
        <f t="shared" si="6"/>
        <v>-425.43119656185826</v>
      </c>
      <c r="AF11" s="488">
        <f t="shared" si="6"/>
        <v>-434.29921136167394</v>
      </c>
      <c r="AG11" s="492"/>
      <c r="AH11" s="7"/>
      <c r="AI11" s="7"/>
      <c r="AJ11" s="7"/>
      <c r="AK11" s="11"/>
      <c r="AL11" s="11"/>
      <c r="AM11" s="11"/>
      <c r="AN11" s="11"/>
    </row>
    <row r="12" spans="1:40" ht="14.45">
      <c r="A12" s="1009"/>
      <c r="B12" s="259">
        <v>6</v>
      </c>
      <c r="C12" s="243" t="s">
        <v>51</v>
      </c>
      <c r="D12" s="316">
        <f>D8-D9-D10</f>
        <v>5528</v>
      </c>
      <c r="E12" s="287">
        <f t="shared" ref="E12:AF12" si="7">E8-E9-E10</f>
        <v>4417</v>
      </c>
      <c r="F12" s="323">
        <f t="shared" si="7"/>
        <v>6636</v>
      </c>
      <c r="G12" s="341">
        <f>G8-G9-G10</f>
        <v>6321.0437020034906</v>
      </c>
      <c r="H12" s="342">
        <f t="shared" si="7"/>
        <v>7523.1800475838991</v>
      </c>
      <c r="I12" s="342">
        <f t="shared" si="7"/>
        <v>8069.2386311703167</v>
      </c>
      <c r="J12" s="343">
        <f t="shared" si="7"/>
        <v>8556.2671632811616</v>
      </c>
      <c r="K12" s="341">
        <f t="shared" si="7"/>
        <v>9572.204394740691</v>
      </c>
      <c r="L12" s="342">
        <f t="shared" si="7"/>
        <v>10185.792355958276</v>
      </c>
      <c r="M12" s="342">
        <f t="shared" si="7"/>
        <v>11814.738456277191</v>
      </c>
      <c r="N12" s="342">
        <f t="shared" si="7"/>
        <v>12426.571807671877</v>
      </c>
      <c r="O12" s="342">
        <f t="shared" si="7"/>
        <v>13066.990643131448</v>
      </c>
      <c r="P12" s="342">
        <f t="shared" si="7"/>
        <v>13116.331845211858</v>
      </c>
      <c r="Q12" s="342">
        <f t="shared" si="7"/>
        <v>13782.004776801876</v>
      </c>
      <c r="R12" s="342">
        <f t="shared" si="7"/>
        <v>14389.421682269915</v>
      </c>
      <c r="S12" s="342">
        <f t="shared" si="7"/>
        <v>15019.515754098731</v>
      </c>
      <c r="T12" s="342">
        <f t="shared" si="7"/>
        <v>15664.274272700486</v>
      </c>
      <c r="U12" s="342">
        <f t="shared" si="7"/>
        <v>16332.505236746729</v>
      </c>
      <c r="V12" s="342">
        <f t="shared" si="7"/>
        <v>17025.085255918439</v>
      </c>
      <c r="W12" s="342">
        <f t="shared" si="7"/>
        <v>16830.905552335273</v>
      </c>
      <c r="X12" s="342">
        <f t="shared" si="7"/>
        <v>17427.481149451924</v>
      </c>
      <c r="Y12" s="342">
        <f t="shared" si="7"/>
        <v>18040.151713402494</v>
      </c>
      <c r="Z12" s="342">
        <f t="shared" si="7"/>
        <v>18669.364486908289</v>
      </c>
      <c r="AA12" s="342">
        <f t="shared" si="7"/>
        <v>19315.579421832594</v>
      </c>
      <c r="AB12" s="342">
        <f t="shared" si="7"/>
        <v>19979.26954632836</v>
      </c>
      <c r="AC12" s="342">
        <f t="shared" si="7"/>
        <v>20580.997229102129</v>
      </c>
      <c r="AD12" s="342">
        <f t="shared" si="7"/>
        <v>21195.333437441299</v>
      </c>
      <c r="AE12" s="342">
        <f t="shared" si="7"/>
        <v>21822.548021047249</v>
      </c>
      <c r="AF12" s="343">
        <f t="shared" si="7"/>
        <v>22462.916761161086</v>
      </c>
      <c r="AG12" s="305"/>
      <c r="AH12" s="7"/>
      <c r="AI12" s="7"/>
      <c r="AJ12" s="7"/>
      <c r="AK12" s="11"/>
      <c r="AL12" s="11"/>
      <c r="AM12" s="11"/>
      <c r="AN12" s="11"/>
    </row>
    <row r="13" spans="1:40" ht="14.45">
      <c r="A13" s="1009"/>
      <c r="B13" s="259">
        <v>7</v>
      </c>
      <c r="C13" s="253" t="s">
        <v>667</v>
      </c>
      <c r="D13" s="477">
        <f>'Fin. Data'!D14</f>
        <v>-365</v>
      </c>
      <c r="E13" s="478">
        <f>'Fin. Data'!C14</f>
        <v>-428</v>
      </c>
      <c r="F13" s="479">
        <f>'Fin. Data'!B14</f>
        <v>56</v>
      </c>
      <c r="G13" s="484">
        <f>F43*$D$58-F44*$D$57</f>
        <v>-685.48</v>
      </c>
      <c r="H13" s="485">
        <f t="shared" ref="H13" si="8">G43*$D$58-G44*$D$57</f>
        <v>-636.14204872561811</v>
      </c>
      <c r="I13" s="485">
        <f>H43*$D$58-H44*$D$57</f>
        <v>-566.15243700499423</v>
      </c>
      <c r="J13" s="486">
        <f>I43*$D$58-I44*$D$57</f>
        <v>-518.89638897644852</v>
      </c>
      <c r="K13" s="484">
        <f>J43*$E$58-J44*$E$57</f>
        <v>-282.44990846261453</v>
      </c>
      <c r="L13" s="485">
        <f t="shared" ref="L13:AF13" si="9">K43*$E$58-K44*$E$57</f>
        <v>-230.21001875266813</v>
      </c>
      <c r="M13" s="485">
        <f t="shared" si="9"/>
        <v>-175.85874607007577</v>
      </c>
      <c r="N13" s="485">
        <f t="shared" si="9"/>
        <v>-110.05561027089414</v>
      </c>
      <c r="O13" s="485">
        <f t="shared" si="9"/>
        <v>-50.439649800845359</v>
      </c>
      <c r="P13" s="485">
        <f t="shared" si="9"/>
        <v>24.118780307027919</v>
      </c>
      <c r="Q13" s="485">
        <f t="shared" si="9"/>
        <v>102.59680854911187</v>
      </c>
      <c r="R13" s="485">
        <f t="shared" si="9"/>
        <v>186.31636826831209</v>
      </c>
      <c r="S13" s="485">
        <f t="shared" si="9"/>
        <v>277.48086413963358</v>
      </c>
      <c r="T13" s="485">
        <f t="shared" si="9"/>
        <v>374.33120094249227</v>
      </c>
      <c r="U13" s="485">
        <f t="shared" si="9"/>
        <v>477.17378082253788</v>
      </c>
      <c r="V13" s="485">
        <f t="shared" si="9"/>
        <v>586.06399468257416</v>
      </c>
      <c r="W13" s="485">
        <f t="shared" si="9"/>
        <v>701.22974459529257</v>
      </c>
      <c r="X13" s="485">
        <f t="shared" si="9"/>
        <v>823.53895384962141</v>
      </c>
      <c r="Y13" s="485">
        <f t="shared" si="9"/>
        <v>941.97283173180983</v>
      </c>
      <c r="Z13" s="485">
        <f t="shared" si="9"/>
        <v>1077.4290099089162</v>
      </c>
      <c r="AA13" s="485">
        <f t="shared" si="9"/>
        <v>1219.7455708397024</v>
      </c>
      <c r="AB13" s="485">
        <f t="shared" si="9"/>
        <v>1369.1140303029101</v>
      </c>
      <c r="AC13" s="485">
        <f t="shared" si="9"/>
        <v>1525.7300674654853</v>
      </c>
      <c r="AD13" s="485">
        <f t="shared" si="9"/>
        <v>1691.7143336524368</v>
      </c>
      <c r="AE13" s="485">
        <f t="shared" si="9"/>
        <v>1865.2055018374044</v>
      </c>
      <c r="AF13" s="486">
        <f t="shared" si="9"/>
        <v>2046.3703248870552</v>
      </c>
      <c r="AG13" s="492"/>
      <c r="AH13" s="7"/>
      <c r="AI13" s="7"/>
      <c r="AJ13" s="7"/>
      <c r="AK13" s="11"/>
      <c r="AL13" s="11"/>
      <c r="AM13" s="11"/>
      <c r="AN13" s="11"/>
    </row>
    <row r="14" spans="1:40" ht="14.45">
      <c r="A14" s="1009"/>
      <c r="B14" s="259">
        <v>8</v>
      </c>
      <c r="C14" s="253" t="s">
        <v>668</v>
      </c>
      <c r="D14" s="317">
        <f>'Fin. Data'!D15</f>
        <v>1339</v>
      </c>
      <c r="E14" s="314">
        <f>'Fin. Data'!C15</f>
        <v>605</v>
      </c>
      <c r="F14" s="324">
        <f>'Fin. Data'!B15</f>
        <v>939</v>
      </c>
      <c r="G14" s="328">
        <f>AVERAGE(D14:F14)*(1+G5)</f>
        <v>1000.0360889604622</v>
      </c>
      <c r="H14" s="326">
        <f t="shared" ref="H14:AF14" si="10">AVERAGE(E14:G14)*(1+H5)</f>
        <v>913.78319807622404</v>
      </c>
      <c r="I14" s="326">
        <f t="shared" si="10"/>
        <v>1024.9652974473493</v>
      </c>
      <c r="J14" s="329">
        <f t="shared" si="10"/>
        <v>1039.5454932906048</v>
      </c>
      <c r="K14" s="328">
        <f t="shared" si="10"/>
        <v>1052.7023064347659</v>
      </c>
      <c r="L14" s="326">
        <f t="shared" si="10"/>
        <v>1101.4554456466601</v>
      </c>
      <c r="M14" s="326">
        <f t="shared" si="10"/>
        <v>1113.7440712908867</v>
      </c>
      <c r="N14" s="326">
        <f t="shared" si="10"/>
        <v>1138.9285873587075</v>
      </c>
      <c r="O14" s="326">
        <f t="shared" si="10"/>
        <v>1169.0698638561014</v>
      </c>
      <c r="P14" s="326">
        <f t="shared" si="10"/>
        <v>1192.7270823354224</v>
      </c>
      <c r="Q14" s="326">
        <f t="shared" si="10"/>
        <v>1219.4480600910599</v>
      </c>
      <c r="R14" s="326">
        <f t="shared" si="10"/>
        <v>1237.3611715311058</v>
      </c>
      <c r="S14" s="326">
        <f t="shared" si="10"/>
        <v>1261.017130833518</v>
      </c>
      <c r="T14" s="326">
        <f t="shared" si="10"/>
        <v>1283.6872936506415</v>
      </c>
      <c r="U14" s="326">
        <f t="shared" si="10"/>
        <v>1305.9131158730261</v>
      </c>
      <c r="V14" s="326">
        <f t="shared" si="10"/>
        <v>1329.6293473722201</v>
      </c>
      <c r="W14" s="326">
        <f t="shared" si="10"/>
        <v>1341.1127322348655</v>
      </c>
      <c r="X14" s="326">
        <f t="shared" si="10"/>
        <v>1360.7921433490671</v>
      </c>
      <c r="Y14" s="326">
        <f t="shared" si="10"/>
        <v>1379.6009162269838</v>
      </c>
      <c r="Z14" s="326">
        <f t="shared" si="10"/>
        <v>1396.7310169379143</v>
      </c>
      <c r="AA14" s="326">
        <f t="shared" si="10"/>
        <v>1415.7941517445015</v>
      </c>
      <c r="AB14" s="326">
        <f t="shared" si="10"/>
        <v>1434.6470910946671</v>
      </c>
      <c r="AC14" s="326">
        <f t="shared" si="10"/>
        <v>1445.2028677822289</v>
      </c>
      <c r="AD14" s="326">
        <f t="shared" si="10"/>
        <v>1461.7071718826257</v>
      </c>
      <c r="AE14" s="326">
        <f t="shared" si="10"/>
        <v>1477.3410858126185</v>
      </c>
      <c r="AF14" s="329">
        <f t="shared" si="10"/>
        <v>1491.8799417267958</v>
      </c>
      <c r="AG14" s="492"/>
      <c r="AH14" s="7"/>
      <c r="AI14" s="7"/>
      <c r="AJ14" s="7"/>
      <c r="AK14" s="11"/>
      <c r="AL14" s="11"/>
      <c r="AM14" s="11"/>
      <c r="AN14" s="11"/>
    </row>
    <row r="15" spans="1:40" ht="14.45">
      <c r="A15" s="1009"/>
      <c r="B15" s="259">
        <v>9</v>
      </c>
      <c r="C15" s="243" t="s">
        <v>669</v>
      </c>
      <c r="D15" s="286">
        <f t="shared" ref="D15:AF15" si="11">D8+D13+D14</f>
        <v>5490</v>
      </c>
      <c r="E15" s="287">
        <f t="shared" si="11"/>
        <v>3582</v>
      </c>
      <c r="F15" s="323">
        <f t="shared" si="11"/>
        <v>6496</v>
      </c>
      <c r="G15" s="341">
        <f t="shared" si="11"/>
        <v>5561.6132889604633</v>
      </c>
      <c r="H15" s="342">
        <f t="shared" si="11"/>
        <v>5931.656117350607</v>
      </c>
      <c r="I15" s="342">
        <f t="shared" si="11"/>
        <v>6552.9624195623574</v>
      </c>
      <c r="J15" s="343">
        <f t="shared" si="11"/>
        <v>6987.7570472405605</v>
      </c>
      <c r="K15" s="341">
        <f t="shared" si="11"/>
        <v>8117.6340170962403</v>
      </c>
      <c r="L15" s="342">
        <f t="shared" si="11"/>
        <v>8659.7538573588499</v>
      </c>
      <c r="M15" s="342">
        <f t="shared" si="11"/>
        <v>10172.612234828877</v>
      </c>
      <c r="N15" s="342">
        <f t="shared" si="11"/>
        <v>10684.329330072387</v>
      </c>
      <c r="O15" s="342">
        <f t="shared" si="11"/>
        <v>11214.758948309944</v>
      </c>
      <c r="P15" s="342">
        <f t="shared" si="11"/>
        <v>11153.517744372482</v>
      </c>
      <c r="Q15" s="342">
        <f t="shared" si="11"/>
        <v>11706.111086178045</v>
      </c>
      <c r="R15" s="342">
        <f t="shared" si="11"/>
        <v>12187.119011395331</v>
      </c>
      <c r="S15" s="342">
        <f t="shared" si="11"/>
        <v>12695.710513037804</v>
      </c>
      <c r="T15" s="342">
        <f t="shared" si="11"/>
        <v>13215.071362876617</v>
      </c>
      <c r="U15" s="342">
        <f t="shared" si="11"/>
        <v>13754.725043927046</v>
      </c>
      <c r="V15" s="342">
        <f t="shared" si="11"/>
        <v>14317.216928738935</v>
      </c>
      <c r="W15" s="342">
        <f t="shared" si="11"/>
        <v>13977.609410302883</v>
      </c>
      <c r="X15" s="342">
        <f t="shared" si="11"/>
        <v>14436.902673158065</v>
      </c>
      <c r="Y15" s="342">
        <f t="shared" si="11"/>
        <v>14900.154038369066</v>
      </c>
      <c r="Z15" s="342">
        <f t="shared" si="11"/>
        <v>15387.697924484974</v>
      </c>
      <c r="AA15" s="342">
        <f t="shared" si="11"/>
        <v>15893.235959637359</v>
      </c>
      <c r="AB15" s="342">
        <f t="shared" si="11"/>
        <v>16415.075492097916</v>
      </c>
      <c r="AC15" s="342">
        <f t="shared" si="11"/>
        <v>16865.667614919537</v>
      </c>
      <c r="AD15" s="342">
        <f t="shared" si="11"/>
        <v>17337.580721004524</v>
      </c>
      <c r="AE15" s="342">
        <f t="shared" si="11"/>
        <v>17822.264724899203</v>
      </c>
      <c r="AF15" s="343">
        <f t="shared" si="11"/>
        <v>18319.794776202452</v>
      </c>
      <c r="AG15" s="492"/>
      <c r="AH15" s="7"/>
      <c r="AI15" s="7"/>
      <c r="AJ15" s="7"/>
      <c r="AK15" s="11"/>
      <c r="AL15" s="11"/>
      <c r="AM15" s="11"/>
      <c r="AN15" s="11"/>
    </row>
    <row r="16" spans="1:40" ht="14.45">
      <c r="A16" s="1009"/>
      <c r="B16" s="259">
        <v>10</v>
      </c>
      <c r="C16" s="253" t="s">
        <v>670</v>
      </c>
      <c r="D16" s="474">
        <f>'Fin. Data'!D21</f>
        <v>-1190</v>
      </c>
      <c r="E16" s="475">
        <f>'Fin. Data'!C21</f>
        <v>-865</v>
      </c>
      <c r="F16" s="476">
        <f>'Fin. Data'!B21</f>
        <v>-1537</v>
      </c>
      <c r="G16" s="450">
        <f>-$D$56*G15</f>
        <v>-1268.0478298829858</v>
      </c>
      <c r="H16" s="412">
        <f>-$D$56*H15</f>
        <v>-1352.4175947559384</v>
      </c>
      <c r="I16" s="412">
        <f t="shared" ref="I16:J16" si="12">-$D$56*I15</f>
        <v>-1494.0754316602174</v>
      </c>
      <c r="J16" s="412">
        <f t="shared" si="12"/>
        <v>-1593.2086067708478</v>
      </c>
      <c r="K16" s="411">
        <f>-$E$56*K15</f>
        <v>-2029.4085042740601</v>
      </c>
      <c r="L16" s="412">
        <f>-$E$56*L15</f>
        <v>-2164.9384643397125</v>
      </c>
      <c r="M16" s="412">
        <f t="shared" ref="M16:AE16" si="13">-$E$56*M15</f>
        <v>-2543.1530587072193</v>
      </c>
      <c r="N16" s="412">
        <f t="shared" si="13"/>
        <v>-2671.0823325180968</v>
      </c>
      <c r="O16" s="412">
        <f t="shared" si="13"/>
        <v>-2803.6897370774859</v>
      </c>
      <c r="P16" s="412">
        <f t="shared" si="13"/>
        <v>-2788.3794360931206</v>
      </c>
      <c r="Q16" s="412">
        <f t="shared" si="13"/>
        <v>-2926.5277715445113</v>
      </c>
      <c r="R16" s="412">
        <f t="shared" si="13"/>
        <v>-3046.7797528488327</v>
      </c>
      <c r="S16" s="412">
        <f t="shared" si="13"/>
        <v>-3173.927628259451</v>
      </c>
      <c r="T16" s="412">
        <f t="shared" si="13"/>
        <v>-3303.7678407191543</v>
      </c>
      <c r="U16" s="412">
        <f t="shared" si="13"/>
        <v>-3438.6812609817616</v>
      </c>
      <c r="V16" s="412">
        <f t="shared" si="13"/>
        <v>-3579.3042321847338</v>
      </c>
      <c r="W16" s="412">
        <f t="shared" si="13"/>
        <v>-3494.4023525757207</v>
      </c>
      <c r="X16" s="412">
        <f t="shared" si="13"/>
        <v>-3609.2256682895163</v>
      </c>
      <c r="Y16" s="412">
        <f t="shared" si="13"/>
        <v>-3725.0385095922666</v>
      </c>
      <c r="Z16" s="412">
        <f t="shared" si="13"/>
        <v>-3846.9244811212434</v>
      </c>
      <c r="AA16" s="412">
        <f t="shared" si="13"/>
        <v>-3973.3089899093397</v>
      </c>
      <c r="AB16" s="412">
        <f t="shared" si="13"/>
        <v>-4103.768873024479</v>
      </c>
      <c r="AC16" s="412">
        <f t="shared" si="13"/>
        <v>-4216.4169037298843</v>
      </c>
      <c r="AD16" s="412">
        <f t="shared" si="13"/>
        <v>-4334.395180251131</v>
      </c>
      <c r="AE16" s="412">
        <f t="shared" si="13"/>
        <v>-4455.5661812248009</v>
      </c>
      <c r="AF16" s="413">
        <f>-$E$56*AF15</f>
        <v>-4579.9486940506131</v>
      </c>
      <c r="AG16" s="492"/>
      <c r="AH16" s="7"/>
      <c r="AI16" s="7"/>
      <c r="AJ16" s="7"/>
      <c r="AK16" s="11"/>
      <c r="AL16" s="11"/>
      <c r="AM16" s="11"/>
      <c r="AN16" s="11"/>
    </row>
    <row r="17" spans="1:40" ht="15" thickBot="1">
      <c r="A17" s="1009"/>
      <c r="B17" s="260">
        <v>11</v>
      </c>
      <c r="C17" s="266" t="s">
        <v>671</v>
      </c>
      <c r="D17" s="318">
        <f>'Fin. Data'!D23</f>
        <v>4300</v>
      </c>
      <c r="E17" s="658">
        <f>'Fin. Data'!C23</f>
        <v>2717</v>
      </c>
      <c r="F17" s="325">
        <f>'Fin. Data'!B23</f>
        <v>4959</v>
      </c>
      <c r="G17" s="332">
        <f>G16+G15</f>
        <v>4293.5654590774775</v>
      </c>
      <c r="H17" s="333">
        <f t="shared" ref="H17:AF17" si="14">H16+H15</f>
        <v>4579.2385225946691</v>
      </c>
      <c r="I17" s="333">
        <f t="shared" si="14"/>
        <v>5058.8869879021404</v>
      </c>
      <c r="J17" s="334">
        <f t="shared" si="14"/>
        <v>5394.5484404697127</v>
      </c>
      <c r="K17" s="332">
        <f t="shared" si="14"/>
        <v>6088.2255128221805</v>
      </c>
      <c r="L17" s="333">
        <f t="shared" si="14"/>
        <v>6494.8153930191374</v>
      </c>
      <c r="M17" s="333">
        <f t="shared" si="14"/>
        <v>7629.4591761216579</v>
      </c>
      <c r="N17" s="333">
        <f t="shared" si="14"/>
        <v>8013.2469975542899</v>
      </c>
      <c r="O17" s="333">
        <f t="shared" si="14"/>
        <v>8411.0692112324577</v>
      </c>
      <c r="P17" s="333">
        <f t="shared" si="14"/>
        <v>8365.1383082793618</v>
      </c>
      <c r="Q17" s="333">
        <f t="shared" si="14"/>
        <v>8779.5833146335335</v>
      </c>
      <c r="R17" s="333">
        <f t="shared" si="14"/>
        <v>9140.3392585464971</v>
      </c>
      <c r="S17" s="333">
        <f t="shared" si="14"/>
        <v>9521.782884778353</v>
      </c>
      <c r="T17" s="333">
        <f t="shared" si="14"/>
        <v>9911.3035221574628</v>
      </c>
      <c r="U17" s="333">
        <f t="shared" si="14"/>
        <v>10316.043782945286</v>
      </c>
      <c r="V17" s="333">
        <f t="shared" si="14"/>
        <v>10737.912696554202</v>
      </c>
      <c r="W17" s="333">
        <f t="shared" si="14"/>
        <v>10483.207057727162</v>
      </c>
      <c r="X17" s="333">
        <f t="shared" si="14"/>
        <v>10827.677004868548</v>
      </c>
      <c r="Y17" s="333">
        <f t="shared" si="14"/>
        <v>11175.1155287768</v>
      </c>
      <c r="Z17" s="333">
        <f t="shared" si="14"/>
        <v>11540.773443363731</v>
      </c>
      <c r="AA17" s="333">
        <f t="shared" si="14"/>
        <v>11919.92696972802</v>
      </c>
      <c r="AB17" s="333">
        <f t="shared" si="14"/>
        <v>12311.306619073437</v>
      </c>
      <c r="AC17" s="333">
        <f t="shared" si="14"/>
        <v>12649.250711189652</v>
      </c>
      <c r="AD17" s="333">
        <f t="shared" si="14"/>
        <v>13003.185540753393</v>
      </c>
      <c r="AE17" s="333">
        <f t="shared" si="14"/>
        <v>13366.698543674403</v>
      </c>
      <c r="AF17" s="334">
        <f t="shared" si="14"/>
        <v>13739.846082151838</v>
      </c>
      <c r="AG17" s="492"/>
      <c r="AH17" s="7"/>
      <c r="AI17" s="7"/>
      <c r="AJ17" s="7"/>
      <c r="AK17" s="11"/>
      <c r="AL17" s="11"/>
      <c r="AM17" s="11"/>
      <c r="AN17" s="11"/>
    </row>
    <row r="18" spans="1:40" ht="15" thickBot="1">
      <c r="A18" s="247"/>
      <c r="B18" s="255"/>
      <c r="C18" s="256" t="s">
        <v>362</v>
      </c>
      <c r="D18" s="264" t="s">
        <v>362</v>
      </c>
      <c r="E18" s="264" t="s">
        <v>362</v>
      </c>
      <c r="F18" s="264" t="s">
        <v>362</v>
      </c>
      <c r="G18" s="261" t="s">
        <v>362</v>
      </c>
      <c r="H18" s="261" t="s">
        <v>362</v>
      </c>
      <c r="I18" s="261" t="s">
        <v>362</v>
      </c>
      <c r="J18" s="261" t="s">
        <v>362</v>
      </c>
      <c r="K18" s="261" t="s">
        <v>362</v>
      </c>
      <c r="L18" s="261" t="s">
        <v>362</v>
      </c>
      <c r="M18" s="261" t="s">
        <v>362</v>
      </c>
      <c r="N18" s="261" t="s">
        <v>362</v>
      </c>
      <c r="O18" s="261" t="s">
        <v>362</v>
      </c>
      <c r="P18" s="261" t="s">
        <v>362</v>
      </c>
      <c r="Q18" s="261" t="s">
        <v>362</v>
      </c>
      <c r="R18" s="261" t="s">
        <v>362</v>
      </c>
      <c r="S18" s="261" t="s">
        <v>362</v>
      </c>
      <c r="T18" s="261" t="s">
        <v>362</v>
      </c>
      <c r="U18" s="261" t="s">
        <v>362</v>
      </c>
      <c r="V18" s="261" t="s">
        <v>362</v>
      </c>
      <c r="W18" s="261" t="s">
        <v>362</v>
      </c>
      <c r="X18" s="261" t="s">
        <v>362</v>
      </c>
      <c r="Y18" s="261" t="s">
        <v>362</v>
      </c>
      <c r="Z18" s="261" t="s">
        <v>362</v>
      </c>
      <c r="AA18" s="261" t="s">
        <v>362</v>
      </c>
      <c r="AB18" s="261" t="s">
        <v>362</v>
      </c>
      <c r="AC18" s="261" t="s">
        <v>362</v>
      </c>
      <c r="AD18" s="261" t="s">
        <v>362</v>
      </c>
      <c r="AE18" s="261" t="s">
        <v>362</v>
      </c>
      <c r="AF18" s="271" t="s">
        <v>362</v>
      </c>
      <c r="AG18" s="492"/>
      <c r="AH18" s="7"/>
      <c r="AI18" s="7"/>
      <c r="AJ18" s="7"/>
      <c r="AK18" s="11"/>
      <c r="AL18" s="11"/>
      <c r="AM18" s="11"/>
      <c r="AN18" s="11"/>
    </row>
    <row r="19" spans="1:40" ht="14.45">
      <c r="A19" s="1276" t="s">
        <v>672</v>
      </c>
      <c r="B19" s="236">
        <v>12</v>
      </c>
      <c r="C19" s="425" t="s">
        <v>673</v>
      </c>
      <c r="D19" s="470">
        <f>D17-D10-D9-D11</f>
        <v>5433</v>
      </c>
      <c r="E19" s="470">
        <f>E17-E10-E9-E11</f>
        <v>3849</v>
      </c>
      <c r="F19" s="470">
        <f>F17-F10-F9-F11</f>
        <v>6240</v>
      </c>
      <c r="G19" s="470">
        <f>G17-G10-G9-G11</f>
        <v>5532.728456467642</v>
      </c>
      <c r="H19" s="489">
        <f t="shared" ref="H19:AF19" si="15">H17-H10-H9-H11</f>
        <v>6626.3910609922505</v>
      </c>
      <c r="I19" s="489">
        <f t="shared" si="15"/>
        <v>7225.8188831139205</v>
      </c>
      <c r="J19" s="490">
        <f t="shared" si="15"/>
        <v>7687.2911524052215</v>
      </c>
      <c r="K19" s="470">
        <f t="shared" si="15"/>
        <v>8528.9230260677832</v>
      </c>
      <c r="L19" s="489">
        <f t="shared" si="15"/>
        <v>9120.9348821331532</v>
      </c>
      <c r="M19" s="489">
        <f t="shared" si="15"/>
        <v>10448.877047707416</v>
      </c>
      <c r="N19" s="489">
        <f t="shared" si="15"/>
        <v>11034.676007096796</v>
      </c>
      <c r="O19" s="489">
        <f t="shared" si="15"/>
        <v>11643.668916993969</v>
      </c>
      <c r="P19" s="489">
        <f t="shared" si="15"/>
        <v>11818.502464956862</v>
      </c>
      <c r="Q19" s="489">
        <f t="shared" si="15"/>
        <v>12463.549479517416</v>
      </c>
      <c r="R19" s="489">
        <f t="shared" si="15"/>
        <v>13062.796911472429</v>
      </c>
      <c r="S19" s="489">
        <f t="shared" si="15"/>
        <v>13691.40992972116</v>
      </c>
      <c r="T19" s="489">
        <f t="shared" si="15"/>
        <v>14336.862280236035</v>
      </c>
      <c r="U19" s="489">
        <f t="shared" si="15"/>
        <v>15006.667917809202</v>
      </c>
      <c r="V19" s="489">
        <f t="shared" si="15"/>
        <v>15703.072543537681</v>
      </c>
      <c r="W19" s="489">
        <f t="shared" si="15"/>
        <v>15729.517895804407</v>
      </c>
      <c r="X19" s="489">
        <f t="shared" si="15"/>
        <v>16362.581582207938</v>
      </c>
      <c r="Y19" s="489">
        <f t="shared" si="15"/>
        <v>17006.260476148087</v>
      </c>
      <c r="Z19" s="489">
        <f t="shared" si="15"/>
        <v>17676.015006569469</v>
      </c>
      <c r="AA19" s="489">
        <f t="shared" si="15"/>
        <v>18367.336906362776</v>
      </c>
      <c r="AB19" s="489">
        <f t="shared" si="15"/>
        <v>19079.178264388123</v>
      </c>
      <c r="AC19" s="489">
        <f t="shared" si="15"/>
        <v>19743.756953256179</v>
      </c>
      <c r="AD19" s="489">
        <f t="shared" si="15"/>
        <v>20431.107089576682</v>
      </c>
      <c r="AE19" s="489">
        <f t="shared" si="15"/>
        <v>21134.959624034327</v>
      </c>
      <c r="AF19" s="491">
        <f t="shared" si="15"/>
        <v>21855.517545085997</v>
      </c>
      <c r="AG19" s="492"/>
      <c r="AH19" s="7"/>
      <c r="AI19" s="7"/>
      <c r="AJ19" s="7"/>
      <c r="AK19" s="11"/>
      <c r="AL19" s="11"/>
      <c r="AM19" s="11"/>
      <c r="AN19" s="11"/>
    </row>
    <row r="20" spans="1:40" ht="14.45">
      <c r="A20" s="1277"/>
      <c r="B20" s="236">
        <v>13</v>
      </c>
      <c r="C20" s="253" t="s">
        <v>674</v>
      </c>
      <c r="D20" s="280">
        <v>-121</v>
      </c>
      <c r="E20" s="281">
        <v>-120</v>
      </c>
      <c r="F20" s="562">
        <v>-146</v>
      </c>
      <c r="G20" s="470">
        <f>G11</f>
        <v>-165.17649538667499</v>
      </c>
      <c r="H20" s="489">
        <f t="shared" ref="H20:AF20" si="16">H11</f>
        <v>-177.98745881368387</v>
      </c>
      <c r="I20" s="489">
        <f t="shared" si="16"/>
        <v>-191.84282316146511</v>
      </c>
      <c r="J20" s="490">
        <f t="shared" si="16"/>
        <v>-203.58349158074969</v>
      </c>
      <c r="K20" s="470">
        <f t="shared" si="16"/>
        <v>-215.87473762900171</v>
      </c>
      <c r="L20" s="489">
        <f t="shared" si="16"/>
        <v>-228.83556362059619</v>
      </c>
      <c r="M20" s="489">
        <f t="shared" si="16"/>
        <v>-239.40632491663325</v>
      </c>
      <c r="N20" s="489">
        <f t="shared" si="16"/>
        <v>-250.31355485520277</v>
      </c>
      <c r="O20" s="489">
        <f t="shared" si="16"/>
        <v>-261.73779688475042</v>
      </c>
      <c r="P20" s="489">
        <f t="shared" si="16"/>
        <v>-273.70419319567321</v>
      </c>
      <c r="Q20" s="489">
        <f t="shared" si="16"/>
        <v>-286.02760561988214</v>
      </c>
      <c r="R20" s="489">
        <f t="shared" si="16"/>
        <v>-296.47744225193168</v>
      </c>
      <c r="S20" s="489">
        <f t="shared" si="16"/>
        <v>-307.32380890873003</v>
      </c>
      <c r="T20" s="489">
        <f t="shared" si="16"/>
        <v>-318.33735366157003</v>
      </c>
      <c r="U20" s="489">
        <f t="shared" si="16"/>
        <v>-329.75704534867333</v>
      </c>
      <c r="V20" s="489">
        <f t="shared" si="16"/>
        <v>-341.59817774918002</v>
      </c>
      <c r="W20" s="489">
        <f t="shared" si="16"/>
        <v>-350.67221921469798</v>
      </c>
      <c r="X20" s="489">
        <f t="shared" si="16"/>
        <v>-359.99500384684234</v>
      </c>
      <c r="Y20" s="489">
        <f t="shared" si="16"/>
        <v>-369.57352437906496</v>
      </c>
      <c r="Z20" s="489">
        <f t="shared" si="16"/>
        <v>-379.41497393559081</v>
      </c>
      <c r="AA20" s="489">
        <f t="shared" si="16"/>
        <v>-389.52675185531524</v>
      </c>
      <c r="AB20" s="489">
        <f t="shared" si="16"/>
        <v>-399.91646968666481</v>
      </c>
      <c r="AC20" s="489">
        <f t="shared" si="16"/>
        <v>-408.24369263622538</v>
      </c>
      <c r="AD20" s="489">
        <f t="shared" si="16"/>
        <v>-416.74732685145204</v>
      </c>
      <c r="AE20" s="489">
        <f t="shared" si="16"/>
        <v>-425.43119656185826</v>
      </c>
      <c r="AF20" s="491">
        <f t="shared" si="16"/>
        <v>-434.29921136167394</v>
      </c>
      <c r="AG20" s="492"/>
      <c r="AH20" s="7"/>
      <c r="AI20" s="7"/>
      <c r="AJ20" s="7"/>
      <c r="AK20" s="11"/>
      <c r="AL20" s="11"/>
      <c r="AM20" s="11"/>
      <c r="AN20" s="11"/>
    </row>
    <row r="21" spans="1:40" ht="14.45">
      <c r="A21" s="1277"/>
      <c r="B21" s="236">
        <v>14</v>
      </c>
      <c r="C21" s="253" t="s">
        <v>675</v>
      </c>
      <c r="D21" s="285">
        <f>Inputs!D62</f>
        <v>-649</v>
      </c>
      <c r="E21" s="284">
        <f>Inputs!C62</f>
        <v>-521</v>
      </c>
      <c r="F21" s="563">
        <f>Inputs!B62</f>
        <v>-487</v>
      </c>
      <c r="G21" s="364">
        <f>$D$60*(G6-F6)</f>
        <v>-292.02850412308277</v>
      </c>
      <c r="H21" s="443">
        <f t="shared" ref="H21:J21" si="17">$D$60*(H6-G6)</f>
        <v>-580.24066450624457</v>
      </c>
      <c r="I21" s="443">
        <f t="shared" si="17"/>
        <v>-627.54420164711826</v>
      </c>
      <c r="J21" s="444">
        <f t="shared" si="17"/>
        <v>-531.76431922292511</v>
      </c>
      <c r="K21" s="330">
        <f t="shared" ref="K21:AF21" si="18">$E$60*(K6-J6)</f>
        <v>-556.70136093056351</v>
      </c>
      <c r="L21" s="327">
        <f t="shared" si="18"/>
        <v>-587.02831592334462</v>
      </c>
      <c r="M21" s="327">
        <f t="shared" si="18"/>
        <v>-478.77629139259187</v>
      </c>
      <c r="N21" s="327">
        <f t="shared" si="18"/>
        <v>-494.01580010252508</v>
      </c>
      <c r="O21" s="327">
        <f t="shared" si="18"/>
        <v>-517.43257440963544</v>
      </c>
      <c r="P21" s="327">
        <f t="shared" si="18"/>
        <v>-541.98810157840421</v>
      </c>
      <c r="Q21" s="327">
        <f t="shared" si="18"/>
        <v>-558.15825677343548</v>
      </c>
      <c r="R21" s="327">
        <f t="shared" si="18"/>
        <v>-473.29931007209365</v>
      </c>
      <c r="S21" s="327">
        <f t="shared" si="18"/>
        <v>-491.25914942124331</v>
      </c>
      <c r="T21" s="327">
        <f t="shared" si="18"/>
        <v>-498.83106468669592</v>
      </c>
      <c r="U21" s="327">
        <f t="shared" si="18"/>
        <v>-517.22647798771754</v>
      </c>
      <c r="V21" s="327">
        <f t="shared" si="18"/>
        <v>-536.31458490398541</v>
      </c>
      <c r="W21" s="327">
        <f t="shared" si="18"/>
        <v>-410.98609637812871</v>
      </c>
      <c r="X21" s="327">
        <f t="shared" si="18"/>
        <v>-422.25229826193214</v>
      </c>
      <c r="Y21" s="327">
        <f t="shared" si="18"/>
        <v>-433.83521858209195</v>
      </c>
      <c r="Z21" s="327">
        <f t="shared" si="18"/>
        <v>-445.74393353931288</v>
      </c>
      <c r="AA21" s="327">
        <f t="shared" si="18"/>
        <v>-457.98778311323315</v>
      </c>
      <c r="AB21" s="327">
        <f t="shared" si="18"/>
        <v>-470.57637880574214</v>
      </c>
      <c r="AC21" s="327">
        <f t="shared" si="18"/>
        <v>-377.16081271124187</v>
      </c>
      <c r="AD21" s="327">
        <f t="shared" si="18"/>
        <v>-385.1509213864959</v>
      </c>
      <c r="AE21" s="327">
        <f t="shared" si="18"/>
        <v>-393.31423900787684</v>
      </c>
      <c r="AF21" s="331">
        <f t="shared" si="18"/>
        <v>-401.65463195750368</v>
      </c>
      <c r="AG21" s="492"/>
      <c r="AH21" s="7"/>
      <c r="AI21" s="7"/>
      <c r="AJ21" s="7"/>
      <c r="AK21" s="11"/>
      <c r="AL21" s="11"/>
      <c r="AM21" s="11"/>
      <c r="AN21" s="11"/>
    </row>
    <row r="22" spans="1:40" ht="14.45">
      <c r="A22" s="1277"/>
      <c r="B22" s="236">
        <v>15</v>
      </c>
      <c r="C22" s="262" t="s">
        <v>676</v>
      </c>
      <c r="D22" s="282">
        <f t="shared" ref="D22:AF22" si="19">D19+D20+D21</f>
        <v>4663</v>
      </c>
      <c r="E22" s="283">
        <f t="shared" si="19"/>
        <v>3208</v>
      </c>
      <c r="F22" s="564">
        <f t="shared" si="19"/>
        <v>5607</v>
      </c>
      <c r="G22" s="439">
        <f>G19+G20+G21</f>
        <v>5075.5234569578843</v>
      </c>
      <c r="H22" s="440">
        <f t="shared" si="19"/>
        <v>5868.1629376723222</v>
      </c>
      <c r="I22" s="440">
        <f t="shared" si="19"/>
        <v>6406.4318583053373</v>
      </c>
      <c r="J22" s="441">
        <f t="shared" si="19"/>
        <v>6951.9433416015463</v>
      </c>
      <c r="K22" s="439">
        <f t="shared" si="19"/>
        <v>7756.3469275082189</v>
      </c>
      <c r="L22" s="440">
        <f t="shared" si="19"/>
        <v>8305.0710025892131</v>
      </c>
      <c r="M22" s="440">
        <f t="shared" si="19"/>
        <v>9730.6944313981894</v>
      </c>
      <c r="N22" s="440">
        <f t="shared" si="19"/>
        <v>10290.346652139067</v>
      </c>
      <c r="O22" s="440">
        <f t="shared" si="19"/>
        <v>10864.498545699584</v>
      </c>
      <c r="P22" s="440">
        <f t="shared" si="19"/>
        <v>11002.810170182784</v>
      </c>
      <c r="Q22" s="440">
        <f t="shared" si="19"/>
        <v>11619.3636171241</v>
      </c>
      <c r="R22" s="440">
        <f t="shared" si="19"/>
        <v>12293.020159148404</v>
      </c>
      <c r="S22" s="440">
        <f t="shared" si="19"/>
        <v>12892.826971391187</v>
      </c>
      <c r="T22" s="440">
        <f t="shared" si="19"/>
        <v>13519.693861887768</v>
      </c>
      <c r="U22" s="440">
        <f t="shared" si="19"/>
        <v>14159.684394472812</v>
      </c>
      <c r="V22" s="440">
        <f t="shared" si="19"/>
        <v>14825.159780884516</v>
      </c>
      <c r="W22" s="440">
        <f t="shared" si="19"/>
        <v>14967.859580211581</v>
      </c>
      <c r="X22" s="440">
        <f t="shared" si="19"/>
        <v>15580.334280099165</v>
      </c>
      <c r="Y22" s="440">
        <f t="shared" si="19"/>
        <v>16202.85173318693</v>
      </c>
      <c r="Z22" s="440">
        <f t="shared" si="19"/>
        <v>16850.856099094563</v>
      </c>
      <c r="AA22" s="440">
        <f t="shared" si="19"/>
        <v>17519.822371394228</v>
      </c>
      <c r="AB22" s="440">
        <f t="shared" si="19"/>
        <v>18208.685415895718</v>
      </c>
      <c r="AC22" s="440">
        <f t="shared" si="19"/>
        <v>18958.352447908714</v>
      </c>
      <c r="AD22" s="440">
        <f t="shared" si="19"/>
        <v>19629.208841338736</v>
      </c>
      <c r="AE22" s="440">
        <f t="shared" si="19"/>
        <v>20316.214188464593</v>
      </c>
      <c r="AF22" s="442">
        <f t="shared" si="19"/>
        <v>21019.56370176682</v>
      </c>
      <c r="AG22" s="492"/>
      <c r="AH22" s="7"/>
      <c r="AI22" s="7"/>
      <c r="AJ22" s="7"/>
      <c r="AK22" s="11"/>
      <c r="AL22" s="11"/>
      <c r="AM22" s="11"/>
      <c r="AN22" s="11"/>
    </row>
    <row r="23" spans="1:40" ht="14.45">
      <c r="A23" s="1277"/>
      <c r="B23" s="236">
        <v>16</v>
      </c>
      <c r="C23" s="253" t="s">
        <v>677</v>
      </c>
      <c r="D23" s="302">
        <f>'Fin. Data'!D32</f>
        <v>-965</v>
      </c>
      <c r="E23" s="301">
        <f>'Fin. Data'!C32</f>
        <v>-906</v>
      </c>
      <c r="F23" s="565">
        <f>'Fin. Data'!B32</f>
        <v>-1112</v>
      </c>
      <c r="G23" s="330">
        <f>G6*$D$62</f>
        <v>-1112.7988277211336</v>
      </c>
      <c r="H23" s="327">
        <f t="shared" ref="H23:J23" si="20">H6*$D$62</f>
        <v>-1199.1066589302939</v>
      </c>
      <c r="I23" s="327">
        <f t="shared" si="20"/>
        <v>-1292.4506493556046</v>
      </c>
      <c r="J23" s="424">
        <f t="shared" si="20"/>
        <v>-1371.5478721357435</v>
      </c>
      <c r="K23" s="330">
        <f t="shared" ref="K23:AF23" si="21">K6*$E$62</f>
        <v>-1959.3017650997569</v>
      </c>
      <c r="L23" s="327">
        <f t="shared" si="21"/>
        <v>-2076.9355814572955</v>
      </c>
      <c r="M23" s="327">
        <f t="shared" si="21"/>
        <v>-2172.8769199077801</v>
      </c>
      <c r="N23" s="327">
        <f t="shared" si="21"/>
        <v>-2271.8720830551938</v>
      </c>
      <c r="O23" s="327">
        <f t="shared" si="21"/>
        <v>-2375.5597021775734</v>
      </c>
      <c r="P23" s="327">
        <f t="shared" si="21"/>
        <v>-2484.1679704325079</v>
      </c>
      <c r="Q23" s="327">
        <f t="shared" si="21"/>
        <v>-2596.0165543844687</v>
      </c>
      <c r="R23" s="327">
        <f t="shared" si="21"/>
        <v>-2690.8603678989784</v>
      </c>
      <c r="S23" s="327">
        <f t="shared" si="21"/>
        <v>-2789.3031295161632</v>
      </c>
      <c r="T23" s="327">
        <f t="shared" si="21"/>
        <v>-2889.2632170708712</v>
      </c>
      <c r="U23" s="327">
        <f t="shared" si="21"/>
        <v>-2992.9095368078711</v>
      </c>
      <c r="V23" s="327">
        <f t="shared" si="21"/>
        <v>-3100.3808966710353</v>
      </c>
      <c r="W23" s="327">
        <f t="shared" si="21"/>
        <v>-3182.7378489260605</v>
      </c>
      <c r="X23" s="327">
        <f t="shared" si="21"/>
        <v>-3267.3524202558342</v>
      </c>
      <c r="Y23" s="327">
        <f t="shared" si="21"/>
        <v>-3354.2880774427399</v>
      </c>
      <c r="Z23" s="327">
        <f t="shared" si="21"/>
        <v>-3443.6101060368383</v>
      </c>
      <c r="AA23" s="327">
        <f t="shared" si="21"/>
        <v>-3535.3856632141747</v>
      </c>
      <c r="AB23" s="327">
        <f t="shared" si="21"/>
        <v>-3629.6838321867576</v>
      </c>
      <c r="AC23" s="327">
        <f t="shared" si="21"/>
        <v>-3705.2625812458195</v>
      </c>
      <c r="AD23" s="327">
        <f t="shared" si="21"/>
        <v>-3782.4424574585237</v>
      </c>
      <c r="AE23" s="327">
        <f t="shared" si="21"/>
        <v>-3861.2581699331145</v>
      </c>
      <c r="AF23" s="331">
        <f t="shared" si="21"/>
        <v>-3941.745202556961</v>
      </c>
      <c r="AG23" s="493">
        <f>SUM(D23:AF23)</f>
        <v>-74062.118091879092</v>
      </c>
      <c r="AH23" s="7"/>
      <c r="AI23" s="7"/>
      <c r="AJ23" s="7"/>
      <c r="AK23" s="11"/>
      <c r="AL23" s="11"/>
      <c r="AM23" s="11"/>
      <c r="AN23" s="11"/>
    </row>
    <row r="24" spans="1:40" ht="14.45">
      <c r="A24" s="1277"/>
      <c r="B24" s="236">
        <v>17</v>
      </c>
      <c r="C24" s="253" t="s">
        <v>628</v>
      </c>
      <c r="D24" s="285">
        <f>Inputs!D66</f>
        <v>939</v>
      </c>
      <c r="E24" s="284">
        <f>'Fin. Data'!C33</f>
        <v>-3982</v>
      </c>
      <c r="F24" s="563">
        <f>'Fin. Data'!B33</f>
        <v>3924</v>
      </c>
      <c r="G24" s="330">
        <f>G6*$D$63</f>
        <v>623.0415534516676</v>
      </c>
      <c r="H24" s="327">
        <f t="shared" ref="H24:J24" si="22">H6*$D$63</f>
        <v>671.36418274641665</v>
      </c>
      <c r="I24" s="327">
        <f t="shared" si="22"/>
        <v>723.6262658392443</v>
      </c>
      <c r="J24" s="424">
        <f t="shared" si="22"/>
        <v>767.91176949633484</v>
      </c>
      <c r="K24" s="330">
        <f t="shared" ref="K24:AF24" si="23">K6*$E$63</f>
        <v>1959.3017650997569</v>
      </c>
      <c r="L24" s="327">
        <f t="shared" si="23"/>
        <v>2076.9355814572955</v>
      </c>
      <c r="M24" s="327">
        <f t="shared" si="23"/>
        <v>2172.8769199077801</v>
      </c>
      <c r="N24" s="327">
        <f t="shared" si="23"/>
        <v>2271.8720830551938</v>
      </c>
      <c r="O24" s="327">
        <f t="shared" si="23"/>
        <v>2375.5597021775734</v>
      </c>
      <c r="P24" s="327">
        <f t="shared" si="23"/>
        <v>2484.1679704325079</v>
      </c>
      <c r="Q24" s="327">
        <f t="shared" si="23"/>
        <v>2596.0165543844687</v>
      </c>
      <c r="R24" s="327">
        <f t="shared" si="23"/>
        <v>2690.8603678989784</v>
      </c>
      <c r="S24" s="327">
        <f t="shared" si="23"/>
        <v>2789.3031295161632</v>
      </c>
      <c r="T24" s="327">
        <f t="shared" si="23"/>
        <v>2889.2632170708712</v>
      </c>
      <c r="U24" s="327">
        <f t="shared" si="23"/>
        <v>2992.9095368078711</v>
      </c>
      <c r="V24" s="327">
        <f t="shared" si="23"/>
        <v>3100.3808966710353</v>
      </c>
      <c r="W24" s="327">
        <f t="shared" si="23"/>
        <v>3182.7378489260605</v>
      </c>
      <c r="X24" s="327">
        <f t="shared" si="23"/>
        <v>3267.3524202558342</v>
      </c>
      <c r="Y24" s="327">
        <f t="shared" si="23"/>
        <v>3354.2880774427399</v>
      </c>
      <c r="Z24" s="327">
        <f t="shared" si="23"/>
        <v>3443.6101060368383</v>
      </c>
      <c r="AA24" s="327">
        <f t="shared" si="23"/>
        <v>3535.3856632141747</v>
      </c>
      <c r="AB24" s="327">
        <f t="shared" si="23"/>
        <v>3629.6838321867576</v>
      </c>
      <c r="AC24" s="327">
        <f t="shared" si="23"/>
        <v>3705.2625812458195</v>
      </c>
      <c r="AD24" s="327">
        <f t="shared" si="23"/>
        <v>3782.4424574585237</v>
      </c>
      <c r="AE24" s="327">
        <f t="shared" si="23"/>
        <v>3861.2581699331145</v>
      </c>
      <c r="AF24" s="331">
        <f t="shared" si="23"/>
        <v>3941.745202556961</v>
      </c>
      <c r="AG24" s="492"/>
      <c r="AH24" s="494">
        <f>AG9-AG23</f>
        <v>-32930.262319444286</v>
      </c>
      <c r="AI24" s="7"/>
      <c r="AJ24" s="7"/>
      <c r="AK24" s="11"/>
      <c r="AL24" s="11"/>
      <c r="AM24" s="11"/>
      <c r="AN24" s="11"/>
    </row>
    <row r="25" spans="1:40" ht="14.45">
      <c r="A25" s="1277"/>
      <c r="B25" s="236">
        <v>18</v>
      </c>
      <c r="C25" s="253" t="s">
        <v>678</v>
      </c>
      <c r="D25" s="285">
        <f>Inputs!D67</f>
        <v>0</v>
      </c>
      <c r="E25" s="284">
        <f>Inputs!C67</f>
        <v>0</v>
      </c>
      <c r="F25" s="563">
        <f>Inputs!B67</f>
        <v>0</v>
      </c>
      <c r="G25" s="330">
        <f>(1+G5)*AVERAGE(D25:F25)</f>
        <v>0</v>
      </c>
      <c r="H25" s="327">
        <f t="shared" ref="H25:AF25" si="24">(1+H5)*AVERAGE(E25:G25)</f>
        <v>0</v>
      </c>
      <c r="I25" s="327">
        <f t="shared" si="24"/>
        <v>0</v>
      </c>
      <c r="J25" s="424">
        <f t="shared" si="24"/>
        <v>0</v>
      </c>
      <c r="K25" s="330">
        <f t="shared" si="24"/>
        <v>0</v>
      </c>
      <c r="L25" s="327">
        <f t="shared" si="24"/>
        <v>0</v>
      </c>
      <c r="M25" s="327">
        <f t="shared" si="24"/>
        <v>0</v>
      </c>
      <c r="N25" s="327">
        <f t="shared" si="24"/>
        <v>0</v>
      </c>
      <c r="O25" s="327">
        <f t="shared" si="24"/>
        <v>0</v>
      </c>
      <c r="P25" s="327">
        <f t="shared" si="24"/>
        <v>0</v>
      </c>
      <c r="Q25" s="327">
        <f t="shared" si="24"/>
        <v>0</v>
      </c>
      <c r="R25" s="327">
        <f t="shared" si="24"/>
        <v>0</v>
      </c>
      <c r="S25" s="327">
        <f t="shared" si="24"/>
        <v>0</v>
      </c>
      <c r="T25" s="327">
        <f t="shared" si="24"/>
        <v>0</v>
      </c>
      <c r="U25" s="327">
        <f t="shared" si="24"/>
        <v>0</v>
      </c>
      <c r="V25" s="327">
        <f t="shared" si="24"/>
        <v>0</v>
      </c>
      <c r="W25" s="327">
        <f t="shared" si="24"/>
        <v>0</v>
      </c>
      <c r="X25" s="327">
        <f t="shared" si="24"/>
        <v>0</v>
      </c>
      <c r="Y25" s="327">
        <f t="shared" si="24"/>
        <v>0</v>
      </c>
      <c r="Z25" s="327">
        <f t="shared" si="24"/>
        <v>0</v>
      </c>
      <c r="AA25" s="327">
        <f t="shared" si="24"/>
        <v>0</v>
      </c>
      <c r="AB25" s="327">
        <f t="shared" si="24"/>
        <v>0</v>
      </c>
      <c r="AC25" s="327">
        <f t="shared" si="24"/>
        <v>0</v>
      </c>
      <c r="AD25" s="327">
        <f t="shared" si="24"/>
        <v>0</v>
      </c>
      <c r="AE25" s="327">
        <f t="shared" si="24"/>
        <v>0</v>
      </c>
      <c r="AF25" s="331">
        <f t="shared" si="24"/>
        <v>0</v>
      </c>
      <c r="AG25" s="305"/>
      <c r="AH25" s="7"/>
      <c r="AI25" s="7"/>
      <c r="AJ25" s="7"/>
      <c r="AK25" s="11"/>
      <c r="AL25" s="11"/>
      <c r="AM25" s="11"/>
      <c r="AN25" s="11"/>
    </row>
    <row r="26" spans="1:40" ht="14.45">
      <c r="A26" s="1277"/>
      <c r="B26" s="236">
        <v>19</v>
      </c>
      <c r="C26" s="262" t="s">
        <v>679</v>
      </c>
      <c r="D26" s="282">
        <f t="shared" ref="D26:AF26" si="25">D23+D24+D25</f>
        <v>-26</v>
      </c>
      <c r="E26" s="283">
        <f t="shared" si="25"/>
        <v>-4888</v>
      </c>
      <c r="F26" s="564">
        <f t="shared" si="25"/>
        <v>2812</v>
      </c>
      <c r="G26" s="345">
        <f>G23+G24+G25</f>
        <v>-489.75727426946605</v>
      </c>
      <c r="H26" s="344">
        <f t="shared" si="25"/>
        <v>-527.74247618387722</v>
      </c>
      <c r="I26" s="344">
        <f t="shared" si="25"/>
        <v>-568.82438351636029</v>
      </c>
      <c r="J26" s="423">
        <f t="shared" si="25"/>
        <v>-603.6361026394087</v>
      </c>
      <c r="K26" s="345">
        <f t="shared" si="25"/>
        <v>0</v>
      </c>
      <c r="L26" s="344">
        <f t="shared" si="25"/>
        <v>0</v>
      </c>
      <c r="M26" s="344">
        <f t="shared" si="25"/>
        <v>0</v>
      </c>
      <c r="N26" s="344">
        <f t="shared" si="25"/>
        <v>0</v>
      </c>
      <c r="O26" s="344">
        <f t="shared" si="25"/>
        <v>0</v>
      </c>
      <c r="P26" s="344">
        <f t="shared" si="25"/>
        <v>0</v>
      </c>
      <c r="Q26" s="344">
        <f t="shared" si="25"/>
        <v>0</v>
      </c>
      <c r="R26" s="344">
        <f t="shared" si="25"/>
        <v>0</v>
      </c>
      <c r="S26" s="344">
        <f t="shared" si="25"/>
        <v>0</v>
      </c>
      <c r="T26" s="344">
        <f t="shared" si="25"/>
        <v>0</v>
      </c>
      <c r="U26" s="344">
        <f t="shared" si="25"/>
        <v>0</v>
      </c>
      <c r="V26" s="344">
        <f t="shared" si="25"/>
        <v>0</v>
      </c>
      <c r="W26" s="344">
        <f t="shared" si="25"/>
        <v>0</v>
      </c>
      <c r="X26" s="344">
        <f t="shared" si="25"/>
        <v>0</v>
      </c>
      <c r="Y26" s="344">
        <f t="shared" si="25"/>
        <v>0</v>
      </c>
      <c r="Z26" s="344">
        <f t="shared" si="25"/>
        <v>0</v>
      </c>
      <c r="AA26" s="344">
        <f t="shared" si="25"/>
        <v>0</v>
      </c>
      <c r="AB26" s="344">
        <f t="shared" si="25"/>
        <v>0</v>
      </c>
      <c r="AC26" s="344">
        <f t="shared" si="25"/>
        <v>0</v>
      </c>
      <c r="AD26" s="344">
        <f t="shared" si="25"/>
        <v>0</v>
      </c>
      <c r="AE26" s="344">
        <f t="shared" si="25"/>
        <v>0</v>
      </c>
      <c r="AF26" s="300">
        <f t="shared" si="25"/>
        <v>0</v>
      </c>
      <c r="AG26" s="492"/>
      <c r="AH26" s="7"/>
      <c r="AI26" s="7"/>
      <c r="AJ26" s="7"/>
      <c r="AK26" s="11"/>
      <c r="AL26" s="11"/>
      <c r="AM26" s="11"/>
      <c r="AN26" s="11"/>
    </row>
    <row r="27" spans="1:40" ht="14.45">
      <c r="A27" s="1277"/>
      <c r="B27" s="236">
        <v>20</v>
      </c>
      <c r="C27" s="253" t="s">
        <v>680</v>
      </c>
      <c r="D27" s="285">
        <f>Inputs!D71+Inputs!D72</f>
        <v>-12</v>
      </c>
      <c r="E27" s="284">
        <f>Inputs!C71+Inputs!C72</f>
        <v>53</v>
      </c>
      <c r="F27" s="565">
        <f>Inputs!B71+Inputs!B72</f>
        <v>38</v>
      </c>
      <c r="G27" s="330">
        <f>G6*$D$66</f>
        <v>65.447659118028938</v>
      </c>
      <c r="H27" s="330">
        <f t="shared" ref="H27:J27" si="26">H6*$D$66</f>
        <v>70.523729810663639</v>
      </c>
      <c r="I27" s="330">
        <f t="shared" si="26"/>
        <v>76.013622066016765</v>
      </c>
      <c r="J27" s="330">
        <f t="shared" si="26"/>
        <v>80.665611216920695</v>
      </c>
      <c r="K27" s="949">
        <f>$E$66*K6</f>
        <v>85.535754996268096</v>
      </c>
      <c r="L27" s="950">
        <f>$E$66*L6</f>
        <v>90.671205529954591</v>
      </c>
      <c r="M27" s="950">
        <f t="shared" ref="M27:AE27" si="27">$E$66*M6</f>
        <v>94.85964396546882</v>
      </c>
      <c r="N27" s="950">
        <f t="shared" si="27"/>
        <v>99.18140091563501</v>
      </c>
      <c r="O27" s="950">
        <f t="shared" si="27"/>
        <v>103.70801286657492</v>
      </c>
      <c r="P27" s="950">
        <f t="shared" si="27"/>
        <v>108.449441874347</v>
      </c>
      <c r="Q27" s="950">
        <f t="shared" si="27"/>
        <v>113.33233089328652</v>
      </c>
      <c r="R27" s="950">
        <f t="shared" si="27"/>
        <v>117.47285551292102</v>
      </c>
      <c r="S27" s="950">
        <f t="shared" si="27"/>
        <v>121.77049668735992</v>
      </c>
      <c r="T27" s="950">
        <f t="shared" si="27"/>
        <v>126.13437861243422</v>
      </c>
      <c r="U27" s="950">
        <f t="shared" si="27"/>
        <v>130.65918758734858</v>
      </c>
      <c r="V27" s="950">
        <f t="shared" si="27"/>
        <v>135.35098344550386</v>
      </c>
      <c r="W27" s="950">
        <f t="shared" si="27"/>
        <v>138.94637860913068</v>
      </c>
      <c r="X27" s="950">
        <f t="shared" si="27"/>
        <v>142.64033294087156</v>
      </c>
      <c r="Y27" s="950">
        <f t="shared" si="27"/>
        <v>146.43561716203394</v>
      </c>
      <c r="Z27" s="950">
        <f t="shared" si="27"/>
        <v>150.33508139448998</v>
      </c>
      <c r="AA27" s="950">
        <f t="shared" si="27"/>
        <v>154.34165746827151</v>
      </c>
      <c r="AB27" s="950">
        <f t="shared" si="27"/>
        <v>158.45836129690551</v>
      </c>
      <c r="AC27" s="950">
        <f t="shared" si="27"/>
        <v>161.75784557114707</v>
      </c>
      <c r="AD27" s="950">
        <f t="shared" si="27"/>
        <v>165.1272290423226</v>
      </c>
      <c r="AE27" s="950">
        <f t="shared" si="27"/>
        <v>168.56802697971418</v>
      </c>
      <c r="AF27" s="951">
        <f>$E$66*AF6</f>
        <v>172.08178847654997</v>
      </c>
      <c r="AG27" s="492"/>
      <c r="AH27" s="7"/>
      <c r="AI27" s="7"/>
      <c r="AJ27" s="7"/>
      <c r="AK27" s="11"/>
      <c r="AL27" s="11"/>
      <c r="AM27" s="11"/>
      <c r="AN27" s="11"/>
    </row>
    <row r="28" spans="1:40" ht="14.45">
      <c r="A28" s="1277"/>
      <c r="B28" s="236">
        <v>21</v>
      </c>
      <c r="C28" s="253" t="s">
        <v>681</v>
      </c>
      <c r="D28" s="302">
        <f>+SUM(Inputs!D69:D70)</f>
        <v>-326</v>
      </c>
      <c r="E28" s="284">
        <f>+SUM(Inputs!C69:C70)</f>
        <v>1458</v>
      </c>
      <c r="F28" s="563">
        <f>+SUM(Inputs!B69:B70)</f>
        <v>-2155</v>
      </c>
      <c r="G28" s="330">
        <f>G44-F44</f>
        <v>9621.3972663142013</v>
      </c>
      <c r="H28" s="327">
        <f t="shared" ref="H28:AF28" si="28">H44-G44</f>
        <v>0</v>
      </c>
      <c r="I28" s="327">
        <f t="shared" si="28"/>
        <v>0</v>
      </c>
      <c r="J28" s="424">
        <f t="shared" si="28"/>
        <v>0</v>
      </c>
      <c r="K28" s="330">
        <f t="shared" si="28"/>
        <v>0</v>
      </c>
      <c r="L28" s="327">
        <f t="shared" si="28"/>
        <v>0</v>
      </c>
      <c r="M28" s="327">
        <f t="shared" si="28"/>
        <v>0</v>
      </c>
      <c r="N28" s="327">
        <f t="shared" si="28"/>
        <v>5000.0000000000036</v>
      </c>
      <c r="O28" s="327">
        <f t="shared" si="28"/>
        <v>0</v>
      </c>
      <c r="P28" s="327">
        <f t="shared" si="28"/>
        <v>0</v>
      </c>
      <c r="Q28" s="327">
        <f t="shared" si="28"/>
        <v>0</v>
      </c>
      <c r="R28" s="327">
        <f t="shared" si="28"/>
        <v>0</v>
      </c>
      <c r="S28" s="327">
        <f t="shared" si="28"/>
        <v>0</v>
      </c>
      <c r="T28" s="327">
        <f t="shared" si="28"/>
        <v>0</v>
      </c>
      <c r="U28" s="327">
        <f t="shared" si="28"/>
        <v>0</v>
      </c>
      <c r="V28" s="327">
        <f t="shared" si="28"/>
        <v>0</v>
      </c>
      <c r="W28" s="327">
        <f t="shared" si="28"/>
        <v>0</v>
      </c>
      <c r="X28" s="327">
        <f t="shared" si="28"/>
        <v>5000</v>
      </c>
      <c r="Y28" s="327">
        <f t="shared" si="28"/>
        <v>0</v>
      </c>
      <c r="Z28" s="327">
        <f t="shared" si="28"/>
        <v>0</v>
      </c>
      <c r="AA28" s="327">
        <f t="shared" si="28"/>
        <v>0</v>
      </c>
      <c r="AB28" s="327">
        <f t="shared" si="28"/>
        <v>0</v>
      </c>
      <c r="AC28" s="327">
        <f t="shared" si="28"/>
        <v>0</v>
      </c>
      <c r="AD28" s="327">
        <f t="shared" si="28"/>
        <v>0</v>
      </c>
      <c r="AE28" s="327">
        <f t="shared" si="28"/>
        <v>0</v>
      </c>
      <c r="AF28" s="331">
        <f t="shared" si="28"/>
        <v>0</v>
      </c>
      <c r="AG28" s="492"/>
      <c r="AH28" s="7"/>
      <c r="AI28" s="7"/>
      <c r="AJ28" s="7"/>
      <c r="AK28" s="11"/>
      <c r="AL28" s="11"/>
      <c r="AM28" s="11"/>
      <c r="AN28" s="11"/>
    </row>
    <row r="29" spans="1:40" ht="14.45">
      <c r="A29" s="1277"/>
      <c r="B29" s="236">
        <v>22</v>
      </c>
      <c r="C29" s="253" t="s">
        <v>682</v>
      </c>
      <c r="D29" s="302">
        <f>'Fin. Data'!D28</f>
        <v>-2110</v>
      </c>
      <c r="E29" s="284">
        <f>'Fin. Data'!C28</f>
        <v>-2017</v>
      </c>
      <c r="F29" s="565">
        <f>'Fin. Data'!B28</f>
        <v>-1547</v>
      </c>
      <c r="G29" s="330">
        <f>-G17*$D$65</f>
        <v>-1723.1274599561025</v>
      </c>
      <c r="H29" s="327">
        <f>-H17*$D$65</f>
        <v>-1837.7760206937842</v>
      </c>
      <c r="I29" s="327">
        <f>-I17*$D$65</f>
        <v>-2030.2723153408647</v>
      </c>
      <c r="J29" s="424">
        <f>-J17*$D$65</f>
        <v>-2164.9826095428798</v>
      </c>
      <c r="K29" s="330">
        <f t="shared" ref="K29:AF29" si="29">-K17*$E$65</f>
        <v>-2443.374548155437</v>
      </c>
      <c r="L29" s="327">
        <f t="shared" si="29"/>
        <v>-2606.5503968027224</v>
      </c>
      <c r="M29" s="327">
        <f t="shared" si="29"/>
        <v>-3061.9145640821266</v>
      </c>
      <c r="N29" s="327">
        <f t="shared" si="29"/>
        <v>-3215.9393111624677</v>
      </c>
      <c r="O29" s="327">
        <f t="shared" si="29"/>
        <v>-3375.5964509226387</v>
      </c>
      <c r="P29" s="327">
        <f t="shared" si="29"/>
        <v>-3357.1630996919662</v>
      </c>
      <c r="Q29" s="327">
        <f t="shared" si="29"/>
        <v>-3523.4914293511106</v>
      </c>
      <c r="R29" s="327">
        <f t="shared" si="29"/>
        <v>-3668.2728421940337</v>
      </c>
      <c r="S29" s="327">
        <f t="shared" si="29"/>
        <v>-3821.3567984187434</v>
      </c>
      <c r="T29" s="327">
        <f t="shared" si="29"/>
        <v>-3977.6822842846937</v>
      </c>
      <c r="U29" s="327">
        <f t="shared" si="29"/>
        <v>-4140.1158291230067</v>
      </c>
      <c r="V29" s="327">
        <f t="shared" si="29"/>
        <v>-4309.423579632431</v>
      </c>
      <c r="W29" s="327">
        <f t="shared" si="29"/>
        <v>-4207.2031093376017</v>
      </c>
      <c r="X29" s="327">
        <f t="shared" si="29"/>
        <v>-4345.4484978628961</v>
      </c>
      <c r="Y29" s="327">
        <f t="shared" si="29"/>
        <v>-4484.885258964835</v>
      </c>
      <c r="Z29" s="327">
        <f t="shared" si="29"/>
        <v>-4631.6339692338061</v>
      </c>
      <c r="AA29" s="327">
        <f t="shared" si="29"/>
        <v>-4783.798844567481</v>
      </c>
      <c r="AB29" s="327">
        <f t="shared" si="29"/>
        <v>-4940.8704037373236</v>
      </c>
      <c r="AC29" s="327">
        <f t="shared" si="29"/>
        <v>-5076.4967847965054</v>
      </c>
      <c r="AD29" s="327">
        <f t="shared" si="29"/>
        <v>-5218.5406943791031</v>
      </c>
      <c r="AE29" s="327">
        <f t="shared" si="29"/>
        <v>-5364.4285918280639</v>
      </c>
      <c r="AF29" s="331">
        <f t="shared" si="29"/>
        <v>-5514.1830968644554</v>
      </c>
      <c r="AG29" s="492"/>
      <c r="AH29" s="7"/>
      <c r="AI29" s="7"/>
      <c r="AJ29" s="7"/>
      <c r="AK29" s="11"/>
      <c r="AL29" s="11"/>
      <c r="AM29" s="11"/>
      <c r="AN29" s="11"/>
    </row>
    <row r="30" spans="1:40" s="7" customFormat="1" ht="14.45">
      <c r="A30" s="1277"/>
      <c r="B30" s="236">
        <v>23</v>
      </c>
      <c r="C30" s="253" t="s">
        <v>683</v>
      </c>
      <c r="D30" s="285">
        <f>'Fin. Data'!D27</f>
        <v>-1826</v>
      </c>
      <c r="E30" s="284">
        <f>'Fin. Data'!C27</f>
        <v>-1985</v>
      </c>
      <c r="F30" s="563">
        <f>'Fin. Data'!B27</f>
        <v>-2160</v>
      </c>
      <c r="G30" s="330">
        <f>-$D$64*G17</f>
        <v>-1870.155553863148</v>
      </c>
      <c r="H30" s="327">
        <f t="shared" ref="H30:J30" si="30">-$D$64*H17</f>
        <v>-1994.5866523098377</v>
      </c>
      <c r="I30" s="327">
        <f t="shared" si="30"/>
        <v>-2203.5079439138181</v>
      </c>
      <c r="J30" s="424">
        <f t="shared" si="30"/>
        <v>-2349.7125693515991</v>
      </c>
      <c r="K30" s="330">
        <f t="shared" ref="K30:AF30" si="31">-$E$64*K17</f>
        <v>-2651.8586625722746</v>
      </c>
      <c r="L30" s="327">
        <f t="shared" si="31"/>
        <v>-2828.9577029484444</v>
      </c>
      <c r="M30" s="327">
        <f t="shared" si="31"/>
        <v>-3323.1764106519017</v>
      </c>
      <c r="N30" s="327">
        <f t="shared" si="31"/>
        <v>-3490.3435198058614</v>
      </c>
      <c r="O30" s="327">
        <f t="shared" si="31"/>
        <v>-3663.6236128780215</v>
      </c>
      <c r="P30" s="327">
        <f t="shared" si="31"/>
        <v>-3643.6174119547131</v>
      </c>
      <c r="Q30" s="327">
        <f t="shared" si="31"/>
        <v>-3824.1379228893793</v>
      </c>
      <c r="R30" s="327">
        <f t="shared" si="31"/>
        <v>-3981.2729982779661</v>
      </c>
      <c r="S30" s="327">
        <f t="shared" si="31"/>
        <v>-4147.4190423716964</v>
      </c>
      <c r="T30" s="327">
        <f t="shared" si="31"/>
        <v>-4317.083203843541</v>
      </c>
      <c r="U30" s="327">
        <f t="shared" si="31"/>
        <v>-4493.3766023718126</v>
      </c>
      <c r="V30" s="327">
        <f t="shared" si="31"/>
        <v>-4677.1307571197976</v>
      </c>
      <c r="W30" s="327">
        <f t="shared" si="31"/>
        <v>-4566.1881921134645</v>
      </c>
      <c r="X30" s="327">
        <f t="shared" si="31"/>
        <v>-4716.2295484000933</v>
      </c>
      <c r="Y30" s="327">
        <f t="shared" si="31"/>
        <v>-4867.5639326795499</v>
      </c>
      <c r="Z30" s="327">
        <f t="shared" si="31"/>
        <v>-5026.8341677083399</v>
      </c>
      <c r="AA30" s="327">
        <f t="shared" si="31"/>
        <v>-5191.9827091374318</v>
      </c>
      <c r="AB30" s="327">
        <f t="shared" si="31"/>
        <v>-5362.4566035891557</v>
      </c>
      <c r="AC30" s="327">
        <f t="shared" si="31"/>
        <v>-5509.6554821878699</v>
      </c>
      <c r="AD30" s="327">
        <f t="shared" si="31"/>
        <v>-5663.819473286414</v>
      </c>
      <c r="AE30" s="327">
        <f t="shared" si="31"/>
        <v>-5822.1554455206115</v>
      </c>
      <c r="AF30" s="331">
        <f t="shared" si="31"/>
        <v>-5984.6879486686776</v>
      </c>
      <c r="AG30" s="492"/>
      <c r="AK30" s="11"/>
      <c r="AL30" s="11"/>
      <c r="AM30" s="11"/>
      <c r="AN30" s="11"/>
    </row>
    <row r="31" spans="1:40" s="3" customFormat="1" ht="14.45">
      <c r="A31" s="1277"/>
      <c r="B31" s="236">
        <v>24</v>
      </c>
      <c r="C31" s="253" t="s">
        <v>684</v>
      </c>
      <c r="D31" s="366">
        <f>Inputs!D75</f>
        <v>205</v>
      </c>
      <c r="E31" s="365">
        <f>Inputs!C75</f>
        <v>2035</v>
      </c>
      <c r="F31" s="566">
        <f>Inputs!B75</f>
        <v>-1734</v>
      </c>
      <c r="G31" s="330">
        <f>(1+G5)*AVERAGE(D31:F31)</f>
        <v>175.51795387235305</v>
      </c>
      <c r="H31" s="327">
        <f t="shared" ref="H31:AF31" si="32">(1+H5)*AVERAGE(E31:G31)</f>
        <v>171.15877472011155</v>
      </c>
      <c r="I31" s="327">
        <f t="shared" si="32"/>
        <v>-498.43963688666992</v>
      </c>
      <c r="J31" s="424">
        <f t="shared" si="32"/>
        <v>-53.683569799184617</v>
      </c>
      <c r="K31" s="467">
        <f t="shared" si="32"/>
        <v>-134.65498627945217</v>
      </c>
      <c r="L31" s="468">
        <f t="shared" si="32"/>
        <v>-242.67047423838528</v>
      </c>
      <c r="M31" s="468">
        <f t="shared" si="32"/>
        <v>-150.30631067054534</v>
      </c>
      <c r="N31" s="468">
        <f t="shared" si="32"/>
        <v>-183.8901351035762</v>
      </c>
      <c r="O31" s="468">
        <f t="shared" si="32"/>
        <v>-201.0649893718381</v>
      </c>
      <c r="P31" s="468">
        <f t="shared" si="32"/>
        <v>-186.57768830625056</v>
      </c>
      <c r="Q31" s="468">
        <f t="shared" si="32"/>
        <v>-199.08860981688494</v>
      </c>
      <c r="R31" s="468">
        <f t="shared" si="32"/>
        <v>-202.7223806232509</v>
      </c>
      <c r="S31" s="468">
        <f t="shared" si="32"/>
        <v>-203.30478714516366</v>
      </c>
      <c r="T31" s="468">
        <f t="shared" si="32"/>
        <v>-208.93375836968929</v>
      </c>
      <c r="U31" s="468">
        <f t="shared" si="32"/>
        <v>-212.34045756353174</v>
      </c>
      <c r="V31" s="468">
        <f t="shared" si="32"/>
        <v>-215.66893194188026</v>
      </c>
      <c r="W31" s="468">
        <f t="shared" si="32"/>
        <v>-217.95419465318801</v>
      </c>
      <c r="X31" s="468">
        <f t="shared" si="32"/>
        <v>-221.04560918727083</v>
      </c>
      <c r="Y31" s="468">
        <f t="shared" si="32"/>
        <v>-224.0292498492575</v>
      </c>
      <c r="Z31" s="468">
        <f t="shared" si="32"/>
        <v>-226.89499700759526</v>
      </c>
      <c r="AA31" s="468">
        <f t="shared" si="32"/>
        <v>-229.95950199722111</v>
      </c>
      <c r="AB31" s="468">
        <f t="shared" si="32"/>
        <v>-233.01491173737921</v>
      </c>
      <c r="AC31" s="468">
        <f t="shared" si="32"/>
        <v>-234.74471714791852</v>
      </c>
      <c r="AD31" s="468">
        <f t="shared" si="32"/>
        <v>-237.4174934671577</v>
      </c>
      <c r="AE31" s="468">
        <f t="shared" si="32"/>
        <v>-239.95702561309878</v>
      </c>
      <c r="AF31" s="469">
        <f t="shared" si="32"/>
        <v>-242.32106561435123</v>
      </c>
      <c r="AG31" s="492"/>
      <c r="AH31" s="511"/>
      <c r="AI31" s="511"/>
      <c r="AJ31" s="511"/>
      <c r="AK31" s="509"/>
      <c r="AL31" s="509"/>
      <c r="AM31" s="509"/>
      <c r="AN31" s="509"/>
    </row>
    <row r="32" spans="1:40" s="7" customFormat="1" ht="16.5" customHeight="1" thickBot="1">
      <c r="A32" s="1277"/>
      <c r="B32" s="237">
        <v>25</v>
      </c>
      <c r="C32" s="263" t="s">
        <v>685</v>
      </c>
      <c r="D32" s="418">
        <f t="shared" ref="D32:AF32" si="33">D27+D28+D29+D30+D31</f>
        <v>-4069</v>
      </c>
      <c r="E32" s="419">
        <f t="shared" si="33"/>
        <v>-456</v>
      </c>
      <c r="F32" s="567">
        <f t="shared" si="33"/>
        <v>-7558</v>
      </c>
      <c r="G32" s="418">
        <f>G27+G28+G29+G30+G31</f>
        <v>6269.0798654853324</v>
      </c>
      <c r="H32" s="419">
        <f t="shared" si="33"/>
        <v>-3590.6801684728466</v>
      </c>
      <c r="I32" s="419">
        <f t="shared" si="33"/>
        <v>-4656.2062740753363</v>
      </c>
      <c r="J32" s="420">
        <f t="shared" si="33"/>
        <v>-4487.7131374767432</v>
      </c>
      <c r="K32" s="418">
        <f t="shared" si="33"/>
        <v>-5144.3524420108952</v>
      </c>
      <c r="L32" s="419">
        <f t="shared" si="33"/>
        <v>-5587.5073684595982</v>
      </c>
      <c r="M32" s="419">
        <f t="shared" si="33"/>
        <v>-6440.5376414391048</v>
      </c>
      <c r="N32" s="419">
        <f t="shared" si="33"/>
        <v>-1790.9915651562665</v>
      </c>
      <c r="O32" s="419">
        <f t="shared" si="33"/>
        <v>-7136.5770403059232</v>
      </c>
      <c r="P32" s="419">
        <f t="shared" si="33"/>
        <v>-7078.9087580785827</v>
      </c>
      <c r="Q32" s="419">
        <f t="shared" si="33"/>
        <v>-7433.3856311640884</v>
      </c>
      <c r="R32" s="419">
        <f t="shared" si="33"/>
        <v>-7734.7953655823294</v>
      </c>
      <c r="S32" s="419">
        <f t="shared" si="33"/>
        <v>-8050.3101312482431</v>
      </c>
      <c r="T32" s="419">
        <f t="shared" si="33"/>
        <v>-8377.5648678854886</v>
      </c>
      <c r="U32" s="419">
        <f t="shared" si="33"/>
        <v>-8715.1737014710034</v>
      </c>
      <c r="V32" s="419">
        <f t="shared" si="33"/>
        <v>-9066.8722852486062</v>
      </c>
      <c r="W32" s="419">
        <f t="shared" si="33"/>
        <v>-8852.3991174951243</v>
      </c>
      <c r="X32" s="419">
        <f t="shared" si="33"/>
        <v>-4140.0833225093893</v>
      </c>
      <c r="Y32" s="419">
        <f t="shared" si="33"/>
        <v>-9430.0428243316092</v>
      </c>
      <c r="Z32" s="419">
        <f t="shared" si="33"/>
        <v>-9735.0280525552516</v>
      </c>
      <c r="AA32" s="419">
        <f t="shared" si="33"/>
        <v>-10051.399398233862</v>
      </c>
      <c r="AB32" s="419">
        <f t="shared" si="33"/>
        <v>-10377.883557766952</v>
      </c>
      <c r="AC32" s="419">
        <f t="shared" si="33"/>
        <v>-10659.139138561146</v>
      </c>
      <c r="AD32" s="419">
        <f t="shared" si="33"/>
        <v>-10954.650432090351</v>
      </c>
      <c r="AE32" s="419">
        <f t="shared" si="33"/>
        <v>-11257.973035982061</v>
      </c>
      <c r="AF32" s="567">
        <f t="shared" si="33"/>
        <v>-11569.110322670933</v>
      </c>
      <c r="AG32" s="492"/>
      <c r="AK32" s="11"/>
      <c r="AL32" s="11"/>
      <c r="AM32" s="11"/>
      <c r="AN32" s="11"/>
    </row>
    <row r="33" spans="1:40" ht="13.9" thickBot="1">
      <c r="A33" s="1266"/>
      <c r="B33" s="1267"/>
      <c r="C33" s="1267"/>
      <c r="D33" s="1267"/>
      <c r="E33" s="1267"/>
      <c r="F33" s="1267"/>
      <c r="G33" s="1267"/>
      <c r="H33" s="1267"/>
      <c r="I33" s="1267"/>
      <c r="J33" s="1267"/>
      <c r="K33" s="1267"/>
      <c r="L33" s="1267"/>
      <c r="M33" s="1267"/>
      <c r="N33" s="1267"/>
      <c r="O33" s="1267"/>
      <c r="P33" s="1267"/>
      <c r="Q33" s="1267"/>
      <c r="R33" s="1267"/>
      <c r="S33" s="1267"/>
      <c r="T33" s="1267"/>
      <c r="U33" s="1267"/>
      <c r="V33" s="1267"/>
      <c r="W33" s="1267"/>
      <c r="X33" s="1267"/>
      <c r="Y33" s="1267"/>
      <c r="Z33" s="1267"/>
      <c r="AA33" s="1267"/>
      <c r="AB33" s="1267"/>
      <c r="AC33" s="1267"/>
      <c r="AD33" s="1267"/>
      <c r="AE33" s="1267"/>
      <c r="AF33" s="1268"/>
      <c r="AG33" s="7"/>
      <c r="AH33" s="7"/>
      <c r="AI33" s="7"/>
      <c r="AJ33" s="7"/>
      <c r="AK33" s="11"/>
      <c r="AL33" s="11"/>
      <c r="AM33" s="11"/>
      <c r="AN33" s="11"/>
    </row>
    <row r="34" spans="1:40" ht="14.45">
      <c r="A34" s="1289" t="s">
        <v>686</v>
      </c>
      <c r="B34" s="236">
        <v>26</v>
      </c>
      <c r="C34" s="240" t="s">
        <v>687</v>
      </c>
      <c r="D34" s="414">
        <f>D22+D26+D27+D28+D31</f>
        <v>4504</v>
      </c>
      <c r="E34" s="415">
        <f t="shared" ref="E34:AF34" si="34">E22+E26+E27+E28+E31</f>
        <v>1866</v>
      </c>
      <c r="F34" s="447">
        <f t="shared" si="34"/>
        <v>4568</v>
      </c>
      <c r="G34" s="568">
        <f t="shared" si="34"/>
        <v>14448.129061993001</v>
      </c>
      <c r="H34" s="416">
        <f t="shared" si="34"/>
        <v>5582.1029660192207</v>
      </c>
      <c r="I34" s="416">
        <f t="shared" si="34"/>
        <v>5415.1814599683239</v>
      </c>
      <c r="J34" s="417">
        <f t="shared" si="34"/>
        <v>6375.2892803798732</v>
      </c>
      <c r="K34" s="446">
        <f t="shared" si="34"/>
        <v>7707.2276962250353</v>
      </c>
      <c r="L34" s="416">
        <f t="shared" si="34"/>
        <v>8153.0717338807817</v>
      </c>
      <c r="M34" s="416">
        <f t="shared" si="34"/>
        <v>9675.2477646931129</v>
      </c>
      <c r="N34" s="416">
        <f t="shared" si="34"/>
        <v>15205.63791795113</v>
      </c>
      <c r="O34" s="416">
        <f t="shared" si="34"/>
        <v>10767.14156919432</v>
      </c>
      <c r="P34" s="416">
        <f t="shared" si="34"/>
        <v>10924.681923750881</v>
      </c>
      <c r="Q34" s="416">
        <f t="shared" si="34"/>
        <v>11533.607338200502</v>
      </c>
      <c r="R34" s="416">
        <f t="shared" si="34"/>
        <v>12207.770634038074</v>
      </c>
      <c r="S34" s="416">
        <f t="shared" si="34"/>
        <v>12811.292680933384</v>
      </c>
      <c r="T34" s="416">
        <f t="shared" si="34"/>
        <v>13436.894482130514</v>
      </c>
      <c r="U34" s="416">
        <f t="shared" si="34"/>
        <v>14078.003124496629</v>
      </c>
      <c r="V34" s="416">
        <f t="shared" si="34"/>
        <v>14744.84183238814</v>
      </c>
      <c r="W34" s="416">
        <f t="shared" si="34"/>
        <v>14888.851764167524</v>
      </c>
      <c r="X34" s="416">
        <f t="shared" si="34"/>
        <v>20501.929003852769</v>
      </c>
      <c r="Y34" s="416">
        <f t="shared" si="34"/>
        <v>16125.258100499706</v>
      </c>
      <c r="Z34" s="416">
        <f t="shared" si="34"/>
        <v>16774.296183481456</v>
      </c>
      <c r="AA34" s="416">
        <f t="shared" si="34"/>
        <v>17444.204526865276</v>
      </c>
      <c r="AB34" s="416">
        <f t="shared" si="34"/>
        <v>18134.128865455245</v>
      </c>
      <c r="AC34" s="416">
        <f t="shared" si="34"/>
        <v>18885.365576331944</v>
      </c>
      <c r="AD34" s="416">
        <f t="shared" si="34"/>
        <v>19556.9185769139</v>
      </c>
      <c r="AE34" s="416">
        <f t="shared" si="34"/>
        <v>20244.825189831212</v>
      </c>
      <c r="AF34" s="417">
        <f t="shared" si="34"/>
        <v>20949.324424629016</v>
      </c>
      <c r="AG34" s="492"/>
      <c r="AH34" s="7"/>
      <c r="AI34" s="7"/>
      <c r="AJ34" s="7"/>
      <c r="AK34" s="11"/>
      <c r="AL34" s="11"/>
      <c r="AM34" s="11"/>
      <c r="AN34" s="11"/>
    </row>
    <row r="35" spans="1:40" s="3" customFormat="1" ht="14.45">
      <c r="A35" s="1289"/>
      <c r="B35" s="236">
        <v>27</v>
      </c>
      <c r="C35" s="240" t="s">
        <v>688</v>
      </c>
      <c r="D35" s="347">
        <f>-1*(D29+D30)</f>
        <v>3936</v>
      </c>
      <c r="E35" s="346">
        <f t="shared" ref="E35:AF35" si="35">-1*(E29+E30)</f>
        <v>4002</v>
      </c>
      <c r="F35" s="348">
        <f t="shared" si="35"/>
        <v>3707</v>
      </c>
      <c r="G35" s="356">
        <f t="shared" si="35"/>
        <v>3593.2830138192503</v>
      </c>
      <c r="H35" s="303">
        <f t="shared" si="35"/>
        <v>3832.3626730036221</v>
      </c>
      <c r="I35" s="303">
        <f t="shared" si="35"/>
        <v>4233.7802592546832</v>
      </c>
      <c r="J35" s="357">
        <f t="shared" si="35"/>
        <v>4514.6951788944789</v>
      </c>
      <c r="K35" s="303">
        <f t="shared" si="35"/>
        <v>5095.2332107277116</v>
      </c>
      <c r="L35" s="303">
        <f t="shared" si="35"/>
        <v>5435.5080997511668</v>
      </c>
      <c r="M35" s="303">
        <f t="shared" si="35"/>
        <v>6385.0909747340284</v>
      </c>
      <c r="N35" s="303">
        <f t="shared" si="35"/>
        <v>6706.2828309683291</v>
      </c>
      <c r="O35" s="303">
        <f t="shared" si="35"/>
        <v>7039.2200638006598</v>
      </c>
      <c r="P35" s="303">
        <f t="shared" si="35"/>
        <v>7000.7805116466789</v>
      </c>
      <c r="Q35" s="303">
        <f t="shared" si="35"/>
        <v>7347.6293522404903</v>
      </c>
      <c r="R35" s="303">
        <f t="shared" si="35"/>
        <v>7649.5458404719993</v>
      </c>
      <c r="S35" s="303">
        <f t="shared" si="35"/>
        <v>7968.7758407904403</v>
      </c>
      <c r="T35" s="303">
        <f t="shared" si="35"/>
        <v>8294.7654881282342</v>
      </c>
      <c r="U35" s="303">
        <f t="shared" si="35"/>
        <v>8633.4924314948184</v>
      </c>
      <c r="V35" s="303">
        <f t="shared" si="35"/>
        <v>8986.5543367522296</v>
      </c>
      <c r="W35" s="303">
        <f t="shared" si="35"/>
        <v>8773.3913014510654</v>
      </c>
      <c r="X35" s="303">
        <f t="shared" si="35"/>
        <v>9061.6780462629904</v>
      </c>
      <c r="Y35" s="303">
        <f t="shared" si="35"/>
        <v>9352.449191644384</v>
      </c>
      <c r="Z35" s="303">
        <f t="shared" si="35"/>
        <v>9658.4681369421451</v>
      </c>
      <c r="AA35" s="303">
        <f t="shared" si="35"/>
        <v>9975.7815537049137</v>
      </c>
      <c r="AB35" s="303">
        <f t="shared" si="35"/>
        <v>10303.327007326479</v>
      </c>
      <c r="AC35" s="303">
        <f t="shared" si="35"/>
        <v>10586.152266984376</v>
      </c>
      <c r="AD35" s="303">
        <f t="shared" si="35"/>
        <v>10882.360167665516</v>
      </c>
      <c r="AE35" s="303">
        <f t="shared" si="35"/>
        <v>11186.584037348675</v>
      </c>
      <c r="AF35" s="357">
        <f t="shared" si="35"/>
        <v>11498.871045533133</v>
      </c>
      <c r="AG35" s="492"/>
      <c r="AH35" s="511"/>
      <c r="AI35" s="511"/>
      <c r="AJ35" s="511"/>
      <c r="AK35" s="509"/>
      <c r="AL35" s="509"/>
      <c r="AM35" s="509"/>
      <c r="AN35" s="509"/>
    </row>
    <row r="36" spans="1:40" s="7" customFormat="1" ht="15" thickBot="1">
      <c r="A36" s="1289"/>
      <c r="B36" s="237">
        <v>28</v>
      </c>
      <c r="C36" s="235" t="s">
        <v>689</v>
      </c>
      <c r="D36" s="401">
        <f>D34-D35</f>
        <v>568</v>
      </c>
      <c r="E36" s="402">
        <f>E34-E35</f>
        <v>-2136</v>
      </c>
      <c r="F36" s="349">
        <f>F34-F35</f>
        <v>861</v>
      </c>
      <c r="G36" s="358">
        <f>G34-G35</f>
        <v>10854.846048173749</v>
      </c>
      <c r="H36" s="359">
        <f t="shared" ref="H36:AF36" si="36">H34-H35</f>
        <v>1749.7402930155986</v>
      </c>
      <c r="I36" s="359">
        <f t="shared" si="36"/>
        <v>1181.4012007136407</v>
      </c>
      <c r="J36" s="360">
        <f t="shared" si="36"/>
        <v>1860.5941014853943</v>
      </c>
      <c r="K36" s="359">
        <f t="shared" si="36"/>
        <v>2611.9944854973237</v>
      </c>
      <c r="L36" s="359">
        <f t="shared" si="36"/>
        <v>2717.5636341296149</v>
      </c>
      <c r="M36" s="359">
        <f t="shared" si="36"/>
        <v>3290.1567899590846</v>
      </c>
      <c r="N36" s="359">
        <f t="shared" si="36"/>
        <v>8499.3550869827995</v>
      </c>
      <c r="O36" s="359">
        <f t="shared" si="36"/>
        <v>3727.9215053936605</v>
      </c>
      <c r="P36" s="359">
        <f t="shared" si="36"/>
        <v>3923.9014121042019</v>
      </c>
      <c r="Q36" s="359">
        <f t="shared" si="36"/>
        <v>4185.9779859600112</v>
      </c>
      <c r="R36" s="359">
        <f t="shared" si="36"/>
        <v>4558.2247935660744</v>
      </c>
      <c r="S36" s="359">
        <f t="shared" si="36"/>
        <v>4842.5168401429437</v>
      </c>
      <c r="T36" s="359">
        <f t="shared" si="36"/>
        <v>5142.1289940022798</v>
      </c>
      <c r="U36" s="359">
        <f t="shared" si="36"/>
        <v>5444.5106930018101</v>
      </c>
      <c r="V36" s="359">
        <f t="shared" si="36"/>
        <v>5758.2874956359101</v>
      </c>
      <c r="W36" s="359">
        <f t="shared" si="36"/>
        <v>6115.460462716459</v>
      </c>
      <c r="X36" s="359">
        <f t="shared" si="36"/>
        <v>11440.250957589778</v>
      </c>
      <c r="Y36" s="359">
        <f t="shared" si="36"/>
        <v>6772.8089088553224</v>
      </c>
      <c r="Z36" s="359">
        <f t="shared" si="36"/>
        <v>7115.8280465393109</v>
      </c>
      <c r="AA36" s="359">
        <f t="shared" si="36"/>
        <v>7468.4229731603627</v>
      </c>
      <c r="AB36" s="359">
        <f t="shared" si="36"/>
        <v>7830.8018581287652</v>
      </c>
      <c r="AC36" s="359">
        <f t="shared" si="36"/>
        <v>8299.2133093475677</v>
      </c>
      <c r="AD36" s="359">
        <f t="shared" si="36"/>
        <v>8674.5584092483841</v>
      </c>
      <c r="AE36" s="359">
        <f t="shared" si="36"/>
        <v>9058.2411524825366</v>
      </c>
      <c r="AF36" s="360">
        <f t="shared" si="36"/>
        <v>9450.4533790958831</v>
      </c>
      <c r="AG36" s="492"/>
      <c r="AK36" s="11"/>
      <c r="AL36" s="11"/>
      <c r="AM36" s="11"/>
      <c r="AN36" s="11"/>
    </row>
    <row r="37" spans="1:40" ht="15" thickBot="1">
      <c r="A37" s="246"/>
      <c r="B37" s="244"/>
      <c r="C37" s="245"/>
      <c r="D37" s="421"/>
      <c r="E37" s="421"/>
      <c r="F37" s="421"/>
      <c r="G37" s="421"/>
      <c r="H37" s="421"/>
      <c r="I37" s="421"/>
      <c r="J37" s="421"/>
      <c r="K37" s="421"/>
      <c r="L37" s="421"/>
      <c r="M37" s="421"/>
      <c r="N37" s="421"/>
      <c r="O37" s="421"/>
      <c r="P37" s="421"/>
      <c r="Q37" s="421"/>
      <c r="R37" s="421"/>
      <c r="S37" s="421"/>
      <c r="T37" s="421"/>
      <c r="U37" s="421"/>
      <c r="V37" s="421"/>
      <c r="W37" s="421"/>
      <c r="X37" s="421"/>
      <c r="Y37" s="421"/>
      <c r="Z37" s="421"/>
      <c r="AA37" s="421"/>
      <c r="AB37" s="421"/>
      <c r="AC37" s="421"/>
      <c r="AD37" s="421"/>
      <c r="AE37" s="421"/>
      <c r="AF37" s="422"/>
      <c r="AG37" s="492"/>
      <c r="AH37" s="7"/>
      <c r="AI37" s="7"/>
      <c r="AJ37" s="7"/>
      <c r="AK37" s="11"/>
      <c r="AL37" s="11"/>
      <c r="AM37" s="11"/>
      <c r="AN37" s="11"/>
    </row>
    <row r="38" spans="1:40" ht="14.45">
      <c r="A38" s="1290" t="s">
        <v>690</v>
      </c>
      <c r="B38" s="238">
        <v>29</v>
      </c>
      <c r="C38" s="240" t="s">
        <v>691</v>
      </c>
      <c r="D38" s="348">
        <v>20290</v>
      </c>
      <c r="E38" s="348">
        <v>21767</v>
      </c>
      <c r="F38" s="348">
        <v>21991</v>
      </c>
      <c r="G38" s="351">
        <f>+D38+(-G10)</f>
        <v>20459.713884177909</v>
      </c>
      <c r="H38" s="352">
        <f t="shared" ref="H38:AF38" si="37">+G38+(-H10)</f>
        <v>20630.847324909922</v>
      </c>
      <c r="I38" s="352">
        <f t="shared" si="37"/>
        <v>20803.412195949444</v>
      </c>
      <c r="J38" s="353">
        <f t="shared" si="37"/>
        <v>20977.420470366826</v>
      </c>
      <c r="K38" s="448">
        <f t="shared" si="37"/>
        <v>21167.572864293012</v>
      </c>
      <c r="L38" s="352">
        <f t="shared" si="37"/>
        <v>21359.448917854421</v>
      </c>
      <c r="M38" s="352">
        <f t="shared" si="37"/>
        <v>21553.064255374662</v>
      </c>
      <c r="N38" s="352">
        <f t="shared" si="37"/>
        <v>21748.43464280594</v>
      </c>
      <c r="O38" s="352">
        <f t="shared" si="37"/>
        <v>21945.575989012861</v>
      </c>
      <c r="P38" s="352">
        <f t="shared" si="37"/>
        <v>22144.504347067879</v>
      </c>
      <c r="Q38" s="352">
        <f t="shared" si="37"/>
        <v>22345.235915558489</v>
      </c>
      <c r="R38" s="352">
        <f t="shared" si="37"/>
        <v>22547.787039906263</v>
      </c>
      <c r="S38" s="352">
        <f t="shared" si="37"/>
        <v>22752.174213697846</v>
      </c>
      <c r="T38" s="352">
        <f t="shared" si="37"/>
        <v>22958.414080028018</v>
      </c>
      <c r="U38" s="352">
        <f t="shared" si="37"/>
        <v>23166.523432854927</v>
      </c>
      <c r="V38" s="352">
        <f t="shared" si="37"/>
        <v>23376.519218367604</v>
      </c>
      <c r="W38" s="352">
        <f t="shared" si="37"/>
        <v>23588.418536365894</v>
      </c>
      <c r="X38" s="352">
        <f t="shared" si="37"/>
        <v>23802.238641652861</v>
      </c>
      <c r="Y38" s="352">
        <f t="shared" si="37"/>
        <v>24017.996945439842</v>
      </c>
      <c r="Z38" s="352">
        <f t="shared" si="37"/>
        <v>24235.711016764235</v>
      </c>
      <c r="AA38" s="352">
        <f t="shared" si="37"/>
        <v>24455.39858392012</v>
      </c>
      <c r="AB38" s="352">
        <f t="shared" si="37"/>
        <v>24677.07753590187</v>
      </c>
      <c r="AC38" s="352">
        <f t="shared" si="37"/>
        <v>24900.765923860839</v>
      </c>
      <c r="AD38" s="352">
        <f t="shared" si="37"/>
        <v>25126.481962575246</v>
      </c>
      <c r="AE38" s="352">
        <f t="shared" si="37"/>
        <v>25354.244031933398</v>
      </c>
      <c r="AF38" s="353">
        <f t="shared" si="37"/>
        <v>25584.070678430347</v>
      </c>
      <c r="AG38" s="493">
        <f>SUM(G38:AF38)</f>
        <v>595679.05264907074</v>
      </c>
      <c r="AH38" s="7"/>
      <c r="AI38" s="7"/>
      <c r="AJ38" s="7"/>
      <c r="AK38" s="11"/>
      <c r="AL38" s="11"/>
      <c r="AM38" s="11"/>
      <c r="AN38" s="11"/>
    </row>
    <row r="39" spans="1:40" ht="14.45">
      <c r="A39" s="1289"/>
      <c r="B39" s="238">
        <v>30</v>
      </c>
      <c r="C39" s="240" t="s">
        <v>692</v>
      </c>
      <c r="D39" s="346">
        <v>1999</v>
      </c>
      <c r="E39" s="346">
        <v>2057</v>
      </c>
      <c r="F39" s="346">
        <v>2155</v>
      </c>
      <c r="G39" s="354">
        <f>D39-G10</f>
        <v>2168.7138841779101</v>
      </c>
      <c r="H39" s="350">
        <f t="shared" ref="H39:AF39" si="38">G39-H10</f>
        <v>2339.8473249099234</v>
      </c>
      <c r="I39" s="350">
        <f t="shared" si="38"/>
        <v>2512.4121959494455</v>
      </c>
      <c r="J39" s="355">
        <f t="shared" si="38"/>
        <v>2686.4204703668279</v>
      </c>
      <c r="K39" s="449">
        <f t="shared" si="38"/>
        <v>2876.5728642930135</v>
      </c>
      <c r="L39" s="350">
        <f t="shared" si="38"/>
        <v>3068.4489178544213</v>
      </c>
      <c r="M39" s="350">
        <f t="shared" si="38"/>
        <v>3262.0642553746629</v>
      </c>
      <c r="N39" s="350">
        <f t="shared" si="38"/>
        <v>3457.4346428059412</v>
      </c>
      <c r="O39" s="350">
        <f t="shared" si="38"/>
        <v>3654.575989012862</v>
      </c>
      <c r="P39" s="350">
        <f t="shared" si="38"/>
        <v>3853.5043470678811</v>
      </c>
      <c r="Q39" s="350">
        <f t="shared" si="38"/>
        <v>4054.2359155584918</v>
      </c>
      <c r="R39" s="350">
        <f t="shared" si="38"/>
        <v>4256.7870399062667</v>
      </c>
      <c r="S39" s="350">
        <f t="shared" si="38"/>
        <v>4461.174213697851</v>
      </c>
      <c r="T39" s="350">
        <f t="shared" si="38"/>
        <v>4667.4140800280238</v>
      </c>
      <c r="U39" s="350">
        <f t="shared" si="38"/>
        <v>4875.5234328549323</v>
      </c>
      <c r="V39" s="350">
        <f t="shared" si="38"/>
        <v>5085.5192183676118</v>
      </c>
      <c r="W39" s="350">
        <f t="shared" si="38"/>
        <v>5297.4185363659008</v>
      </c>
      <c r="X39" s="350">
        <f t="shared" si="38"/>
        <v>5511.238641652867</v>
      </c>
      <c r="Y39" s="350">
        <f t="shared" si="38"/>
        <v>5726.9969454398488</v>
      </c>
      <c r="Z39" s="350">
        <f t="shared" si="38"/>
        <v>5944.7110167642404</v>
      </c>
      <c r="AA39" s="350">
        <f t="shared" si="38"/>
        <v>6164.398583920125</v>
      </c>
      <c r="AB39" s="350">
        <f t="shared" si="38"/>
        <v>6386.0775359018762</v>
      </c>
      <c r="AC39" s="350">
        <f t="shared" si="38"/>
        <v>6609.7659238608458</v>
      </c>
      <c r="AD39" s="350">
        <f t="shared" si="38"/>
        <v>6835.4819625752534</v>
      </c>
      <c r="AE39" s="350">
        <f t="shared" si="38"/>
        <v>7063.2440319334055</v>
      </c>
      <c r="AF39" s="355">
        <f t="shared" si="38"/>
        <v>7293.0706784303538</v>
      </c>
      <c r="AG39" s="493">
        <f>SUM(G39:AF39)</f>
        <v>120113.05264907077</v>
      </c>
      <c r="AH39" s="7"/>
      <c r="AI39" s="7"/>
      <c r="AJ39" s="7"/>
      <c r="AK39" s="11"/>
      <c r="AL39" s="11"/>
      <c r="AM39" s="11"/>
      <c r="AN39" s="11"/>
    </row>
    <row r="40" spans="1:40" ht="14.45">
      <c r="A40" s="1289"/>
      <c r="B40" s="238">
        <v>31</v>
      </c>
      <c r="C40" s="240" t="s">
        <v>693</v>
      </c>
      <c r="D40" s="569">
        <v>16705</v>
      </c>
      <c r="E40" s="569">
        <v>16891</v>
      </c>
      <c r="F40" s="569">
        <v>18373</v>
      </c>
      <c r="G40" s="354">
        <f>F40+(-G23)</f>
        <v>19485.798827721133</v>
      </c>
      <c r="H40" s="350">
        <f>G40+(-H23)</f>
        <v>20684.905486651427</v>
      </c>
      <c r="I40" s="350">
        <f t="shared" ref="I40:AF40" si="39">H40+(-I23)</f>
        <v>21977.356136007031</v>
      </c>
      <c r="J40" s="355">
        <f t="shared" si="39"/>
        <v>23348.904008142774</v>
      </c>
      <c r="K40" s="449">
        <f t="shared" si="39"/>
        <v>25308.205773242531</v>
      </c>
      <c r="L40" s="350">
        <f>K40+(-L23)</f>
        <v>27385.141354699826</v>
      </c>
      <c r="M40" s="350">
        <f t="shared" si="39"/>
        <v>29558.018274607606</v>
      </c>
      <c r="N40" s="350">
        <f t="shared" si="39"/>
        <v>31829.8903576628</v>
      </c>
      <c r="O40" s="350">
        <f t="shared" si="39"/>
        <v>34205.450059840376</v>
      </c>
      <c r="P40" s="350">
        <f t="shared" si="39"/>
        <v>36689.618030272883</v>
      </c>
      <c r="Q40" s="350">
        <f t="shared" si="39"/>
        <v>39285.634584657353</v>
      </c>
      <c r="R40" s="350">
        <f t="shared" si="39"/>
        <v>41976.494952556328</v>
      </c>
      <c r="S40" s="350">
        <f t="shared" si="39"/>
        <v>44765.798082072492</v>
      </c>
      <c r="T40" s="350">
        <f t="shared" si="39"/>
        <v>47655.061299143359</v>
      </c>
      <c r="U40" s="350">
        <f t="shared" si="39"/>
        <v>50647.97083595123</v>
      </c>
      <c r="V40" s="350">
        <f t="shared" si="39"/>
        <v>53748.351732622265</v>
      </c>
      <c r="W40" s="350">
        <f t="shared" si="39"/>
        <v>56931.089581548324</v>
      </c>
      <c r="X40" s="350">
        <f t="shared" si="39"/>
        <v>60198.442001804156</v>
      </c>
      <c r="Y40" s="350">
        <f t="shared" si="39"/>
        <v>63552.730079246896</v>
      </c>
      <c r="Z40" s="350">
        <f t="shared" si="39"/>
        <v>66996.340185283741</v>
      </c>
      <c r="AA40" s="350">
        <f t="shared" si="39"/>
        <v>70531.72584849791</v>
      </c>
      <c r="AB40" s="350">
        <f t="shared" si="39"/>
        <v>74161.409680684665</v>
      </c>
      <c r="AC40" s="350">
        <f t="shared" si="39"/>
        <v>77866.672261930478</v>
      </c>
      <c r="AD40" s="350">
        <f t="shared" si="39"/>
        <v>81649.114719389006</v>
      </c>
      <c r="AE40" s="350">
        <f t="shared" si="39"/>
        <v>85510.372889322127</v>
      </c>
      <c r="AF40" s="355">
        <f t="shared" si="39"/>
        <v>89452.118091879092</v>
      </c>
      <c r="AG40" s="493">
        <f>SUM(G40:AF40)</f>
        <v>1275402.6151354383</v>
      </c>
      <c r="AH40" s="7"/>
      <c r="AI40" s="7"/>
      <c r="AJ40" s="7"/>
      <c r="AK40" s="11"/>
      <c r="AL40" s="11"/>
      <c r="AM40" s="11"/>
      <c r="AN40" s="11"/>
    </row>
    <row r="41" spans="1:40" ht="15" thickBot="1">
      <c r="A41" s="1289"/>
      <c r="B41" s="239">
        <v>32</v>
      </c>
      <c r="C41" s="235" t="s">
        <v>694</v>
      </c>
      <c r="D41" s="346">
        <v>7434</v>
      </c>
      <c r="E41" s="346">
        <v>7211</v>
      </c>
      <c r="F41" s="346">
        <v>7996</v>
      </c>
      <c r="G41" s="570">
        <f>D41-G9</f>
        <v>8338.2726178255798</v>
      </c>
      <c r="H41" s="571">
        <f t="shared" ref="H41:AF41" si="40">G41-H9</f>
        <v>10036.304256677464</v>
      </c>
      <c r="I41" s="571">
        <f t="shared" si="40"/>
        <v>11838.828457688256</v>
      </c>
      <c r="J41" s="572">
        <f t="shared" si="40"/>
        <v>13753.979403625632</v>
      </c>
      <c r="K41" s="573">
        <f t="shared" si="40"/>
        <v>15788.649785316047</v>
      </c>
      <c r="L41" s="571">
        <f t="shared" si="40"/>
        <v>17994.057657248057</v>
      </c>
      <c r="M41" s="571">
        <f t="shared" si="40"/>
        <v>20380.45386639694</v>
      </c>
      <c r="N41" s="571">
        <f t="shared" si="40"/>
        <v>22956.198933652962</v>
      </c>
      <c r="O41" s="571">
        <f t="shared" si="40"/>
        <v>25729.919496322804</v>
      </c>
      <c r="P41" s="571">
        <f t="shared" si="40"/>
        <v>28710.651101749612</v>
      </c>
      <c r="Q41" s="571">
        <f t="shared" si="40"/>
        <v>31907.858092523002</v>
      </c>
      <c r="R41" s="571">
        <f t="shared" si="40"/>
        <v>35331.287178849227</v>
      </c>
      <c r="S41" s="571">
        <f t="shared" si="40"/>
        <v>38989.203241091724</v>
      </c>
      <c r="T41" s="571">
        <f t="shared" si="40"/>
        <v>42890.184779178555</v>
      </c>
      <c r="U41" s="571">
        <f t="shared" si="40"/>
        <v>47042.942515866889</v>
      </c>
      <c r="V41" s="571">
        <f t="shared" si="40"/>
        <v>51456.508399588507</v>
      </c>
      <c r="W41" s="571">
        <f t="shared" si="40"/>
        <v>56140.247700452761</v>
      </c>
      <c r="X41" s="571">
        <f t="shared" si="40"/>
        <v>61101.337168658341</v>
      </c>
      <c r="Y41" s="571">
        <f t="shared" si="40"/>
        <v>66347.15028786358</v>
      </c>
      <c r="Z41" s="571">
        <f t="shared" si="40"/>
        <v>71885.26280580934</v>
      </c>
      <c r="AA41" s="571">
        <f t="shared" si="40"/>
        <v>77723.458423432894</v>
      </c>
      <c r="AB41" s="571">
        <f t="shared" si="40"/>
        <v>83869.734647079167</v>
      </c>
      <c r="AC41" s="571">
        <f t="shared" si="40"/>
        <v>90332.308808550501</v>
      </c>
      <c r="AD41" s="571">
        <f t="shared" si="40"/>
        <v>97117.766991807934</v>
      </c>
      <c r="AE41" s="571">
        <f t="shared" si="40"/>
        <v>104232.83480624785</v>
      </c>
      <c r="AF41" s="572">
        <f t="shared" si="40"/>
        <v>111684.38041132338</v>
      </c>
      <c r="AG41" s="493">
        <f>SUM(G41:AF41)</f>
        <v>1243579.781834827</v>
      </c>
      <c r="AH41" s="7"/>
      <c r="AI41" s="7"/>
      <c r="AJ41" s="7"/>
      <c r="AK41" s="11"/>
      <c r="AL41" s="11"/>
      <c r="AM41" s="11"/>
      <c r="AN41" s="11"/>
    </row>
    <row r="42" spans="1:40" s="7" customFormat="1" ht="15" thickBot="1">
      <c r="A42" s="1283"/>
      <c r="B42" s="1284"/>
      <c r="C42" s="1284"/>
      <c r="D42" s="1284"/>
      <c r="E42" s="1284"/>
      <c r="F42" s="1284"/>
      <c r="G42" s="1284"/>
      <c r="H42" s="1284"/>
      <c r="I42" s="1284"/>
      <c r="J42" s="1284"/>
      <c r="K42" s="1284"/>
      <c r="L42" s="1284"/>
      <c r="M42" s="1284"/>
      <c r="N42" s="1284"/>
      <c r="O42" s="1284"/>
      <c r="P42" s="1284"/>
      <c r="Q42" s="1284"/>
      <c r="R42" s="1284"/>
      <c r="S42" s="1284"/>
      <c r="T42" s="1284"/>
      <c r="U42" s="1284"/>
      <c r="V42" s="1284"/>
      <c r="W42" s="1284"/>
      <c r="X42" s="1284"/>
      <c r="Y42" s="1284"/>
      <c r="Z42" s="1284"/>
      <c r="AA42" s="1284"/>
      <c r="AB42" s="1284"/>
      <c r="AC42" s="1284"/>
      <c r="AD42" s="1284"/>
      <c r="AE42" s="1284"/>
      <c r="AF42" s="1285"/>
      <c r="AG42" s="492"/>
      <c r="AK42" s="11"/>
      <c r="AL42" s="11"/>
      <c r="AM42" s="11"/>
      <c r="AN42" s="11"/>
    </row>
    <row r="43" spans="1:40" ht="15" customHeight="1">
      <c r="A43" s="1277" t="s">
        <v>695</v>
      </c>
      <c r="B43" s="236">
        <v>33</v>
      </c>
      <c r="C43" s="240" t="s">
        <v>696</v>
      </c>
      <c r="D43" s="556">
        <f>'Fin. Data'!D39</f>
        <v>3546</v>
      </c>
      <c r="E43" s="310">
        <f>E36+D43</f>
        <v>1410</v>
      </c>
      <c r="F43" s="574">
        <f>F36+E43</f>
        <v>2271</v>
      </c>
      <c r="G43" s="575">
        <f>G36+F43</f>
        <v>13125.846048173749</v>
      </c>
      <c r="H43" s="576">
        <f t="shared" ref="H43:AF43" si="41">H36+G43</f>
        <v>14875.586341189348</v>
      </c>
      <c r="I43" s="576">
        <f t="shared" si="41"/>
        <v>16056.987541902989</v>
      </c>
      <c r="J43" s="577">
        <f t="shared" si="41"/>
        <v>17917.581643388381</v>
      </c>
      <c r="K43" s="672">
        <f t="shared" si="41"/>
        <v>20529.576128885703</v>
      </c>
      <c r="L43" s="673">
        <f t="shared" si="41"/>
        <v>23247.139763015319</v>
      </c>
      <c r="M43" s="673">
        <f t="shared" si="41"/>
        <v>26537.296552974403</v>
      </c>
      <c r="N43" s="673">
        <f t="shared" si="41"/>
        <v>35036.651639957199</v>
      </c>
      <c r="O43" s="673">
        <f t="shared" si="41"/>
        <v>38764.573145350863</v>
      </c>
      <c r="P43" s="673">
        <f t="shared" si="41"/>
        <v>42688.474557455062</v>
      </c>
      <c r="Q43" s="673">
        <f t="shared" si="41"/>
        <v>46874.452543415071</v>
      </c>
      <c r="R43" s="673">
        <f t="shared" si="41"/>
        <v>51432.677336981142</v>
      </c>
      <c r="S43" s="673">
        <f t="shared" si="41"/>
        <v>56275.194177124082</v>
      </c>
      <c r="T43" s="673">
        <f t="shared" si="41"/>
        <v>61417.323171126365</v>
      </c>
      <c r="U43" s="673">
        <f t="shared" si="41"/>
        <v>66861.833864128173</v>
      </c>
      <c r="V43" s="673">
        <f t="shared" si="41"/>
        <v>72620.121359764089</v>
      </c>
      <c r="W43" s="673">
        <f t="shared" si="41"/>
        <v>78735.581822480541</v>
      </c>
      <c r="X43" s="673">
        <f>X36+W43</f>
        <v>90175.832780070312</v>
      </c>
      <c r="Y43" s="673">
        <f t="shared" si="41"/>
        <v>96948.641688925636</v>
      </c>
      <c r="Z43" s="673">
        <f t="shared" si="41"/>
        <v>104064.46973546495</v>
      </c>
      <c r="AA43" s="673">
        <f t="shared" si="41"/>
        <v>111532.89270862532</v>
      </c>
      <c r="AB43" s="673">
        <f t="shared" si="41"/>
        <v>119363.69456675409</v>
      </c>
      <c r="AC43" s="673">
        <f t="shared" si="41"/>
        <v>127662.90787610166</v>
      </c>
      <c r="AD43" s="673">
        <f t="shared" si="41"/>
        <v>136337.46628535003</v>
      </c>
      <c r="AE43" s="673">
        <f t="shared" si="41"/>
        <v>145395.70743783258</v>
      </c>
      <c r="AF43" s="674">
        <f t="shared" si="41"/>
        <v>154846.16081692846</v>
      </c>
      <c r="AG43" s="492"/>
      <c r="AH43" s="7"/>
      <c r="AI43" s="7"/>
      <c r="AJ43" s="7"/>
      <c r="AK43" s="11"/>
      <c r="AL43" s="11"/>
      <c r="AM43" s="11"/>
      <c r="AN43" s="11"/>
    </row>
    <row r="44" spans="1:40" ht="14.45">
      <c r="A44" s="1277"/>
      <c r="B44" s="236">
        <v>34</v>
      </c>
      <c r="C44" s="240" t="s">
        <v>297</v>
      </c>
      <c r="D44" s="556">
        <f>'Fin. Data'!D68</f>
        <v>19512</v>
      </c>
      <c r="E44" s="309">
        <f>'Fin. Data'!C68</f>
        <v>22933</v>
      </c>
      <c r="F44" s="557">
        <f>'Fin. Data'!B68</f>
        <v>19408</v>
      </c>
      <c r="G44" s="361">
        <f>'Fin. Data'!$B$55*G12</f>
        <v>29029.397266314201</v>
      </c>
      <c r="H44" s="361">
        <f>G44</f>
        <v>29029.397266314201</v>
      </c>
      <c r="I44" s="361">
        <f t="shared" ref="I44:J44" si="42">H44</f>
        <v>29029.397266314201</v>
      </c>
      <c r="J44" s="361">
        <f t="shared" si="42"/>
        <v>29029.397266314201</v>
      </c>
      <c r="K44" s="361">
        <f>J44</f>
        <v>29029.397266314201</v>
      </c>
      <c r="L44" s="361">
        <f t="shared" ref="L44:M44" si="43">K44</f>
        <v>29029.397266314201</v>
      </c>
      <c r="M44" s="361">
        <f t="shared" si="43"/>
        <v>29029.397266314201</v>
      </c>
      <c r="N44" s="361">
        <f>M44+5000</f>
        <v>34029.397266314205</v>
      </c>
      <c r="O44" s="361">
        <f>N44</f>
        <v>34029.397266314205</v>
      </c>
      <c r="P44" s="361">
        <f t="shared" ref="P44:W44" si="44">O44</f>
        <v>34029.397266314205</v>
      </c>
      <c r="Q44" s="361">
        <f t="shared" si="44"/>
        <v>34029.397266314205</v>
      </c>
      <c r="R44" s="361">
        <f t="shared" si="44"/>
        <v>34029.397266314205</v>
      </c>
      <c r="S44" s="361">
        <f t="shared" si="44"/>
        <v>34029.397266314205</v>
      </c>
      <c r="T44" s="361">
        <f t="shared" si="44"/>
        <v>34029.397266314205</v>
      </c>
      <c r="U44" s="361">
        <f t="shared" si="44"/>
        <v>34029.397266314205</v>
      </c>
      <c r="V44" s="361">
        <f t="shared" si="44"/>
        <v>34029.397266314205</v>
      </c>
      <c r="W44" s="361">
        <f t="shared" si="44"/>
        <v>34029.397266314205</v>
      </c>
      <c r="X44" s="361">
        <f>W44+5000</f>
        <v>39029.397266314205</v>
      </c>
      <c r="Y44" s="361">
        <f>X44</f>
        <v>39029.397266314205</v>
      </c>
      <c r="Z44" s="361">
        <f t="shared" ref="Z44:AF44" si="45">Y44</f>
        <v>39029.397266314205</v>
      </c>
      <c r="AA44" s="361">
        <f t="shared" si="45"/>
        <v>39029.397266314205</v>
      </c>
      <c r="AB44" s="361">
        <f t="shared" si="45"/>
        <v>39029.397266314205</v>
      </c>
      <c r="AC44" s="361">
        <f t="shared" si="45"/>
        <v>39029.397266314205</v>
      </c>
      <c r="AD44" s="361">
        <f t="shared" si="45"/>
        <v>39029.397266314205</v>
      </c>
      <c r="AE44" s="361">
        <f t="shared" si="45"/>
        <v>39029.397266314205</v>
      </c>
      <c r="AF44" s="361">
        <f t="shared" si="45"/>
        <v>39029.397266314205</v>
      </c>
      <c r="AG44" s="508"/>
      <c r="AH44" s="11"/>
      <c r="AI44" s="11"/>
      <c r="AJ44" s="11"/>
      <c r="AK44" s="11"/>
      <c r="AL44" s="11"/>
      <c r="AM44" s="11"/>
      <c r="AN44" s="11"/>
    </row>
    <row r="45" spans="1:40" ht="14.45">
      <c r="A45" s="1277"/>
      <c r="B45" s="236">
        <v>35</v>
      </c>
      <c r="C45" s="240" t="s">
        <v>697</v>
      </c>
      <c r="D45" s="558"/>
      <c r="E45" s="410"/>
      <c r="F45" s="559">
        <f>1/((1+$F$50)^G50)</f>
        <v>1</v>
      </c>
      <c r="G45" s="361">
        <f t="shared" ref="G45:AF45" si="46">1/((1+$F$50)^G49)</f>
        <v>0.9174311926605504</v>
      </c>
      <c r="H45" s="304">
        <f t="shared" si="46"/>
        <v>0.84167999326655996</v>
      </c>
      <c r="I45" s="304">
        <f t="shared" si="46"/>
        <v>0.77218348006106419</v>
      </c>
      <c r="J45" s="362">
        <f t="shared" si="46"/>
        <v>0.7084252110651964</v>
      </c>
      <c r="K45" s="361">
        <f t="shared" si="46"/>
        <v>0.64993138629834524</v>
      </c>
      <c r="L45" s="304">
        <f t="shared" si="46"/>
        <v>0.5962673268792158</v>
      </c>
      <c r="M45" s="304">
        <f t="shared" si="46"/>
        <v>0.54703424484331731</v>
      </c>
      <c r="N45" s="304">
        <f t="shared" si="46"/>
        <v>0.50186627967276809</v>
      </c>
      <c r="O45" s="304">
        <f t="shared" si="46"/>
        <v>0.46042777951630098</v>
      </c>
      <c r="P45" s="304">
        <f t="shared" si="46"/>
        <v>0.42241080689568894</v>
      </c>
      <c r="Q45" s="304">
        <f t="shared" si="46"/>
        <v>0.38753285036301738</v>
      </c>
      <c r="R45" s="304">
        <f t="shared" si="46"/>
        <v>0.35553472510368567</v>
      </c>
      <c r="S45" s="304">
        <f t="shared" si="46"/>
        <v>0.32617864688411524</v>
      </c>
      <c r="T45" s="304">
        <f t="shared" si="46"/>
        <v>0.29924646503129837</v>
      </c>
      <c r="U45" s="304">
        <f t="shared" si="46"/>
        <v>0.27453804131311776</v>
      </c>
      <c r="V45" s="304">
        <f t="shared" si="46"/>
        <v>0.2518697626725851</v>
      </c>
      <c r="W45" s="304">
        <f t="shared" si="46"/>
        <v>0.23107317676383954</v>
      </c>
      <c r="X45" s="304">
        <f t="shared" si="46"/>
        <v>0.21199374015031147</v>
      </c>
      <c r="Y45" s="304">
        <f t="shared" si="46"/>
        <v>0.19448966986267105</v>
      </c>
      <c r="Z45" s="304">
        <f t="shared" si="46"/>
        <v>0.17843088978226704</v>
      </c>
      <c r="AA45" s="304">
        <f t="shared" si="46"/>
        <v>0.16369806402042844</v>
      </c>
      <c r="AB45" s="304">
        <f t="shared" si="46"/>
        <v>0.15018171011048481</v>
      </c>
      <c r="AC45" s="304">
        <f t="shared" si="46"/>
        <v>0.13778138542246313</v>
      </c>
      <c r="AD45" s="304">
        <f t="shared" si="46"/>
        <v>0.12640494075455333</v>
      </c>
      <c r="AE45" s="304">
        <f t="shared" si="46"/>
        <v>0.11596783555463605</v>
      </c>
      <c r="AF45" s="670">
        <f t="shared" si="46"/>
        <v>0.10639250968315234</v>
      </c>
      <c r="AG45" s="508"/>
      <c r="AH45" s="11"/>
      <c r="AI45" s="11"/>
      <c r="AJ45" s="11"/>
      <c r="AK45" s="11"/>
      <c r="AL45" s="11"/>
      <c r="AM45" s="11"/>
      <c r="AN45" s="11"/>
    </row>
    <row r="46" spans="1:40" ht="14.45">
      <c r="A46" s="1277"/>
      <c r="B46" s="236">
        <v>36</v>
      </c>
      <c r="C46" s="240" t="s">
        <v>698</v>
      </c>
      <c r="D46" s="560"/>
      <c r="E46" s="561" t="s">
        <v>699</v>
      </c>
      <c r="F46" s="362">
        <f>1/((1+$F$50+0.001)^G50)</f>
        <v>1</v>
      </c>
      <c r="G46" s="361">
        <f>1/((1+$F$50+0.001)^G49)</f>
        <v>0.91659028414298815</v>
      </c>
      <c r="H46" s="304">
        <f t="shared" ref="H46:AF46" si="47">1/((1+$F$50+0.001)^H49)</f>
        <v>0.84013774898532367</v>
      </c>
      <c r="I46" s="304">
        <f t="shared" si="47"/>
        <v>0.77006209806170833</v>
      </c>
      <c r="J46" s="362">
        <f t="shared" si="47"/>
        <v>0.70583143727012676</v>
      </c>
      <c r="K46" s="361">
        <f t="shared" si="47"/>
        <v>0.64695823764447913</v>
      </c>
      <c r="L46" s="304">
        <f t="shared" si="47"/>
        <v>0.59299563487119988</v>
      </c>
      <c r="M46" s="304">
        <f t="shared" si="47"/>
        <v>0.54353403746214479</v>
      </c>
      <c r="N46" s="304">
        <f t="shared" si="47"/>
        <v>0.49819801783881279</v>
      </c>
      <c r="O46" s="304">
        <f t="shared" si="47"/>
        <v>0.45664346273035089</v>
      </c>
      <c r="P46" s="304">
        <f t="shared" si="47"/>
        <v>0.4185549612560503</v>
      </c>
      <c r="Q46" s="304">
        <f t="shared" si="47"/>
        <v>0.38364341086714054</v>
      </c>
      <c r="R46" s="304">
        <f t="shared" si="47"/>
        <v>0.35164382297629748</v>
      </c>
      <c r="S46" s="304">
        <f t="shared" si="47"/>
        <v>0.32231331161897109</v>
      </c>
      <c r="T46" s="304">
        <f t="shared" si="47"/>
        <v>0.29542924987990016</v>
      </c>
      <c r="U46" s="304">
        <f t="shared" si="47"/>
        <v>0.27078758009156756</v>
      </c>
      <c r="V46" s="304">
        <f t="shared" si="47"/>
        <v>0.24820126497852205</v>
      </c>
      <c r="W46" s="304">
        <f t="shared" si="47"/>
        <v>0.22749886799131264</v>
      </c>
      <c r="X46" s="304">
        <f t="shared" si="47"/>
        <v>0.20852325205436539</v>
      </c>
      <c r="Y46" s="304">
        <f t="shared" si="47"/>
        <v>0.1911303868509307</v>
      </c>
      <c r="Z46" s="304">
        <f t="shared" si="47"/>
        <v>0.17518825559205378</v>
      </c>
      <c r="AA46" s="304">
        <f t="shared" si="47"/>
        <v>0.16057585297163501</v>
      </c>
      <c r="AB46" s="304">
        <f t="shared" si="47"/>
        <v>0.14718226670177359</v>
      </c>
      <c r="AC46" s="304">
        <f t="shared" si="47"/>
        <v>0.13490583565698774</v>
      </c>
      <c r="AD46" s="304">
        <f t="shared" si="47"/>
        <v>0.12365337823738563</v>
      </c>
      <c r="AE46" s="304">
        <f t="shared" si="47"/>
        <v>0.11333948509384568</v>
      </c>
      <c r="AF46" s="362">
        <f t="shared" si="47"/>
        <v>0.10388587084678798</v>
      </c>
      <c r="AG46" s="508"/>
      <c r="AH46" s="11"/>
      <c r="AI46" s="11"/>
      <c r="AJ46" s="11"/>
      <c r="AK46" s="11"/>
      <c r="AL46" s="11"/>
      <c r="AM46" s="11"/>
      <c r="AN46" s="11"/>
    </row>
    <row r="47" spans="1:40" ht="15" thickBot="1">
      <c r="A47" s="1277"/>
      <c r="B47" s="237">
        <v>37</v>
      </c>
      <c r="C47" s="235" t="s">
        <v>700</v>
      </c>
      <c r="D47" s="560"/>
      <c r="E47" s="561" t="s">
        <v>701</v>
      </c>
      <c r="F47" s="578">
        <f>1/((1+$F$50+0.005)^G50)</f>
        <v>1</v>
      </c>
      <c r="G47" s="579">
        <f t="shared" ref="G47:AF47" si="48">1/((1+$F$50+0.005)^G49)</f>
        <v>0.91324200913242015</v>
      </c>
      <c r="H47" s="580">
        <f t="shared" si="48"/>
        <v>0.8340109672442193</v>
      </c>
      <c r="I47" s="580">
        <f t="shared" si="48"/>
        <v>0.76165385136458386</v>
      </c>
      <c r="J47" s="578">
        <f t="shared" si="48"/>
        <v>0.6955742934836382</v>
      </c>
      <c r="K47" s="675">
        <f t="shared" si="48"/>
        <v>0.63522766528186136</v>
      </c>
      <c r="L47" s="676">
        <f t="shared" si="48"/>
        <v>0.58011658929850352</v>
      </c>
      <c r="M47" s="676">
        <f t="shared" si="48"/>
        <v>0.52978683954201233</v>
      </c>
      <c r="N47" s="676">
        <f t="shared" si="48"/>
        <v>0.4838235977552624</v>
      </c>
      <c r="O47" s="676">
        <f t="shared" si="48"/>
        <v>0.44184803447969173</v>
      </c>
      <c r="P47" s="676">
        <f t="shared" si="48"/>
        <v>0.40351418673944445</v>
      </c>
      <c r="Q47" s="676">
        <f t="shared" si="48"/>
        <v>0.36850610661136479</v>
      </c>
      <c r="R47" s="676">
        <f t="shared" si="48"/>
        <v>0.33653525717932858</v>
      </c>
      <c r="S47" s="676">
        <f t="shared" si="48"/>
        <v>0.30733813441034574</v>
      </c>
      <c r="T47" s="676">
        <f t="shared" si="48"/>
        <v>0.2806740953519139</v>
      </c>
      <c r="U47" s="676">
        <f t="shared" si="48"/>
        <v>0.25632337475060635</v>
      </c>
      <c r="V47" s="676">
        <f t="shared" si="48"/>
        <v>0.23408527374484595</v>
      </c>
      <c r="W47" s="676">
        <f t="shared" si="48"/>
        <v>0.21377650570305565</v>
      </c>
      <c r="X47" s="676">
        <f t="shared" si="48"/>
        <v>0.19522968557356679</v>
      </c>
      <c r="Y47" s="676">
        <f t="shared" si="48"/>
        <v>0.1782919502954948</v>
      </c>
      <c r="Z47" s="676">
        <f t="shared" si="48"/>
        <v>0.16282369889999526</v>
      </c>
      <c r="AA47" s="676">
        <f t="shared" si="48"/>
        <v>0.14869744191780387</v>
      </c>
      <c r="AB47" s="676">
        <f t="shared" si="48"/>
        <v>0.13579675060986654</v>
      </c>
      <c r="AC47" s="676">
        <f t="shared" si="48"/>
        <v>0.12401529736060873</v>
      </c>
      <c r="AD47" s="676">
        <f t="shared" si="48"/>
        <v>0.11325597932475681</v>
      </c>
      <c r="AE47" s="676">
        <f t="shared" si="48"/>
        <v>0.10343011810480077</v>
      </c>
      <c r="AF47" s="677">
        <f t="shared" si="48"/>
        <v>9.4456728862831726E-2</v>
      </c>
      <c r="AG47" s="508"/>
      <c r="AH47" s="11"/>
      <c r="AI47" s="11"/>
      <c r="AJ47" s="11"/>
      <c r="AK47" s="11"/>
      <c r="AL47" s="11"/>
      <c r="AM47" s="11"/>
      <c r="AN47" s="11"/>
    </row>
    <row r="48" spans="1:40" ht="15" thickBot="1">
      <c r="A48" s="1286" t="s">
        <v>362</v>
      </c>
      <c r="B48" s="1287"/>
      <c r="C48" s="1287"/>
      <c r="D48" s="1287"/>
      <c r="E48" s="1287"/>
      <c r="F48" s="1287"/>
      <c r="G48" s="1287"/>
      <c r="H48" s="1287"/>
      <c r="I48" s="1287"/>
      <c r="J48" s="1287"/>
      <c r="K48" s="1287"/>
      <c r="L48" s="1287"/>
      <c r="M48" s="1287"/>
      <c r="N48" s="1287"/>
      <c r="O48" s="1287"/>
      <c r="P48" s="1287"/>
      <c r="Q48" s="1287"/>
      <c r="R48" s="1287"/>
      <c r="S48" s="1287"/>
      <c r="T48" s="1287"/>
      <c r="U48" s="1287"/>
      <c r="V48" s="1287"/>
      <c r="W48" s="1287"/>
      <c r="X48" s="1287"/>
      <c r="Y48" s="1287"/>
      <c r="Z48" s="1287"/>
      <c r="AA48" s="1287"/>
      <c r="AB48" s="1287"/>
      <c r="AC48" s="1287"/>
      <c r="AD48" s="1287"/>
      <c r="AE48" s="1287"/>
      <c r="AF48" s="1288"/>
      <c r="AG48" s="508"/>
      <c r="AH48" s="11"/>
      <c r="AI48" s="11"/>
      <c r="AJ48" s="510"/>
      <c r="AK48" s="11"/>
      <c r="AL48" s="11"/>
      <c r="AM48" s="11"/>
      <c r="AN48" s="11"/>
    </row>
    <row r="49" spans="1:40" ht="14.45">
      <c r="A49" s="1291" t="s">
        <v>702</v>
      </c>
      <c r="C49" s="248" t="s">
        <v>703</v>
      </c>
      <c r="D49" s="241" t="s">
        <v>704</v>
      </c>
      <c r="E49" s="242" t="s">
        <v>705</v>
      </c>
      <c r="F49" s="249" t="s">
        <v>621</v>
      </c>
      <c r="G49" s="305">
        <v>1</v>
      </c>
      <c r="H49" s="306">
        <v>2</v>
      </c>
      <c r="I49" s="306">
        <v>3</v>
      </c>
      <c r="J49" s="305">
        <v>4</v>
      </c>
      <c r="K49" s="306">
        <v>5</v>
      </c>
      <c r="L49" s="306">
        <v>6</v>
      </c>
      <c r="M49" s="305">
        <v>7</v>
      </c>
      <c r="N49" s="306">
        <v>8</v>
      </c>
      <c r="O49" s="306">
        <v>9</v>
      </c>
      <c r="P49" s="305">
        <v>10</v>
      </c>
      <c r="Q49" s="306">
        <v>11</v>
      </c>
      <c r="R49" s="306">
        <v>12</v>
      </c>
      <c r="S49" s="305">
        <v>13</v>
      </c>
      <c r="T49" s="306">
        <v>14</v>
      </c>
      <c r="U49" s="306">
        <v>15</v>
      </c>
      <c r="V49" s="305">
        <v>16</v>
      </c>
      <c r="W49" s="306">
        <v>17</v>
      </c>
      <c r="X49" s="306">
        <v>18</v>
      </c>
      <c r="Y49" s="305">
        <v>19</v>
      </c>
      <c r="Z49" s="306">
        <v>20</v>
      </c>
      <c r="AA49" s="306">
        <v>21</v>
      </c>
      <c r="AB49" s="305">
        <v>22</v>
      </c>
      <c r="AC49" s="306">
        <v>23</v>
      </c>
      <c r="AD49" s="306">
        <v>24</v>
      </c>
      <c r="AE49" s="305">
        <v>25</v>
      </c>
      <c r="AF49" s="306">
        <v>26</v>
      </c>
      <c r="AG49" s="508"/>
      <c r="AH49" s="11"/>
      <c r="AI49" s="11"/>
      <c r="AJ49" s="11"/>
      <c r="AK49" s="11"/>
      <c r="AL49" s="11"/>
      <c r="AM49" s="11"/>
      <c r="AN49" s="11"/>
    </row>
    <row r="50" spans="1:40" ht="15" thickBot="1">
      <c r="A50" s="1292"/>
      <c r="C50" s="965">
        <v>0.04</v>
      </c>
      <c r="D50" s="966">
        <v>4.4999999999999998E-2</v>
      </c>
      <c r="E50" s="967">
        <v>5.0000000000000001E-3</v>
      </c>
      <c r="F50" s="968">
        <f>0.085+E50</f>
        <v>9.0000000000000011E-2</v>
      </c>
      <c r="G50" s="305">
        <v>0</v>
      </c>
      <c r="S50" s="234"/>
      <c r="T50" s="234"/>
      <c r="U50" s="234"/>
      <c r="V50" s="234"/>
      <c r="W50" s="234"/>
      <c r="X50" s="234"/>
      <c r="Y50" s="234"/>
      <c r="Z50" s="234"/>
      <c r="AA50" s="234"/>
      <c r="AB50" s="234"/>
      <c r="AC50" s="234"/>
      <c r="AD50" s="234"/>
      <c r="AE50" s="234"/>
      <c r="AF50" s="234"/>
      <c r="AG50" s="507"/>
      <c r="AH50" s="11"/>
      <c r="AI50" s="11"/>
      <c r="AJ50" s="11"/>
      <c r="AK50" s="11"/>
      <c r="AL50" s="11"/>
      <c r="AM50" s="11"/>
      <c r="AN50" s="11"/>
    </row>
    <row r="51" spans="1:40" ht="14.45">
      <c r="A51" s="234"/>
      <c r="C51" s="234"/>
      <c r="D51" s="234"/>
      <c r="G51"/>
      <c r="H51" s="234"/>
      <c r="I51" s="234"/>
      <c r="J51" s="234"/>
      <c r="K51" s="234"/>
      <c r="S51" s="234"/>
      <c r="T51" s="234"/>
      <c r="U51" s="234"/>
      <c r="V51" s="234"/>
      <c r="W51" s="234"/>
      <c r="X51" s="234"/>
      <c r="Y51" s="234"/>
      <c r="Z51" s="234"/>
      <c r="AA51" s="234"/>
      <c r="AB51" s="234"/>
      <c r="AC51" s="234"/>
      <c r="AD51" s="234"/>
      <c r="AE51" s="234"/>
      <c r="AF51" s="234"/>
      <c r="AG51" s="507"/>
      <c r="AH51" s="11"/>
      <c r="AI51" s="11"/>
      <c r="AJ51" s="11"/>
      <c r="AK51" s="11"/>
      <c r="AL51" s="11"/>
      <c r="AM51" s="11"/>
      <c r="AN51" s="11"/>
    </row>
    <row r="52" spans="1:40" ht="15" customHeight="1">
      <c r="A52" s="1293" t="s">
        <v>706</v>
      </c>
      <c r="C52" s="429" t="s">
        <v>362</v>
      </c>
      <c r="D52" s="430" t="s">
        <v>650</v>
      </c>
      <c r="E52" s="431" t="s">
        <v>651</v>
      </c>
      <c r="F52" s="430" t="s">
        <v>707</v>
      </c>
      <c r="G52" s="971"/>
      <c r="I52" s="466"/>
      <c r="J52" s="466"/>
      <c r="K52" s="234"/>
      <c r="S52" s="234"/>
      <c r="T52" s="234"/>
      <c r="U52" s="234"/>
      <c r="V52" s="234"/>
      <c r="W52" s="234"/>
      <c r="X52" s="234"/>
      <c r="Y52" s="234"/>
      <c r="Z52" s="234"/>
      <c r="AA52" s="234"/>
      <c r="AB52" s="234"/>
      <c r="AC52" s="234"/>
      <c r="AD52" s="234"/>
      <c r="AE52" s="234"/>
      <c r="AF52" s="234"/>
      <c r="AG52" s="507"/>
      <c r="AH52" s="11"/>
      <c r="AI52" s="11"/>
      <c r="AJ52" s="11"/>
      <c r="AK52" s="11"/>
      <c r="AL52" s="11"/>
      <c r="AM52" s="11"/>
      <c r="AN52" s="11"/>
    </row>
    <row r="53" spans="1:40" ht="15" customHeight="1">
      <c r="A53" s="1293"/>
      <c r="C53" s="432" t="s">
        <v>446</v>
      </c>
      <c r="D53" s="962">
        <f>-Assumptions!I17</f>
        <v>-8.7142008078016781E-2</v>
      </c>
      <c r="E53" s="975">
        <f>D53</f>
        <v>-8.7142008078016781E-2</v>
      </c>
      <c r="F53" s="433" t="str">
        <f>Assumptions!N17</f>
        <v>% PPE</v>
      </c>
      <c r="G53" s="473"/>
      <c r="I53" s="234"/>
      <c r="K53" s="234"/>
      <c r="S53" s="234"/>
      <c r="T53" s="234"/>
      <c r="U53" s="234"/>
      <c r="V53" s="234"/>
      <c r="W53" s="234"/>
      <c r="X53" s="234"/>
      <c r="Y53" s="234"/>
      <c r="Z53" s="234"/>
      <c r="AA53" s="234"/>
      <c r="AB53" s="234"/>
      <c r="AC53" s="234"/>
      <c r="AD53" s="234"/>
      <c r="AE53" s="234"/>
      <c r="AF53" s="234"/>
      <c r="AG53" s="507"/>
      <c r="AH53" s="11"/>
      <c r="AI53" s="11"/>
      <c r="AJ53" s="11"/>
      <c r="AK53" s="11"/>
      <c r="AL53" s="11"/>
      <c r="AM53" s="11"/>
      <c r="AN53" s="11"/>
    </row>
    <row r="54" spans="1:40" ht="15" customHeight="1">
      <c r="A54" s="1293"/>
      <c r="C54" s="434" t="s">
        <v>448</v>
      </c>
      <c r="D54" s="399">
        <f>-Assumptions!K18</f>
        <v>-8.3644102601237065E-3</v>
      </c>
      <c r="E54" s="400">
        <f>-Assumptions!L18</f>
        <v>-9.0646223254569926E-3</v>
      </c>
      <c r="F54" s="433" t="str">
        <f>Assumptions!N18</f>
        <v>% IA</v>
      </c>
      <c r="G54" s="234"/>
      <c r="H54" s="927" t="s">
        <v>708</v>
      </c>
      <c r="I54" s="928" t="s">
        <v>709</v>
      </c>
      <c r="J54" s="928" t="s">
        <v>710</v>
      </c>
      <c r="K54" s="928" t="s">
        <v>703</v>
      </c>
      <c r="L54" s="929" t="s">
        <v>704</v>
      </c>
      <c r="S54" s="234"/>
      <c r="T54" s="234"/>
      <c r="U54" s="234"/>
      <c r="V54" s="234"/>
      <c r="W54" s="234"/>
      <c r="X54" s="234"/>
      <c r="Y54" s="234"/>
      <c r="Z54" s="234"/>
      <c r="AA54" s="234"/>
      <c r="AB54" s="234"/>
      <c r="AC54" s="234"/>
      <c r="AD54" s="234"/>
      <c r="AE54" s="234"/>
      <c r="AF54" s="234"/>
      <c r="AG54" s="507"/>
      <c r="AH54" s="11"/>
      <c r="AI54" s="11"/>
      <c r="AJ54" s="11"/>
      <c r="AK54" s="11"/>
      <c r="AL54" s="11"/>
      <c r="AM54" s="11"/>
      <c r="AN54" s="11"/>
    </row>
    <row r="55" spans="1:40" ht="15" customHeight="1">
      <c r="A55" s="1293"/>
      <c r="C55" s="409" t="s">
        <v>450</v>
      </c>
      <c r="D55" s="399">
        <f>-Assumptions!K19</f>
        <v>-4.4071769132104175E-3</v>
      </c>
      <c r="E55" s="400">
        <f>-Assumptions!L19</f>
        <v>-4.4071769132104175E-3</v>
      </c>
      <c r="F55" s="433" t="str">
        <f>Assumptions!N19</f>
        <v>% Revenue</v>
      </c>
      <c r="G55" s="234"/>
      <c r="H55" s="930" t="s">
        <v>192</v>
      </c>
      <c r="I55" s="6" t="s">
        <v>711</v>
      </c>
      <c r="J55" s="931">
        <v>0.31</v>
      </c>
      <c r="K55" s="778">
        <v>4.5900000000000003E-2</v>
      </c>
      <c r="L55" s="932">
        <v>4.5999999999999999E-2</v>
      </c>
      <c r="M55" s="234"/>
      <c r="N55" s="234"/>
      <c r="O55" s="234"/>
      <c r="P55" s="234"/>
      <c r="Q55" s="234"/>
      <c r="R55" s="234"/>
      <c r="S55" s="234"/>
      <c r="T55" s="234"/>
      <c r="U55" s="234"/>
      <c r="V55" s="234"/>
      <c r="W55" s="234"/>
      <c r="X55" s="234"/>
      <c r="Y55" s="234"/>
      <c r="Z55" s="234"/>
      <c r="AA55" s="234"/>
      <c r="AB55" s="234"/>
      <c r="AC55" s="234"/>
      <c r="AD55" s="234"/>
      <c r="AE55" s="234"/>
      <c r="AF55" s="234"/>
      <c r="AG55" s="507"/>
      <c r="AH55" s="11"/>
      <c r="AI55" s="11"/>
      <c r="AJ55" s="11"/>
      <c r="AK55" s="11"/>
      <c r="AL55" s="11"/>
      <c r="AM55" s="11"/>
      <c r="AN55" s="11"/>
    </row>
    <row r="56" spans="1:40" ht="15" customHeight="1">
      <c r="A56" s="1293"/>
      <c r="C56" s="434" t="s">
        <v>452</v>
      </c>
      <c r="D56" s="399">
        <f>Assumptions!C186</f>
        <v>0.22800000000000001</v>
      </c>
      <c r="E56" s="400">
        <v>0.25</v>
      </c>
      <c r="F56" s="433" t="str">
        <f>Assumptions!N20</f>
        <v>% EBT</v>
      </c>
      <c r="G56" s="234"/>
      <c r="H56" s="930" t="s">
        <v>712</v>
      </c>
      <c r="I56" s="6" t="s">
        <v>713</v>
      </c>
      <c r="J56" s="931">
        <v>0.36</v>
      </c>
      <c r="K56" s="778">
        <v>2.4299999999999999E-2</v>
      </c>
      <c r="L56" s="932">
        <v>4.5999999999999999E-2</v>
      </c>
      <c r="M56" s="234"/>
      <c r="N56" s="234"/>
      <c r="O56" s="234"/>
      <c r="P56" s="234"/>
      <c r="Q56" s="234"/>
      <c r="R56" s="234"/>
      <c r="S56" s="234"/>
      <c r="T56" s="234"/>
      <c r="U56" s="234"/>
      <c r="V56" s="234"/>
      <c r="W56" s="234"/>
      <c r="X56" s="234"/>
      <c r="Y56" s="234"/>
      <c r="Z56" s="234"/>
      <c r="AA56" s="234"/>
      <c r="AB56" s="234"/>
      <c r="AC56" s="234"/>
      <c r="AD56" s="234"/>
      <c r="AE56" s="234"/>
      <c r="AF56" s="234"/>
      <c r="AG56" s="507"/>
      <c r="AH56" s="11"/>
      <c r="AI56" s="11"/>
      <c r="AJ56" s="11"/>
      <c r="AK56" s="11"/>
      <c r="AL56" s="11"/>
      <c r="AM56" s="11"/>
      <c r="AN56" s="11"/>
    </row>
    <row r="57" spans="1:40" ht="15" customHeight="1">
      <c r="A57" s="1293"/>
      <c r="C57" s="409" t="s">
        <v>454</v>
      </c>
      <c r="D57" s="962">
        <v>0.04</v>
      </c>
      <c r="E57" s="400">
        <f>Assumptions!R279</f>
        <v>2.207422825392142E-2</v>
      </c>
      <c r="F57" s="433" t="str">
        <f>Assumptions!N21</f>
        <v>% Debt</v>
      </c>
      <c r="G57" s="234"/>
      <c r="H57" s="930" t="s">
        <v>190</v>
      </c>
      <c r="I57" s="6" t="s">
        <v>714</v>
      </c>
      <c r="J57" s="739">
        <v>0.2</v>
      </c>
      <c r="K57" s="778">
        <v>7.17E-2</v>
      </c>
      <c r="L57" s="932">
        <v>7.8100000000000003E-2</v>
      </c>
      <c r="M57" s="234"/>
      <c r="N57" s="234"/>
      <c r="O57" s="234"/>
      <c r="P57" s="234"/>
      <c r="Q57" s="234"/>
      <c r="R57" s="234"/>
      <c r="S57" s="234"/>
      <c r="T57" s="234"/>
      <c r="U57" s="234"/>
      <c r="V57" s="234"/>
      <c r="W57" s="234"/>
      <c r="X57" s="234"/>
      <c r="Y57" s="234"/>
      <c r="Z57" s="234"/>
      <c r="AA57" s="234"/>
      <c r="AB57" s="234"/>
      <c r="AC57" s="234"/>
      <c r="AD57" s="234"/>
      <c r="AE57" s="234"/>
      <c r="AF57" s="234"/>
      <c r="AG57" s="507"/>
      <c r="AH57" s="11"/>
      <c r="AI57" s="11"/>
      <c r="AJ57" s="11"/>
      <c r="AK57" s="11"/>
      <c r="AL57" s="11"/>
      <c r="AM57" s="11"/>
      <c r="AN57" s="11"/>
    </row>
    <row r="58" spans="1:40" ht="15" customHeight="1">
      <c r="A58" s="1293"/>
      <c r="C58" s="434" t="s">
        <v>456</v>
      </c>
      <c r="D58" s="399">
        <f>C50</f>
        <v>0.04</v>
      </c>
      <c r="E58" s="400">
        <v>0.02</v>
      </c>
      <c r="F58" s="433" t="str">
        <f>Assumptions!N22</f>
        <v xml:space="preserve">% Cash </v>
      </c>
      <c r="G58" s="234"/>
      <c r="H58" s="933" t="s">
        <v>189</v>
      </c>
      <c r="I58" s="934" t="s">
        <v>715</v>
      </c>
      <c r="J58" s="935">
        <v>0.14000000000000001</v>
      </c>
      <c r="K58" s="936">
        <v>0.1138</v>
      </c>
      <c r="L58" s="937">
        <v>0.09</v>
      </c>
      <c r="M58" s="251"/>
      <c r="N58" s="251"/>
      <c r="O58" s="234"/>
      <c r="P58" s="234"/>
      <c r="Q58" s="234"/>
      <c r="R58" s="234"/>
      <c r="S58" s="234"/>
      <c r="T58" s="234"/>
      <c r="U58" s="234"/>
      <c r="V58" s="234"/>
      <c r="W58" s="234"/>
      <c r="X58" s="234"/>
      <c r="Y58" s="234"/>
      <c r="Z58" s="234"/>
      <c r="AA58" s="234"/>
      <c r="AB58" s="234"/>
      <c r="AC58" s="234"/>
      <c r="AD58" s="234"/>
      <c r="AE58" s="234"/>
      <c r="AF58" s="234"/>
      <c r="AG58" s="507"/>
      <c r="AH58" s="11"/>
      <c r="AI58" s="11"/>
      <c r="AJ58" s="11"/>
      <c r="AK58" s="11"/>
      <c r="AL58" s="11"/>
      <c r="AM58" s="11"/>
      <c r="AN58" s="11"/>
    </row>
    <row r="59" spans="1:40" ht="15" customHeight="1">
      <c r="A59" s="1293"/>
      <c r="C59" s="409" t="s">
        <v>458</v>
      </c>
      <c r="D59" s="399" t="str">
        <f>Assumptions!K23</f>
        <v>- -</v>
      </c>
      <c r="E59" s="400" t="str">
        <f>Assumptions!L23</f>
        <v>- -</v>
      </c>
      <c r="F59" s="433" t="str">
        <f>Assumptions!N23</f>
        <v>Growing with CAPEX</v>
      </c>
      <c r="G59" s="234"/>
      <c r="H59" s="234"/>
      <c r="I59" s="234"/>
      <c r="J59" s="940" t="s">
        <v>716</v>
      </c>
      <c r="K59" s="938">
        <f>SUMPRODUCT(J55:J58,K55:K58)</f>
        <v>5.3248999999999998E-2</v>
      </c>
      <c r="L59" s="939">
        <f>SUMPRODUCT(J55:J58,L55:L58)</f>
        <v>5.9040000000000002E-2</v>
      </c>
      <c r="M59" s="252"/>
      <c r="N59" s="251"/>
      <c r="O59" s="234"/>
      <c r="P59" s="234"/>
      <c r="Q59" s="234"/>
      <c r="R59" s="234"/>
      <c r="S59" s="234"/>
      <c r="T59" s="234"/>
      <c r="U59" s="234"/>
      <c r="V59" s="234"/>
      <c r="W59" s="234"/>
      <c r="X59" s="234"/>
      <c r="Y59" s="234"/>
      <c r="Z59" s="234"/>
      <c r="AA59" s="234"/>
      <c r="AB59" s="234"/>
      <c r="AC59" s="234"/>
      <c r="AD59" s="234"/>
      <c r="AE59" s="234"/>
      <c r="AF59" s="234"/>
      <c r="AG59" s="507"/>
      <c r="AH59" s="11"/>
      <c r="AI59" s="11"/>
      <c r="AJ59" s="11"/>
      <c r="AK59" s="11"/>
      <c r="AL59" s="11"/>
      <c r="AM59" s="11"/>
      <c r="AN59" s="11"/>
    </row>
    <row r="60" spans="1:40" ht="15" customHeight="1">
      <c r="A60" s="1293"/>
      <c r="C60" s="980" t="s">
        <v>461</v>
      </c>
      <c r="D60" s="962">
        <f>Assumptions!C216</f>
        <v>-0.19961209594326793</v>
      </c>
      <c r="E60" s="975">
        <f>D60</f>
        <v>-0.19961209594326793</v>
      </c>
      <c r="F60" s="433" t="str">
        <f>Assumptions!N24</f>
        <v xml:space="preserve">% Change in Revenues </v>
      </c>
      <c r="G60" s="234"/>
      <c r="H60" s="234"/>
      <c r="I60" s="234"/>
      <c r="J60" s="251"/>
      <c r="K60" s="251"/>
      <c r="L60" s="251"/>
      <c r="M60" s="251"/>
      <c r="N60" s="251"/>
      <c r="O60" s="234"/>
      <c r="P60" s="234"/>
      <c r="Q60" s="234"/>
      <c r="R60" s="234"/>
      <c r="S60" s="234"/>
      <c r="T60" s="234"/>
      <c r="U60" s="234"/>
      <c r="V60" s="234"/>
      <c r="W60" s="234"/>
      <c r="X60" s="234"/>
      <c r="Y60" s="234"/>
      <c r="Z60" s="234"/>
      <c r="AA60" s="234"/>
      <c r="AB60" s="234"/>
      <c r="AC60" s="234"/>
      <c r="AD60" s="234"/>
      <c r="AE60" s="234"/>
      <c r="AF60" s="234"/>
      <c r="AG60" s="507"/>
      <c r="AH60" s="11"/>
      <c r="AI60" s="11"/>
      <c r="AJ60" s="11"/>
      <c r="AK60" s="11"/>
      <c r="AL60" s="11"/>
      <c r="AM60" s="11"/>
      <c r="AN60" s="11"/>
    </row>
    <row r="61" spans="1:40" ht="15" customHeight="1">
      <c r="A61" s="1293"/>
      <c r="C61" s="436" t="s">
        <v>463</v>
      </c>
      <c r="D61" s="399" t="str">
        <f>Assumptions!K25</f>
        <v>- -</v>
      </c>
      <c r="E61" s="400" t="str">
        <f>Assumptions!L25</f>
        <v>- -</v>
      </c>
      <c r="F61" s="433" t="str">
        <f>Assumptions!N25</f>
        <v>Growing with Amortization</v>
      </c>
      <c r="G61" s="234"/>
      <c r="H61" s="234"/>
      <c r="I61" s="234"/>
      <c r="J61" s="234"/>
      <c r="K61" s="234"/>
      <c r="L61" s="234"/>
      <c r="M61" s="234"/>
      <c r="N61" s="234"/>
      <c r="O61" s="234"/>
      <c r="P61" s="234"/>
      <c r="Q61" s="234"/>
      <c r="R61" s="234"/>
      <c r="S61" s="234"/>
      <c r="T61" s="234"/>
      <c r="U61" s="234"/>
      <c r="V61" s="234"/>
      <c r="W61" s="234"/>
      <c r="X61" s="234"/>
      <c r="Y61" s="234"/>
      <c r="Z61" s="234"/>
      <c r="AA61" s="234"/>
      <c r="AB61" s="234"/>
      <c r="AC61" s="234"/>
      <c r="AD61" s="234"/>
      <c r="AE61" s="234"/>
      <c r="AF61" s="234"/>
      <c r="AG61" s="507"/>
      <c r="AH61" s="11"/>
      <c r="AI61" s="11"/>
      <c r="AJ61" s="11"/>
      <c r="AK61" s="11"/>
      <c r="AL61" s="11"/>
      <c r="AM61" s="11"/>
      <c r="AN61" s="11"/>
    </row>
    <row r="62" spans="1:40" ht="15" customHeight="1">
      <c r="A62" s="1293"/>
      <c r="C62" s="436" t="s">
        <v>627</v>
      </c>
      <c r="D62" s="399">
        <f>Assumptions!C206+0.5%</f>
        <v>-2.9691278357125341E-2</v>
      </c>
      <c r="E62" s="400">
        <v>-0.04</v>
      </c>
      <c r="F62" s="433" t="str">
        <f>Assumptions!N26</f>
        <v>% Revenue</v>
      </c>
      <c r="G62" s="234"/>
      <c r="H62" s="234"/>
      <c r="I62" s="234"/>
      <c r="J62" s="234"/>
      <c r="K62" s="234"/>
      <c r="L62" s="234"/>
      <c r="M62" s="234"/>
      <c r="N62" s="234"/>
      <c r="O62" s="234"/>
      <c r="P62" s="234"/>
      <c r="Q62" s="234"/>
      <c r="R62" s="234"/>
      <c r="S62" s="234"/>
      <c r="T62" s="234"/>
      <c r="U62" s="234"/>
      <c r="V62" s="234"/>
      <c r="W62" s="234"/>
      <c r="X62" s="234"/>
      <c r="Y62" s="234"/>
      <c r="Z62" s="234"/>
      <c r="AA62" s="234"/>
      <c r="AB62" s="234"/>
      <c r="AC62" s="234"/>
      <c r="AD62" s="234"/>
      <c r="AE62" s="234"/>
      <c r="AF62" s="234"/>
      <c r="AG62" s="507"/>
      <c r="AH62" s="11"/>
      <c r="AI62" s="11"/>
      <c r="AJ62" s="11"/>
      <c r="AK62" s="11"/>
      <c r="AL62" s="11"/>
      <c r="AM62" s="11"/>
      <c r="AN62" s="11"/>
    </row>
    <row r="63" spans="1:40" ht="15" customHeight="1">
      <c r="A63" s="1293"/>
      <c r="C63" s="436" t="s">
        <v>466</v>
      </c>
      <c r="D63" s="399">
        <f>Assumptions!C211</f>
        <v>1.6623759596757104E-2</v>
      </c>
      <c r="E63" s="400">
        <v>0.04</v>
      </c>
      <c r="F63" s="433" t="str">
        <f>Assumptions!N27</f>
        <v>% Revenue</v>
      </c>
      <c r="G63" s="234"/>
      <c r="H63" s="234"/>
      <c r="I63" s="234"/>
      <c r="J63" s="234"/>
      <c r="K63" s="234"/>
      <c r="L63" s="234"/>
      <c r="M63" s="234"/>
      <c r="N63" s="234"/>
      <c r="O63" s="234"/>
      <c r="P63" s="234"/>
      <c r="Q63" s="234"/>
      <c r="R63" s="234"/>
      <c r="S63" s="234"/>
      <c r="T63" s="234"/>
      <c r="U63" s="234"/>
      <c r="V63" s="234"/>
      <c r="W63" s="234"/>
      <c r="X63" s="234"/>
      <c r="Y63" s="234"/>
      <c r="Z63" s="234"/>
      <c r="AA63" s="234"/>
      <c r="AB63" s="234"/>
      <c r="AC63" s="234"/>
      <c r="AD63" s="234"/>
      <c r="AE63" s="234"/>
      <c r="AF63" s="234"/>
      <c r="AG63" s="507"/>
      <c r="AH63" s="11"/>
      <c r="AI63" s="11"/>
      <c r="AJ63" s="11"/>
      <c r="AK63" s="11"/>
      <c r="AL63" s="11"/>
      <c r="AM63" s="11"/>
      <c r="AN63" s="11"/>
    </row>
    <row r="64" spans="1:40" ht="15" customHeight="1">
      <c r="A64" s="1293"/>
      <c r="C64" s="436" t="s">
        <v>133</v>
      </c>
      <c r="D64" s="962">
        <f>-Assumptions!C200</f>
        <v>0.43557168784029038</v>
      </c>
      <c r="E64" s="400">
        <f>D64</f>
        <v>0.43557168784029038</v>
      </c>
      <c r="F64" s="433" t="str">
        <f>Assumptions!N28</f>
        <v>% Net Income</v>
      </c>
      <c r="G64" s="234"/>
      <c r="I64" s="234"/>
      <c r="J64" s="234"/>
      <c r="K64" s="234"/>
      <c r="L64" s="234"/>
      <c r="M64" s="234"/>
      <c r="N64" s="234"/>
      <c r="O64" s="234"/>
      <c r="P64" s="234"/>
      <c r="Q64" s="234"/>
      <c r="R64" s="234"/>
      <c r="S64" s="234"/>
      <c r="T64" s="234"/>
      <c r="U64" s="234"/>
      <c r="V64" s="234"/>
      <c r="W64" s="234"/>
      <c r="X64" s="234"/>
      <c r="Y64" s="234"/>
      <c r="Z64" s="234"/>
      <c r="AA64" s="234"/>
      <c r="AB64" s="234"/>
      <c r="AC64" s="234"/>
      <c r="AD64" s="234"/>
      <c r="AE64" s="234"/>
      <c r="AF64" s="234"/>
      <c r="AG64" s="234"/>
    </row>
    <row r="65" spans="1:33" ht="15" customHeight="1">
      <c r="A65" s="1293"/>
      <c r="C65" s="436" t="s">
        <v>468</v>
      </c>
      <c r="D65" s="962">
        <f>-AVERAGE(Assumptions!C201,Assumptions!E201)</f>
        <v>0.40132786523914704</v>
      </c>
      <c r="E65" s="400">
        <f>D65</f>
        <v>0.40132786523914704</v>
      </c>
      <c r="F65" s="433" t="str">
        <f>Assumptions!N29</f>
        <v>% Net Income</v>
      </c>
      <c r="G65" s="234"/>
      <c r="I65" s="234"/>
      <c r="J65" s="234"/>
      <c r="K65" s="234"/>
      <c r="L65" s="234"/>
      <c r="M65" s="234"/>
      <c r="N65" s="234"/>
      <c r="O65" s="234"/>
      <c r="P65" s="234"/>
      <c r="Q65" s="234"/>
      <c r="R65" s="234"/>
      <c r="S65" s="234"/>
      <c r="T65" s="234"/>
      <c r="U65" s="234"/>
      <c r="V65" s="234"/>
      <c r="W65" s="234"/>
      <c r="X65" s="234"/>
      <c r="Y65" s="234"/>
      <c r="Z65" s="234"/>
      <c r="AA65" s="234"/>
      <c r="AB65" s="234"/>
      <c r="AC65" s="234"/>
      <c r="AD65" s="234"/>
      <c r="AE65" s="234"/>
      <c r="AF65" s="234"/>
      <c r="AG65" s="234"/>
    </row>
    <row r="66" spans="1:33" ht="15" customHeight="1">
      <c r="A66" s="1293"/>
      <c r="C66" s="436" t="s">
        <v>469</v>
      </c>
      <c r="D66" s="399">
        <f>Assumptions!C221</f>
        <v>1.7462497410022614E-3</v>
      </c>
      <c r="E66" s="400">
        <f>D66</f>
        <v>1.7462497410022614E-3</v>
      </c>
      <c r="F66" s="433" t="str">
        <f>Assumptions!N30</f>
        <v>% Revenue</v>
      </c>
      <c r="G66" s="234"/>
      <c r="I66" s="234"/>
      <c r="J66" s="234"/>
      <c r="K66" s="234"/>
      <c r="L66" s="234"/>
      <c r="M66" s="234"/>
      <c r="N66" s="234"/>
      <c r="O66" s="234"/>
      <c r="P66" s="234"/>
      <c r="Q66" s="234"/>
      <c r="R66" s="234"/>
      <c r="S66" s="234"/>
      <c r="T66" s="234"/>
      <c r="U66" s="234"/>
      <c r="V66" s="234"/>
      <c r="W66" s="234"/>
      <c r="X66" s="234"/>
      <c r="Y66" s="234"/>
      <c r="Z66" s="234"/>
      <c r="AA66" s="234"/>
      <c r="AB66" s="234"/>
      <c r="AC66" s="234"/>
      <c r="AD66" s="234"/>
      <c r="AE66" s="234"/>
      <c r="AF66" s="234"/>
      <c r="AG66" s="234"/>
    </row>
    <row r="67" spans="1:33" ht="15.75" customHeight="1">
      <c r="A67" s="1293"/>
      <c r="C67" s="436" t="s">
        <v>470</v>
      </c>
      <c r="D67" s="399" t="str">
        <f>Assumptions!K31</f>
        <v>- -</v>
      </c>
      <c r="E67" s="400" t="str">
        <f>Assumptions!L31</f>
        <v>- -</v>
      </c>
      <c r="F67" s="433" t="str">
        <f>Assumptions!N31</f>
        <v>- -</v>
      </c>
      <c r="G67" s="234"/>
      <c r="J67" s="234"/>
      <c r="K67" s="234"/>
      <c r="L67" s="234"/>
      <c r="M67" s="234"/>
      <c r="N67" s="234"/>
      <c r="O67" s="234"/>
      <c r="P67" s="234"/>
      <c r="Q67" s="234"/>
      <c r="R67" s="234"/>
      <c r="S67" s="234"/>
      <c r="T67" s="234"/>
      <c r="U67" s="234"/>
      <c r="V67" s="234"/>
      <c r="W67" s="234"/>
      <c r="X67" s="234"/>
      <c r="Y67" s="234"/>
      <c r="Z67" s="234"/>
      <c r="AA67" s="234"/>
      <c r="AB67" s="234"/>
      <c r="AC67" s="234"/>
      <c r="AD67" s="234"/>
      <c r="AE67" s="234"/>
      <c r="AF67" s="234"/>
      <c r="AG67" s="234"/>
    </row>
    <row r="68" spans="1:33" ht="15.75" customHeight="1">
      <c r="A68" s="1293"/>
      <c r="C68" s="434" t="s">
        <v>297</v>
      </c>
      <c r="D68" s="969" t="s">
        <v>717</v>
      </c>
      <c r="E68" s="970" t="s">
        <v>717</v>
      </c>
      <c r="F68" s="680" t="str">
        <f>Assumptions!N32</f>
        <v>% EBITDA</v>
      </c>
      <c r="G68" s="234"/>
      <c r="J68" s="234"/>
      <c r="K68" s="234"/>
      <c r="L68" s="234"/>
      <c r="M68" s="234"/>
      <c r="N68" s="234"/>
      <c r="O68" s="234"/>
      <c r="P68" s="234"/>
      <c r="Q68" s="234"/>
      <c r="R68" s="234"/>
      <c r="S68" s="234"/>
      <c r="T68" s="234"/>
      <c r="U68" s="234"/>
      <c r="V68" s="234"/>
      <c r="W68" s="234"/>
      <c r="X68" s="234"/>
      <c r="Y68" s="234"/>
      <c r="Z68" s="234"/>
      <c r="AA68" s="234"/>
      <c r="AB68" s="234"/>
      <c r="AC68" s="234"/>
      <c r="AD68" s="234"/>
      <c r="AE68" s="234"/>
      <c r="AF68" s="234"/>
      <c r="AG68" s="234"/>
    </row>
    <row r="69" spans="1:33" ht="14.45">
      <c r="A69" s="234"/>
      <c r="C69" s="234"/>
      <c r="D69" s="234"/>
      <c r="E69" s="234"/>
      <c r="F69" s="234"/>
      <c r="G69" s="234"/>
      <c r="H69" s="234"/>
      <c r="I69" s="234"/>
      <c r="J69" s="234"/>
      <c r="K69" s="234"/>
      <c r="L69" s="234"/>
      <c r="M69" s="234"/>
      <c r="N69" s="234"/>
      <c r="O69" s="234"/>
      <c r="P69" s="234"/>
      <c r="Q69" s="234"/>
      <c r="R69" s="234"/>
      <c r="S69" s="234"/>
      <c r="T69" s="234"/>
      <c r="U69" s="234"/>
      <c r="V69" s="234"/>
      <c r="W69" s="234"/>
      <c r="X69" s="234"/>
      <c r="Y69" s="234"/>
      <c r="Z69" s="234"/>
      <c r="AA69" s="234"/>
      <c r="AB69" s="234"/>
      <c r="AC69" s="234"/>
      <c r="AD69" s="234"/>
      <c r="AE69" s="234"/>
      <c r="AF69" s="234"/>
      <c r="AG69" s="234"/>
    </row>
    <row r="70" spans="1:33" ht="14.45">
      <c r="A70" s="1273" t="s">
        <v>110</v>
      </c>
      <c r="C70" s="307"/>
      <c r="D70" s="403" t="s">
        <v>718</v>
      </c>
      <c r="E70" s="2"/>
      <c r="G70" s="234"/>
      <c r="H70" s="234"/>
      <c r="I70" s="234"/>
      <c r="J70" s="234"/>
      <c r="K70" s="234"/>
      <c r="L70" s="234"/>
      <c r="M70" s="234"/>
      <c r="N70" s="234"/>
      <c r="O70" s="234"/>
      <c r="P70" s="234"/>
      <c r="Q70" s="234"/>
      <c r="R70" s="234"/>
      <c r="S70" s="234"/>
      <c r="T70" s="234"/>
      <c r="U70" s="234"/>
      <c r="V70" s="234"/>
      <c r="W70" s="234"/>
      <c r="X70" s="234"/>
      <c r="Y70" s="234"/>
      <c r="Z70" s="234"/>
      <c r="AA70" s="234"/>
      <c r="AB70" s="234"/>
      <c r="AC70" s="234"/>
      <c r="AD70" s="234"/>
      <c r="AE70" s="234"/>
      <c r="AF70" s="234"/>
      <c r="AG70" s="234"/>
    </row>
    <row r="71" spans="1:33" ht="14.45">
      <c r="A71" s="1274"/>
      <c r="C71" s="307" t="s">
        <v>719</v>
      </c>
      <c r="D71" s="404">
        <f>SUMPRODUCT(G35:AF35,G45:AF45)+((AF43-AF44)*AF45)</f>
        <v>76229.250665472297</v>
      </c>
      <c r="E71" s="363">
        <f>D71/D73</f>
        <v>0.70283975662033737</v>
      </c>
      <c r="G71" s="234"/>
      <c r="H71" s="234"/>
      <c r="I71" s="234"/>
      <c r="J71" s="234"/>
      <c r="K71" s="234"/>
      <c r="L71" s="234"/>
      <c r="M71" s="234"/>
      <c r="N71" s="234"/>
      <c r="O71" s="234"/>
      <c r="P71" s="234"/>
      <c r="Q71" s="234"/>
      <c r="R71" s="234"/>
      <c r="S71" s="234"/>
      <c r="T71" s="234"/>
      <c r="U71" s="234"/>
      <c r="V71" s="234"/>
      <c r="W71" s="234"/>
      <c r="X71" s="234"/>
      <c r="Y71" s="234"/>
      <c r="Z71" s="234"/>
      <c r="AA71" s="234"/>
      <c r="AB71" s="234"/>
      <c r="AC71" s="234"/>
      <c r="AD71" s="234"/>
      <c r="AE71" s="234"/>
      <c r="AF71" s="234"/>
      <c r="AG71" s="234"/>
    </row>
    <row r="72" spans="1:33" ht="14.45">
      <c r="A72" s="1274"/>
      <c r="C72" s="307" t="s">
        <v>720</v>
      </c>
      <c r="D72" s="404">
        <f>(AF34/(F50-AF5))*AF45</f>
        <v>32229.683177466391</v>
      </c>
      <c r="E72" s="363">
        <f>D72/D73</f>
        <v>0.29716024337966268</v>
      </c>
      <c r="G72" s="234"/>
      <c r="H72" s="234"/>
      <c r="I72" s="234"/>
      <c r="J72" s="234"/>
      <c r="K72" s="234"/>
      <c r="L72" s="234"/>
      <c r="M72" s="234"/>
      <c r="N72" s="234"/>
      <c r="O72" s="234"/>
      <c r="P72" s="234"/>
      <c r="Q72" s="234"/>
      <c r="R72" s="234"/>
      <c r="S72" s="234"/>
      <c r="T72" s="234"/>
      <c r="U72" s="234"/>
      <c r="V72" s="234"/>
      <c r="W72" s="234"/>
      <c r="X72" s="234"/>
      <c r="Y72" s="234"/>
      <c r="Z72" s="234"/>
      <c r="AA72" s="234"/>
      <c r="AB72" s="234"/>
      <c r="AC72" s="234"/>
      <c r="AD72" s="234"/>
      <c r="AE72" s="234"/>
      <c r="AF72" s="234"/>
      <c r="AG72" s="234"/>
    </row>
    <row r="73" spans="1:33" ht="14.45">
      <c r="A73" s="1274"/>
      <c r="C73" s="307" t="s">
        <v>721</v>
      </c>
      <c r="D73" s="404">
        <f>D71+D72</f>
        <v>108458.93384293868</v>
      </c>
      <c r="E73" s="2"/>
      <c r="G73" s="234"/>
      <c r="H73" s="234"/>
      <c r="I73" s="234"/>
      <c r="J73" s="234"/>
      <c r="K73" s="234"/>
      <c r="L73" s="234"/>
      <c r="M73" s="234"/>
      <c r="N73" s="234"/>
      <c r="O73" s="234"/>
      <c r="P73" s="234"/>
      <c r="Q73" s="234"/>
      <c r="R73" s="234"/>
      <c r="S73" s="234"/>
      <c r="T73" s="234"/>
      <c r="U73" s="234"/>
      <c r="V73" s="234"/>
      <c r="W73" s="234"/>
      <c r="X73" s="234"/>
      <c r="Y73" s="234"/>
      <c r="Z73" s="234"/>
      <c r="AA73" s="234"/>
      <c r="AB73" s="234"/>
      <c r="AC73" s="234"/>
      <c r="AD73" s="234"/>
      <c r="AE73" s="234"/>
      <c r="AF73" s="234"/>
      <c r="AG73" s="234"/>
    </row>
    <row r="74" spans="1:33" ht="14.45">
      <c r="A74" s="1274"/>
      <c r="C74" s="667" t="s">
        <v>722</v>
      </c>
      <c r="D74" s="668">
        <f ca="1">OP!C20</f>
        <v>74.28</v>
      </c>
      <c r="E74" s="308"/>
      <c r="G74" s="234"/>
      <c r="H74" s="234"/>
      <c r="I74" s="234"/>
      <c r="J74" s="234"/>
      <c r="K74" s="234"/>
      <c r="L74" s="234"/>
      <c r="M74" s="234"/>
      <c r="N74" s="234"/>
      <c r="O74" s="234"/>
      <c r="P74" s="234"/>
      <c r="Q74" s="234"/>
      <c r="R74" s="234"/>
      <c r="S74" s="234"/>
      <c r="T74" s="234"/>
      <c r="U74" s="234"/>
      <c r="V74" s="234"/>
      <c r="W74" s="234"/>
      <c r="X74" s="234"/>
      <c r="Y74" s="234"/>
      <c r="Z74" s="234"/>
      <c r="AA74" s="234"/>
      <c r="AB74" s="234"/>
      <c r="AC74" s="234"/>
      <c r="AD74" s="234"/>
      <c r="AE74" s="234"/>
      <c r="AF74" s="234"/>
      <c r="AG74" s="234"/>
    </row>
    <row r="75" spans="1:33" ht="14.45">
      <c r="A75" s="1274"/>
      <c r="C75" s="667" t="s">
        <v>723</v>
      </c>
      <c r="D75" s="405">
        <f ca="1">D76/D74-1</f>
        <v>9.3081759076532489E-2</v>
      </c>
      <c r="H75" s="234"/>
      <c r="I75" s="234"/>
      <c r="J75" s="234"/>
      <c r="K75" s="234"/>
      <c r="L75" s="234"/>
      <c r="M75" s="234"/>
      <c r="N75" s="234"/>
      <c r="O75" s="234"/>
      <c r="P75" s="234"/>
      <c r="Q75" s="234"/>
      <c r="R75" s="234"/>
      <c r="S75" s="234"/>
      <c r="T75" s="234"/>
      <c r="U75" s="234"/>
      <c r="V75" s="234"/>
      <c r="W75" s="234"/>
      <c r="X75" s="234"/>
      <c r="Y75" s="234"/>
      <c r="Z75" s="234"/>
      <c r="AA75" s="234"/>
      <c r="AB75" s="234"/>
      <c r="AC75" s="234"/>
      <c r="AD75" s="234"/>
      <c r="AE75" s="234"/>
      <c r="AF75" s="234"/>
      <c r="AG75" s="234"/>
    </row>
    <row r="76" spans="1:33" ht="14.45">
      <c r="A76" s="1275"/>
      <c r="C76" s="406" t="s">
        <v>724</v>
      </c>
      <c r="D76" s="407">
        <f ca="1">D73*1000000/OP!C21</f>
        <v>81.194113064204842</v>
      </c>
    </row>
    <row r="77" spans="1:33" ht="14.45">
      <c r="A77" s="386"/>
      <c r="C77" s="308"/>
      <c r="D77" s="669"/>
    </row>
    <row r="78" spans="1:33" ht="14.45">
      <c r="A78" s="1269" t="s">
        <v>725</v>
      </c>
      <c r="C78" s="428" t="s">
        <v>726</v>
      </c>
      <c r="D78" s="668">
        <f ca="1">(SUMPRODUCT(G35:AF35,G45:AF45)+((AF43-AF44)*AF45)+(AF34/(F50+0.001-AF5))*AF45)*1000000/OP!C21</f>
        <v>80.850194843438132</v>
      </c>
      <c r="E78" s="408">
        <f ca="1">D78/D76-1</f>
        <v>-4.2357531573102847E-3</v>
      </c>
    </row>
    <row r="79" spans="1:33" ht="14.45">
      <c r="A79" s="1270"/>
      <c r="C79" s="428" t="s">
        <v>727</v>
      </c>
      <c r="D79" s="668">
        <f ca="1">(SUMPRODUCT(G35:AF35,G45:AF45)+((AF43-AF44)*AF45)+(AF34/(F50+0.005-AF5))*AF45)*1000000/OP!C21</f>
        <v>79.567278253825847</v>
      </c>
      <c r="E79" s="408">
        <f ca="1">D79/D76-1</f>
        <v>-2.0036364078422353E-2</v>
      </c>
    </row>
    <row r="80" spans="1:33" ht="14.45">
      <c r="A80" s="426"/>
      <c r="C80" s="427"/>
      <c r="D80" s="669"/>
      <c r="E80" s="408"/>
    </row>
    <row r="81" spans="1:12" ht="14.45">
      <c r="A81" s="437" t="s">
        <v>728</v>
      </c>
      <c r="C81" s="685" t="s">
        <v>729</v>
      </c>
      <c r="D81" s="941">
        <f ca="1">D76/1.15</f>
        <v>70.603576577569427</v>
      </c>
      <c r="J81" s="5"/>
    </row>
    <row r="82" spans="1:12">
      <c r="G82" s="1"/>
      <c r="H82" s="1"/>
      <c r="I82" s="1"/>
      <c r="J82" s="4"/>
    </row>
    <row r="83" spans="1:12">
      <c r="G83" s="1"/>
      <c r="H83" s="1"/>
      <c r="I83" s="1"/>
      <c r="J83" s="4"/>
    </row>
    <row r="84" spans="1:12">
      <c r="G84" s="1"/>
      <c r="H84" s="1"/>
      <c r="I84" s="1"/>
      <c r="K84" s="4"/>
    </row>
    <row r="85" spans="1:12">
      <c r="L85" s="5"/>
    </row>
    <row r="86" spans="1:12">
      <c r="G86" s="1"/>
      <c r="H86" s="1"/>
      <c r="I86" s="1"/>
    </row>
    <row r="87" spans="1:12">
      <c r="G87" s="1"/>
      <c r="H87" s="1"/>
      <c r="I87" s="1"/>
    </row>
    <row r="88" spans="1:12">
      <c r="G88" s="1"/>
      <c r="H88" s="1"/>
      <c r="I88" s="1"/>
    </row>
  </sheetData>
  <mergeCells count="15">
    <mergeCell ref="A33:AF33"/>
    <mergeCell ref="A78:A79"/>
    <mergeCell ref="A1:AF2"/>
    <mergeCell ref="A70:A76"/>
    <mergeCell ref="A5:A17"/>
    <mergeCell ref="A19:A32"/>
    <mergeCell ref="A43:A47"/>
    <mergeCell ref="G3:J3"/>
    <mergeCell ref="K3:AF3"/>
    <mergeCell ref="A42:AF42"/>
    <mergeCell ref="A48:AF48"/>
    <mergeCell ref="A34:A36"/>
    <mergeCell ref="A38:A41"/>
    <mergeCell ref="A49:A50"/>
    <mergeCell ref="A52:A68"/>
  </mergeCells>
  <phoneticPr fontId="0" type="noConversion"/>
  <conditionalFormatting sqref="D75">
    <cfRule type="cellIs" dxfId="1" priority="1" operator="lessThan">
      <formula>0</formula>
    </cfRule>
    <cfRule type="cellIs" dxfId="0" priority="2" operator="greaterThan">
      <formula>0%</formula>
    </cfRule>
  </conditionalFormatting>
  <pageMargins left="0.75" right="0.75" top="1" bottom="1" header="0" footer="0"/>
  <pageSetup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BBE39-AA8C-416A-BD40-1FFD3C1649A8}">
  <dimension ref="B2:AA128"/>
  <sheetViews>
    <sheetView topLeftCell="J1" workbookViewId="0"/>
  </sheetViews>
  <sheetFormatPr defaultColWidth="8.85546875" defaultRowHeight="13.15"/>
  <cols>
    <col min="1" max="9" width="0" hidden="1" customWidth="1"/>
    <col min="11" max="11" width="21.85546875" bestFit="1" customWidth="1"/>
  </cols>
  <sheetData>
    <row r="2" spans="2:27">
      <c r="E2" s="11" t="s">
        <v>730</v>
      </c>
      <c r="F2" s="11" t="s">
        <v>731</v>
      </c>
      <c r="H2" s="11" t="s">
        <v>409</v>
      </c>
      <c r="K2" s="1294" t="s">
        <v>730</v>
      </c>
      <c r="L2" s="1296" t="s">
        <v>732</v>
      </c>
      <c r="M2" s="1297"/>
      <c r="N2" s="1297"/>
      <c r="O2" s="1297"/>
      <c r="P2" s="1298"/>
      <c r="Q2" s="1297" t="s">
        <v>353</v>
      </c>
      <c r="R2" s="1297"/>
      <c r="S2" s="1297"/>
      <c r="T2" s="1297"/>
      <c r="U2" s="1297"/>
      <c r="V2" s="1297"/>
      <c r="W2" s="1297"/>
      <c r="X2" s="1297"/>
      <c r="Y2" s="1297"/>
      <c r="Z2" s="1297"/>
      <c r="AA2" s="1298"/>
    </row>
    <row r="3" spans="2:27">
      <c r="E3" t="s">
        <v>733</v>
      </c>
      <c r="F3" t="s">
        <v>734</v>
      </c>
      <c r="H3" s="11" t="s">
        <v>329</v>
      </c>
      <c r="K3" s="1295"/>
      <c r="L3" s="72" t="s">
        <v>735</v>
      </c>
      <c r="M3" s="89" t="s">
        <v>736</v>
      </c>
      <c r="N3" s="89" t="s">
        <v>737</v>
      </c>
      <c r="O3" s="89" t="s">
        <v>738</v>
      </c>
      <c r="P3" s="90" t="s">
        <v>739</v>
      </c>
      <c r="Q3" s="89" t="s">
        <v>740</v>
      </c>
      <c r="R3" s="89" t="s">
        <v>741</v>
      </c>
      <c r="S3" s="89" t="s">
        <v>368</v>
      </c>
      <c r="T3" s="89" t="s">
        <v>742</v>
      </c>
      <c r="U3" s="89" t="s">
        <v>743</v>
      </c>
      <c r="V3" s="89" t="s">
        <v>744</v>
      </c>
      <c r="W3" s="89" t="s">
        <v>745</v>
      </c>
      <c r="X3" s="89" t="s">
        <v>746</v>
      </c>
      <c r="Y3" s="89" t="s">
        <v>747</v>
      </c>
      <c r="Z3" s="89" t="s">
        <v>748</v>
      </c>
      <c r="AA3" s="90" t="s">
        <v>398</v>
      </c>
    </row>
    <row r="4" spans="2:27">
      <c r="B4" s="73"/>
      <c r="E4" t="s">
        <v>733</v>
      </c>
      <c r="F4" t="s">
        <v>749</v>
      </c>
      <c r="H4" s="11" t="s">
        <v>416</v>
      </c>
      <c r="K4" s="91" t="s">
        <v>733</v>
      </c>
      <c r="L4" s="92" t="s">
        <v>409</v>
      </c>
      <c r="M4" t="s">
        <v>409</v>
      </c>
      <c r="N4" t="s">
        <v>329</v>
      </c>
      <c r="O4" t="s">
        <v>409</v>
      </c>
      <c r="P4" s="93" t="s">
        <v>409</v>
      </c>
      <c r="Q4" t="s">
        <v>329</v>
      </c>
      <c r="R4" t="s">
        <v>329</v>
      </c>
      <c r="S4" t="s">
        <v>409</v>
      </c>
      <c r="T4" t="s">
        <v>409</v>
      </c>
      <c r="U4" t="s">
        <v>416</v>
      </c>
      <c r="V4" t="s">
        <v>409</v>
      </c>
      <c r="W4" t="s">
        <v>409</v>
      </c>
      <c r="X4" t="s">
        <v>409</v>
      </c>
      <c r="Y4" t="s">
        <v>409</v>
      </c>
      <c r="Z4" t="s">
        <v>409</v>
      </c>
      <c r="AA4" s="93" t="s">
        <v>329</v>
      </c>
    </row>
    <row r="5" spans="2:27" ht="13.9">
      <c r="B5" s="85" t="s">
        <v>326</v>
      </c>
      <c r="E5" t="s">
        <v>733</v>
      </c>
      <c r="F5" t="s">
        <v>750</v>
      </c>
      <c r="H5" s="11" t="s">
        <v>751</v>
      </c>
      <c r="K5" s="91" t="s">
        <v>752</v>
      </c>
      <c r="L5" s="92" t="s">
        <v>409</v>
      </c>
      <c r="M5" t="s">
        <v>409</v>
      </c>
      <c r="N5" t="s">
        <v>329</v>
      </c>
      <c r="O5" t="s">
        <v>329</v>
      </c>
      <c r="P5" s="93" t="s">
        <v>409</v>
      </c>
      <c r="Q5" t="s">
        <v>329</v>
      </c>
      <c r="R5" t="s">
        <v>329</v>
      </c>
      <c r="S5" t="s">
        <v>409</v>
      </c>
      <c r="T5" t="s">
        <v>409</v>
      </c>
      <c r="U5" t="s">
        <v>329</v>
      </c>
      <c r="V5" t="s">
        <v>329</v>
      </c>
      <c r="W5" t="s">
        <v>329</v>
      </c>
      <c r="X5" t="s">
        <v>416</v>
      </c>
      <c r="Y5" t="s">
        <v>409</v>
      </c>
      <c r="Z5" t="s">
        <v>416</v>
      </c>
      <c r="AA5" s="93" t="s">
        <v>409</v>
      </c>
    </row>
    <row r="6" spans="2:27">
      <c r="B6" s="87" t="s">
        <v>753</v>
      </c>
      <c r="E6" t="s">
        <v>733</v>
      </c>
      <c r="F6" t="s">
        <v>754</v>
      </c>
      <c r="K6" s="91" t="s">
        <v>313</v>
      </c>
      <c r="L6" s="92" t="s">
        <v>416</v>
      </c>
      <c r="M6" t="s">
        <v>751</v>
      </c>
      <c r="N6" t="s">
        <v>416</v>
      </c>
      <c r="O6" t="s">
        <v>416</v>
      </c>
      <c r="P6" s="93" t="s">
        <v>416</v>
      </c>
      <c r="Q6" t="s">
        <v>329</v>
      </c>
      <c r="R6" t="s">
        <v>416</v>
      </c>
      <c r="S6" t="s">
        <v>416</v>
      </c>
      <c r="T6" t="s">
        <v>409</v>
      </c>
      <c r="U6" t="s">
        <v>329</v>
      </c>
      <c r="V6" t="s">
        <v>329</v>
      </c>
      <c r="W6" t="s">
        <v>409</v>
      </c>
      <c r="X6" t="s">
        <v>416</v>
      </c>
      <c r="Y6" t="s">
        <v>409</v>
      </c>
      <c r="Z6" t="s">
        <v>751</v>
      </c>
      <c r="AA6" s="93" t="s">
        <v>409</v>
      </c>
    </row>
    <row r="7" spans="2:27">
      <c r="B7" s="87" t="s">
        <v>755</v>
      </c>
      <c r="E7" t="s">
        <v>733</v>
      </c>
      <c r="F7" t="s">
        <v>756</v>
      </c>
      <c r="K7" s="91" t="s">
        <v>737</v>
      </c>
      <c r="L7" s="92" t="s">
        <v>751</v>
      </c>
      <c r="M7" t="s">
        <v>751</v>
      </c>
      <c r="N7" t="s">
        <v>329</v>
      </c>
      <c r="O7" t="s">
        <v>751</v>
      </c>
      <c r="P7" s="93" t="s">
        <v>416</v>
      </c>
      <c r="Q7" t="s">
        <v>416</v>
      </c>
      <c r="R7" t="s">
        <v>329</v>
      </c>
      <c r="S7" t="s">
        <v>329</v>
      </c>
      <c r="T7" t="s">
        <v>329</v>
      </c>
      <c r="U7" t="s">
        <v>329</v>
      </c>
      <c r="V7" t="s">
        <v>416</v>
      </c>
      <c r="W7" t="s">
        <v>329</v>
      </c>
      <c r="X7" t="s">
        <v>329</v>
      </c>
      <c r="Y7" t="s">
        <v>416</v>
      </c>
      <c r="Z7" t="s">
        <v>416</v>
      </c>
      <c r="AA7" s="93" t="s">
        <v>409</v>
      </c>
    </row>
    <row r="8" spans="2:27">
      <c r="B8" s="87"/>
      <c r="K8" s="91" t="s">
        <v>757</v>
      </c>
      <c r="L8" s="92" t="s">
        <v>409</v>
      </c>
      <c r="M8" t="s">
        <v>409</v>
      </c>
      <c r="N8" t="s">
        <v>409</v>
      </c>
      <c r="O8" t="s">
        <v>329</v>
      </c>
      <c r="P8" s="93" t="s">
        <v>329</v>
      </c>
      <c r="Q8" t="s">
        <v>409</v>
      </c>
      <c r="R8" t="s">
        <v>329</v>
      </c>
      <c r="S8" t="s">
        <v>329</v>
      </c>
      <c r="T8" t="s">
        <v>416</v>
      </c>
      <c r="U8" t="s">
        <v>329</v>
      </c>
      <c r="V8" t="s">
        <v>409</v>
      </c>
      <c r="W8" t="s">
        <v>409</v>
      </c>
      <c r="X8" t="s">
        <v>329</v>
      </c>
      <c r="Y8" t="s">
        <v>329</v>
      </c>
      <c r="Z8" t="s">
        <v>416</v>
      </c>
      <c r="AA8" s="93" t="s">
        <v>409</v>
      </c>
    </row>
    <row r="9" spans="2:27">
      <c r="B9" s="87" t="s">
        <v>339</v>
      </c>
      <c r="E9" t="s">
        <v>733</v>
      </c>
      <c r="F9" t="s">
        <v>758</v>
      </c>
      <c r="K9" s="91" t="s">
        <v>759</v>
      </c>
      <c r="L9" s="92" t="s">
        <v>409</v>
      </c>
      <c r="M9" t="s">
        <v>409</v>
      </c>
      <c r="N9" t="s">
        <v>409</v>
      </c>
      <c r="O9" t="s">
        <v>409</v>
      </c>
      <c r="P9" s="93" t="s">
        <v>409</v>
      </c>
      <c r="Q9" t="s">
        <v>409</v>
      </c>
      <c r="R9" t="s">
        <v>409</v>
      </c>
      <c r="S9" t="s">
        <v>329</v>
      </c>
      <c r="T9" t="s">
        <v>416</v>
      </c>
      <c r="U9" t="s">
        <v>329</v>
      </c>
      <c r="V9" t="s">
        <v>409</v>
      </c>
      <c r="W9" t="s">
        <v>409</v>
      </c>
      <c r="X9" t="s">
        <v>409</v>
      </c>
      <c r="Y9" t="s">
        <v>409</v>
      </c>
      <c r="Z9" t="s">
        <v>329</v>
      </c>
      <c r="AA9" s="93" t="s">
        <v>409</v>
      </c>
    </row>
    <row r="10" spans="2:27">
      <c r="B10" s="87"/>
      <c r="K10" s="91" t="s">
        <v>760</v>
      </c>
      <c r="L10" s="92" t="s">
        <v>409</v>
      </c>
      <c r="M10" t="s">
        <v>329</v>
      </c>
      <c r="N10" t="s">
        <v>409</v>
      </c>
      <c r="O10" t="s">
        <v>329</v>
      </c>
      <c r="P10" s="93" t="s">
        <v>416</v>
      </c>
      <c r="Q10" t="s">
        <v>409</v>
      </c>
      <c r="R10" t="s">
        <v>409</v>
      </c>
      <c r="S10" t="s">
        <v>409</v>
      </c>
      <c r="T10" t="s">
        <v>409</v>
      </c>
      <c r="U10" t="s">
        <v>409</v>
      </c>
      <c r="V10" t="s">
        <v>409</v>
      </c>
      <c r="W10" t="s">
        <v>409</v>
      </c>
      <c r="X10" t="s">
        <v>409</v>
      </c>
      <c r="Y10" t="s">
        <v>329</v>
      </c>
      <c r="Z10" t="s">
        <v>409</v>
      </c>
      <c r="AA10" s="93" t="s">
        <v>409</v>
      </c>
    </row>
    <row r="11" spans="2:27">
      <c r="B11" s="87" t="s">
        <v>345</v>
      </c>
      <c r="E11" t="s">
        <v>733</v>
      </c>
      <c r="F11" t="s">
        <v>761</v>
      </c>
      <c r="K11" s="91" t="s">
        <v>762</v>
      </c>
      <c r="L11" s="92" t="s">
        <v>409</v>
      </c>
      <c r="M11" t="s">
        <v>329</v>
      </c>
      <c r="N11" t="s">
        <v>409</v>
      </c>
      <c r="O11" t="s">
        <v>409</v>
      </c>
      <c r="P11" s="93" t="s">
        <v>409</v>
      </c>
      <c r="Q11" t="s">
        <v>409</v>
      </c>
      <c r="R11" t="s">
        <v>409</v>
      </c>
      <c r="S11" t="s">
        <v>329</v>
      </c>
      <c r="T11" t="s">
        <v>409</v>
      </c>
      <c r="U11" t="s">
        <v>416</v>
      </c>
      <c r="V11" t="s">
        <v>409</v>
      </c>
      <c r="W11" t="s">
        <v>409</v>
      </c>
      <c r="X11" t="s">
        <v>409</v>
      </c>
      <c r="Y11" t="s">
        <v>409</v>
      </c>
      <c r="Z11" t="s">
        <v>409</v>
      </c>
      <c r="AA11" s="93" t="s">
        <v>409</v>
      </c>
    </row>
    <row r="12" spans="2:27">
      <c r="B12" s="86" t="s">
        <v>763</v>
      </c>
      <c r="E12" t="s">
        <v>733</v>
      </c>
      <c r="F12" t="s">
        <v>764</v>
      </c>
      <c r="K12" s="91" t="s">
        <v>765</v>
      </c>
      <c r="L12" s="92" t="s">
        <v>751</v>
      </c>
      <c r="M12" t="s">
        <v>751</v>
      </c>
      <c r="N12" t="s">
        <v>751</v>
      </c>
      <c r="O12" t="s">
        <v>416</v>
      </c>
      <c r="P12" s="93" t="s">
        <v>416</v>
      </c>
      <c r="Q12" t="s">
        <v>409</v>
      </c>
      <c r="R12" t="s">
        <v>329</v>
      </c>
      <c r="S12" t="s">
        <v>416</v>
      </c>
      <c r="T12" t="s">
        <v>751</v>
      </c>
      <c r="U12" t="s">
        <v>329</v>
      </c>
      <c r="V12" t="s">
        <v>751</v>
      </c>
      <c r="W12" t="s">
        <v>329</v>
      </c>
      <c r="X12" t="s">
        <v>751</v>
      </c>
      <c r="Y12" t="s">
        <v>751</v>
      </c>
      <c r="Z12" t="s">
        <v>751</v>
      </c>
      <c r="AA12" s="93" t="s">
        <v>416</v>
      </c>
    </row>
    <row r="13" spans="2:27" ht="13.9">
      <c r="B13" s="85" t="s">
        <v>353</v>
      </c>
      <c r="E13" t="s">
        <v>733</v>
      </c>
      <c r="F13" t="s">
        <v>766</v>
      </c>
      <c r="K13" s="91" t="s">
        <v>767</v>
      </c>
      <c r="L13" s="92" t="s">
        <v>329</v>
      </c>
      <c r="M13" t="s">
        <v>409</v>
      </c>
      <c r="N13" t="s">
        <v>416</v>
      </c>
      <c r="O13" t="s">
        <v>409</v>
      </c>
      <c r="P13" s="93" t="s">
        <v>409</v>
      </c>
      <c r="Q13" t="s">
        <v>409</v>
      </c>
      <c r="R13" t="s">
        <v>409</v>
      </c>
      <c r="S13" t="s">
        <v>409</v>
      </c>
      <c r="T13" t="s">
        <v>409</v>
      </c>
      <c r="U13" t="s">
        <v>416</v>
      </c>
      <c r="V13" t="s">
        <v>409</v>
      </c>
      <c r="W13" t="s">
        <v>409</v>
      </c>
      <c r="X13" t="s">
        <v>409</v>
      </c>
      <c r="Y13" t="s">
        <v>409</v>
      </c>
      <c r="Z13" t="s">
        <v>329</v>
      </c>
      <c r="AA13" s="93" t="s">
        <v>751</v>
      </c>
    </row>
    <row r="14" spans="2:27">
      <c r="B14" s="77" t="s">
        <v>768</v>
      </c>
      <c r="E14" t="s">
        <v>733</v>
      </c>
      <c r="F14" t="s">
        <v>769</v>
      </c>
      <c r="K14" s="91" t="s">
        <v>770</v>
      </c>
      <c r="L14" s="92" t="s">
        <v>751</v>
      </c>
      <c r="M14" t="s">
        <v>751</v>
      </c>
      <c r="N14" t="s">
        <v>751</v>
      </c>
      <c r="O14" t="s">
        <v>751</v>
      </c>
      <c r="P14" s="93" t="s">
        <v>416</v>
      </c>
      <c r="Q14" t="s">
        <v>416</v>
      </c>
      <c r="R14" t="s">
        <v>416</v>
      </c>
      <c r="S14" t="s">
        <v>329</v>
      </c>
      <c r="T14" t="s">
        <v>416</v>
      </c>
      <c r="U14" t="s">
        <v>409</v>
      </c>
      <c r="V14" t="s">
        <v>751</v>
      </c>
      <c r="W14" t="s">
        <v>329</v>
      </c>
      <c r="X14" t="s">
        <v>329</v>
      </c>
      <c r="Y14" t="s">
        <v>751</v>
      </c>
      <c r="Z14" t="s">
        <v>416</v>
      </c>
      <c r="AA14" s="93" t="s">
        <v>329</v>
      </c>
    </row>
    <row r="15" spans="2:27">
      <c r="B15" s="77" t="s">
        <v>771</v>
      </c>
      <c r="E15" t="s">
        <v>752</v>
      </c>
      <c r="F15" t="s">
        <v>772</v>
      </c>
      <c r="K15" s="91" t="s">
        <v>773</v>
      </c>
      <c r="L15" s="92" t="s">
        <v>409</v>
      </c>
      <c r="M15" t="s">
        <v>409</v>
      </c>
      <c r="N15" t="s">
        <v>329</v>
      </c>
      <c r="O15" t="s">
        <v>409</v>
      </c>
      <c r="P15" s="93" t="s">
        <v>409</v>
      </c>
      <c r="Q15" t="s">
        <v>329</v>
      </c>
      <c r="R15" t="s">
        <v>409</v>
      </c>
      <c r="S15" t="s">
        <v>409</v>
      </c>
      <c r="T15" t="s">
        <v>409</v>
      </c>
      <c r="U15" t="s">
        <v>416</v>
      </c>
      <c r="V15" t="s">
        <v>409</v>
      </c>
      <c r="W15" t="s">
        <v>329</v>
      </c>
      <c r="X15" t="s">
        <v>409</v>
      </c>
      <c r="Y15" t="s">
        <v>329</v>
      </c>
      <c r="Z15" t="s">
        <v>409</v>
      </c>
      <c r="AA15" s="93" t="s">
        <v>409</v>
      </c>
    </row>
    <row r="16" spans="2:27">
      <c r="B16" s="80" t="s">
        <v>774</v>
      </c>
      <c r="E16" t="s">
        <v>752</v>
      </c>
      <c r="F16" t="s">
        <v>775</v>
      </c>
      <c r="K16" s="94" t="s">
        <v>776</v>
      </c>
      <c r="L16" s="95" t="s">
        <v>751</v>
      </c>
      <c r="M16" s="96" t="s">
        <v>416</v>
      </c>
      <c r="N16" s="96" t="s">
        <v>416</v>
      </c>
      <c r="O16" s="96" t="s">
        <v>329</v>
      </c>
      <c r="P16" s="97" t="s">
        <v>416</v>
      </c>
      <c r="Q16" s="96" t="s">
        <v>409</v>
      </c>
      <c r="R16" s="96" t="s">
        <v>329</v>
      </c>
      <c r="S16" s="96" t="s">
        <v>329</v>
      </c>
      <c r="T16" s="96" t="s">
        <v>409</v>
      </c>
      <c r="U16" s="96" t="s">
        <v>329</v>
      </c>
      <c r="V16" s="96" t="s">
        <v>329</v>
      </c>
      <c r="W16" s="96" t="s">
        <v>329</v>
      </c>
      <c r="X16" s="96" t="s">
        <v>329</v>
      </c>
      <c r="Y16" s="96" t="s">
        <v>409</v>
      </c>
      <c r="Z16" s="96" t="s">
        <v>329</v>
      </c>
      <c r="AA16" s="97" t="s">
        <v>409</v>
      </c>
    </row>
    <row r="17" spans="2:22">
      <c r="B17" s="80" t="s">
        <v>777</v>
      </c>
      <c r="E17" t="s">
        <v>752</v>
      </c>
      <c r="F17" t="s">
        <v>778</v>
      </c>
    </row>
    <row r="18" spans="2:22" hidden="1">
      <c r="B18" s="77" t="s">
        <v>779</v>
      </c>
      <c r="E18" t="s">
        <v>752</v>
      </c>
      <c r="F18" t="s">
        <v>780</v>
      </c>
    </row>
    <row r="19" spans="2:22" hidden="1">
      <c r="B19" s="77" t="s">
        <v>781</v>
      </c>
      <c r="E19" t="s">
        <v>752</v>
      </c>
      <c r="F19" t="s">
        <v>782</v>
      </c>
      <c r="L19" s="98" t="s">
        <v>733</v>
      </c>
      <c r="M19" s="99" t="s">
        <v>752</v>
      </c>
      <c r="N19" s="99" t="s">
        <v>313</v>
      </c>
      <c r="O19" s="99" t="s">
        <v>737</v>
      </c>
      <c r="P19" s="99" t="s">
        <v>759</v>
      </c>
      <c r="Q19" s="99" t="s">
        <v>762</v>
      </c>
      <c r="R19" s="99" t="s">
        <v>765</v>
      </c>
      <c r="S19" s="99" t="s">
        <v>767</v>
      </c>
      <c r="T19" s="99" t="s">
        <v>770</v>
      </c>
      <c r="U19" s="99" t="s">
        <v>773</v>
      </c>
      <c r="V19" s="100" t="s">
        <v>776</v>
      </c>
    </row>
    <row r="20" spans="2:22" hidden="1">
      <c r="B20" s="77" t="s">
        <v>376</v>
      </c>
      <c r="E20" t="s">
        <v>752</v>
      </c>
      <c r="F20" t="s">
        <v>783</v>
      </c>
      <c r="L20" s="92" t="s">
        <v>734</v>
      </c>
      <c r="M20" t="s">
        <v>772</v>
      </c>
      <c r="N20" t="s">
        <v>784</v>
      </c>
      <c r="O20" t="s">
        <v>785</v>
      </c>
      <c r="P20" t="s">
        <v>786</v>
      </c>
      <c r="Q20" t="s">
        <v>787</v>
      </c>
      <c r="R20" t="s">
        <v>788</v>
      </c>
      <c r="S20" t="s">
        <v>789</v>
      </c>
      <c r="T20" t="s">
        <v>790</v>
      </c>
      <c r="U20" t="s">
        <v>791</v>
      </c>
      <c r="V20" s="93" t="s">
        <v>792</v>
      </c>
    </row>
    <row r="21" spans="2:22" hidden="1">
      <c r="B21" s="77" t="s">
        <v>383</v>
      </c>
      <c r="E21" t="s">
        <v>752</v>
      </c>
      <c r="F21" t="s">
        <v>793</v>
      </c>
      <c r="L21" s="92" t="s">
        <v>749</v>
      </c>
      <c r="M21" t="s">
        <v>775</v>
      </c>
      <c r="N21" t="s">
        <v>794</v>
      </c>
      <c r="O21" t="s">
        <v>795</v>
      </c>
      <c r="P21" t="s">
        <v>796</v>
      </c>
      <c r="Q21" t="s">
        <v>797</v>
      </c>
      <c r="R21" t="s">
        <v>798</v>
      </c>
      <c r="S21" t="s">
        <v>799</v>
      </c>
      <c r="T21" t="s">
        <v>800</v>
      </c>
      <c r="U21" t="s">
        <v>801</v>
      </c>
      <c r="V21" s="93" t="s">
        <v>802</v>
      </c>
    </row>
    <row r="22" spans="2:22" hidden="1">
      <c r="B22" s="77" t="s">
        <v>390</v>
      </c>
      <c r="E22" t="s">
        <v>752</v>
      </c>
      <c r="F22" t="s">
        <v>803</v>
      </c>
      <c r="L22" s="92" t="s">
        <v>750</v>
      </c>
      <c r="M22" t="s">
        <v>778</v>
      </c>
      <c r="N22" t="s">
        <v>804</v>
      </c>
      <c r="O22" t="s">
        <v>805</v>
      </c>
      <c r="P22" t="s">
        <v>806</v>
      </c>
      <c r="Q22" t="s">
        <v>807</v>
      </c>
      <c r="R22" t="s">
        <v>808</v>
      </c>
      <c r="S22" t="s">
        <v>809</v>
      </c>
      <c r="T22" t="s">
        <v>810</v>
      </c>
      <c r="U22" t="s">
        <v>811</v>
      </c>
      <c r="V22" s="93" t="s">
        <v>812</v>
      </c>
    </row>
    <row r="23" spans="2:22" hidden="1">
      <c r="B23" s="77" t="s">
        <v>397</v>
      </c>
      <c r="E23" t="s">
        <v>752</v>
      </c>
      <c r="F23" t="s">
        <v>813</v>
      </c>
      <c r="L23" s="92" t="s">
        <v>754</v>
      </c>
      <c r="M23" t="s">
        <v>780</v>
      </c>
      <c r="N23" t="s">
        <v>814</v>
      </c>
      <c r="O23" t="s">
        <v>815</v>
      </c>
      <c r="P23" t="s">
        <v>816</v>
      </c>
      <c r="Q23" t="s">
        <v>817</v>
      </c>
      <c r="R23" t="s">
        <v>818</v>
      </c>
      <c r="S23" t="s">
        <v>819</v>
      </c>
      <c r="T23" t="s">
        <v>820</v>
      </c>
      <c r="U23" t="s">
        <v>821</v>
      </c>
      <c r="V23" s="93" t="s">
        <v>822</v>
      </c>
    </row>
    <row r="24" spans="2:22" hidden="1">
      <c r="B24" s="79" t="s">
        <v>398</v>
      </c>
      <c r="E24" t="s">
        <v>752</v>
      </c>
      <c r="F24" t="s">
        <v>823</v>
      </c>
      <c r="L24" s="92" t="s">
        <v>756</v>
      </c>
      <c r="M24" t="s">
        <v>782</v>
      </c>
      <c r="N24" t="s">
        <v>824</v>
      </c>
      <c r="O24" t="s">
        <v>825</v>
      </c>
      <c r="P24" t="s">
        <v>826</v>
      </c>
      <c r="Q24" t="s">
        <v>827</v>
      </c>
      <c r="R24" t="s">
        <v>828</v>
      </c>
      <c r="S24" t="s">
        <v>829</v>
      </c>
      <c r="T24" t="s">
        <v>830</v>
      </c>
      <c r="U24" t="s">
        <v>831</v>
      </c>
      <c r="V24" s="93" t="s">
        <v>832</v>
      </c>
    </row>
    <row r="25" spans="2:22" hidden="1">
      <c r="E25" t="s">
        <v>752</v>
      </c>
      <c r="F25" t="s">
        <v>833</v>
      </c>
      <c r="L25" s="92" t="s">
        <v>758</v>
      </c>
      <c r="M25" t="s">
        <v>783</v>
      </c>
      <c r="N25" t="s">
        <v>834</v>
      </c>
      <c r="P25" t="s">
        <v>835</v>
      </c>
      <c r="Q25" t="s">
        <v>836</v>
      </c>
      <c r="R25" t="s">
        <v>837</v>
      </c>
      <c r="S25" t="s">
        <v>838</v>
      </c>
      <c r="T25" t="s">
        <v>839</v>
      </c>
      <c r="U25" t="s">
        <v>840</v>
      </c>
      <c r="V25" s="93"/>
    </row>
    <row r="26" spans="2:22" hidden="1">
      <c r="E26" t="s">
        <v>752</v>
      </c>
      <c r="F26" t="s">
        <v>841</v>
      </c>
      <c r="L26" s="92" t="s">
        <v>761</v>
      </c>
      <c r="M26" t="s">
        <v>793</v>
      </c>
      <c r="N26" t="s">
        <v>842</v>
      </c>
      <c r="P26" t="s">
        <v>843</v>
      </c>
      <c r="Q26" t="s">
        <v>844</v>
      </c>
      <c r="R26" t="s">
        <v>845</v>
      </c>
      <c r="S26" t="s">
        <v>846</v>
      </c>
      <c r="T26" t="s">
        <v>847</v>
      </c>
      <c r="U26" t="s">
        <v>848</v>
      </c>
      <c r="V26" s="93"/>
    </row>
    <row r="27" spans="2:22" hidden="1">
      <c r="E27" t="s">
        <v>752</v>
      </c>
      <c r="F27" t="s">
        <v>849</v>
      </c>
      <c r="L27" s="92" t="s">
        <v>764</v>
      </c>
      <c r="M27" t="s">
        <v>803</v>
      </c>
      <c r="N27" t="s">
        <v>850</v>
      </c>
      <c r="P27" t="s">
        <v>851</v>
      </c>
      <c r="Q27" t="s">
        <v>852</v>
      </c>
      <c r="R27" t="s">
        <v>853</v>
      </c>
      <c r="S27" t="s">
        <v>854</v>
      </c>
      <c r="T27" t="s">
        <v>855</v>
      </c>
      <c r="U27" t="s">
        <v>856</v>
      </c>
      <c r="V27" s="93"/>
    </row>
    <row r="28" spans="2:22" hidden="1">
      <c r="E28" t="s">
        <v>752</v>
      </c>
      <c r="F28" t="s">
        <v>857</v>
      </c>
      <c r="L28" s="92" t="s">
        <v>766</v>
      </c>
      <c r="M28" t="s">
        <v>813</v>
      </c>
      <c r="N28" t="s">
        <v>858</v>
      </c>
      <c r="P28" t="s">
        <v>859</v>
      </c>
      <c r="Q28" t="s">
        <v>860</v>
      </c>
      <c r="R28" t="s">
        <v>861</v>
      </c>
      <c r="S28" t="s">
        <v>862</v>
      </c>
      <c r="T28" t="s">
        <v>863</v>
      </c>
      <c r="V28" s="93"/>
    </row>
    <row r="29" spans="2:22" hidden="1">
      <c r="E29" t="s">
        <v>752</v>
      </c>
      <c r="F29" t="s">
        <v>864</v>
      </c>
      <c r="L29" s="95" t="s">
        <v>769</v>
      </c>
      <c r="M29" s="96" t="s">
        <v>823</v>
      </c>
      <c r="N29" s="96" t="s">
        <v>865</v>
      </c>
      <c r="O29" s="96"/>
      <c r="P29" s="96" t="s">
        <v>866</v>
      </c>
      <c r="Q29" s="96" t="s">
        <v>867</v>
      </c>
      <c r="R29" s="96" t="s">
        <v>868</v>
      </c>
      <c r="S29" s="96" t="s">
        <v>869</v>
      </c>
      <c r="T29" s="96" t="s">
        <v>870</v>
      </c>
      <c r="U29" s="96"/>
      <c r="V29" s="97"/>
    </row>
    <row r="30" spans="2:22" hidden="1">
      <c r="E30" t="s">
        <v>752</v>
      </c>
      <c r="F30" t="s">
        <v>871</v>
      </c>
      <c r="M30" t="s">
        <v>833</v>
      </c>
      <c r="N30" t="s">
        <v>872</v>
      </c>
      <c r="P30" t="s">
        <v>873</v>
      </c>
      <c r="R30" t="s">
        <v>874</v>
      </c>
      <c r="S30" t="s">
        <v>875</v>
      </c>
      <c r="T30" t="s">
        <v>876</v>
      </c>
    </row>
    <row r="31" spans="2:22" hidden="1">
      <c r="E31" t="s">
        <v>752</v>
      </c>
      <c r="F31" t="s">
        <v>877</v>
      </c>
      <c r="M31" t="s">
        <v>841</v>
      </c>
      <c r="N31" t="s">
        <v>878</v>
      </c>
      <c r="P31" t="s">
        <v>879</v>
      </c>
      <c r="R31" t="s">
        <v>880</v>
      </c>
      <c r="S31" t="s">
        <v>881</v>
      </c>
    </row>
    <row r="32" spans="2:22" hidden="1">
      <c r="E32" t="s">
        <v>752</v>
      </c>
      <c r="F32" t="s">
        <v>882</v>
      </c>
      <c r="M32" t="s">
        <v>849</v>
      </c>
      <c r="P32" t="s">
        <v>883</v>
      </c>
      <c r="R32" t="s">
        <v>884</v>
      </c>
      <c r="S32" t="s">
        <v>885</v>
      </c>
    </row>
    <row r="33" spans="5:18" hidden="1">
      <c r="E33" t="s">
        <v>752</v>
      </c>
      <c r="F33" t="s">
        <v>886</v>
      </c>
      <c r="M33" t="s">
        <v>857</v>
      </c>
      <c r="R33" t="s">
        <v>887</v>
      </c>
    </row>
    <row r="34" spans="5:18" hidden="1">
      <c r="E34" t="s">
        <v>752</v>
      </c>
      <c r="F34" t="s">
        <v>888</v>
      </c>
      <c r="M34" t="s">
        <v>864</v>
      </c>
      <c r="R34" t="s">
        <v>889</v>
      </c>
    </row>
    <row r="35" spans="5:18" hidden="1">
      <c r="E35" t="s">
        <v>313</v>
      </c>
      <c r="F35" t="s">
        <v>784</v>
      </c>
      <c r="M35" t="s">
        <v>871</v>
      </c>
      <c r="R35" t="s">
        <v>890</v>
      </c>
    </row>
    <row r="36" spans="5:18" hidden="1">
      <c r="E36" t="s">
        <v>313</v>
      </c>
      <c r="F36" t="s">
        <v>794</v>
      </c>
      <c r="M36" t="s">
        <v>877</v>
      </c>
      <c r="R36" t="s">
        <v>891</v>
      </c>
    </row>
    <row r="37" spans="5:18" hidden="1">
      <c r="E37" t="s">
        <v>313</v>
      </c>
      <c r="F37" t="s">
        <v>804</v>
      </c>
      <c r="M37" t="s">
        <v>882</v>
      </c>
    </row>
    <row r="38" spans="5:18" hidden="1">
      <c r="E38" t="s">
        <v>313</v>
      </c>
      <c r="F38" t="s">
        <v>814</v>
      </c>
      <c r="M38" t="s">
        <v>886</v>
      </c>
    </row>
    <row r="39" spans="5:18" hidden="1">
      <c r="E39" t="s">
        <v>313</v>
      </c>
      <c r="F39" t="s">
        <v>824</v>
      </c>
      <c r="M39" t="s">
        <v>888</v>
      </c>
    </row>
    <row r="40" spans="5:18" hidden="1">
      <c r="E40" t="s">
        <v>313</v>
      </c>
      <c r="F40" t="s">
        <v>834</v>
      </c>
    </row>
    <row r="41" spans="5:18" hidden="1">
      <c r="E41" t="s">
        <v>313</v>
      </c>
      <c r="F41" t="s">
        <v>842</v>
      </c>
    </row>
    <row r="42" spans="5:18">
      <c r="E42" t="s">
        <v>313</v>
      </c>
      <c r="F42" t="s">
        <v>850</v>
      </c>
    </row>
    <row r="43" spans="5:18">
      <c r="E43" t="s">
        <v>313</v>
      </c>
      <c r="F43" t="s">
        <v>858</v>
      </c>
    </row>
    <row r="44" spans="5:18">
      <c r="E44" t="s">
        <v>313</v>
      </c>
      <c r="F44" t="s">
        <v>865</v>
      </c>
    </row>
    <row r="45" spans="5:18">
      <c r="E45" t="s">
        <v>313</v>
      </c>
      <c r="F45" t="s">
        <v>872</v>
      </c>
    </row>
    <row r="46" spans="5:18">
      <c r="E46" t="s">
        <v>313</v>
      </c>
      <c r="F46" t="s">
        <v>878</v>
      </c>
    </row>
    <row r="47" spans="5:18">
      <c r="E47" t="s">
        <v>737</v>
      </c>
      <c r="F47" t="s">
        <v>785</v>
      </c>
    </row>
    <row r="48" spans="5:18">
      <c r="E48" t="s">
        <v>737</v>
      </c>
      <c r="F48" t="s">
        <v>795</v>
      </c>
    </row>
    <row r="49" spans="5:6">
      <c r="E49" t="s">
        <v>737</v>
      </c>
      <c r="F49" t="s">
        <v>805</v>
      </c>
    </row>
    <row r="50" spans="5:6">
      <c r="E50" t="s">
        <v>737</v>
      </c>
      <c r="F50" t="s">
        <v>815</v>
      </c>
    </row>
    <row r="51" spans="5:6">
      <c r="E51" t="s">
        <v>737</v>
      </c>
      <c r="F51" t="s">
        <v>825</v>
      </c>
    </row>
    <row r="52" spans="5:6">
      <c r="E52" t="s">
        <v>759</v>
      </c>
      <c r="F52" t="s">
        <v>786</v>
      </c>
    </row>
    <row r="53" spans="5:6">
      <c r="E53" t="s">
        <v>759</v>
      </c>
      <c r="F53" t="s">
        <v>796</v>
      </c>
    </row>
    <row r="54" spans="5:6">
      <c r="E54" t="s">
        <v>759</v>
      </c>
      <c r="F54" t="s">
        <v>806</v>
      </c>
    </row>
    <row r="55" spans="5:6">
      <c r="E55" t="s">
        <v>759</v>
      </c>
      <c r="F55" t="s">
        <v>816</v>
      </c>
    </row>
    <row r="56" spans="5:6">
      <c r="E56" t="s">
        <v>759</v>
      </c>
      <c r="F56" t="s">
        <v>826</v>
      </c>
    </row>
    <row r="57" spans="5:6">
      <c r="E57" t="s">
        <v>759</v>
      </c>
      <c r="F57" t="s">
        <v>835</v>
      </c>
    </row>
    <row r="58" spans="5:6">
      <c r="E58" t="s">
        <v>759</v>
      </c>
      <c r="F58" t="s">
        <v>843</v>
      </c>
    </row>
    <row r="59" spans="5:6">
      <c r="E59" t="s">
        <v>759</v>
      </c>
      <c r="F59" t="s">
        <v>851</v>
      </c>
    </row>
    <row r="60" spans="5:6">
      <c r="E60" t="s">
        <v>759</v>
      </c>
      <c r="F60" t="s">
        <v>859</v>
      </c>
    </row>
    <row r="61" spans="5:6">
      <c r="E61" t="s">
        <v>759</v>
      </c>
      <c r="F61" t="s">
        <v>866</v>
      </c>
    </row>
    <row r="62" spans="5:6">
      <c r="E62" t="s">
        <v>759</v>
      </c>
      <c r="F62" t="s">
        <v>873</v>
      </c>
    </row>
    <row r="63" spans="5:6">
      <c r="E63" t="s">
        <v>759</v>
      </c>
      <c r="F63" t="s">
        <v>879</v>
      </c>
    </row>
    <row r="64" spans="5:6">
      <c r="E64" t="s">
        <v>759</v>
      </c>
      <c r="F64" t="s">
        <v>883</v>
      </c>
    </row>
    <row r="65" spans="5:6">
      <c r="E65" t="s">
        <v>762</v>
      </c>
      <c r="F65" t="s">
        <v>787</v>
      </c>
    </row>
    <row r="66" spans="5:6">
      <c r="E66" t="s">
        <v>762</v>
      </c>
      <c r="F66" t="s">
        <v>797</v>
      </c>
    </row>
    <row r="67" spans="5:6">
      <c r="E67" t="s">
        <v>762</v>
      </c>
      <c r="F67" t="s">
        <v>807</v>
      </c>
    </row>
    <row r="68" spans="5:6">
      <c r="E68" t="s">
        <v>762</v>
      </c>
      <c r="F68" t="s">
        <v>817</v>
      </c>
    </row>
    <row r="69" spans="5:6">
      <c r="E69" t="s">
        <v>762</v>
      </c>
      <c r="F69" t="s">
        <v>827</v>
      </c>
    </row>
    <row r="70" spans="5:6">
      <c r="E70" t="s">
        <v>762</v>
      </c>
      <c r="F70" t="s">
        <v>836</v>
      </c>
    </row>
    <row r="71" spans="5:6">
      <c r="E71" t="s">
        <v>762</v>
      </c>
      <c r="F71" t="s">
        <v>844</v>
      </c>
    </row>
    <row r="72" spans="5:6">
      <c r="E72" t="s">
        <v>762</v>
      </c>
      <c r="F72" t="s">
        <v>852</v>
      </c>
    </row>
    <row r="73" spans="5:6">
      <c r="E73" t="s">
        <v>762</v>
      </c>
      <c r="F73" t="s">
        <v>860</v>
      </c>
    </row>
    <row r="74" spans="5:6">
      <c r="E74" t="s">
        <v>762</v>
      </c>
      <c r="F74" t="s">
        <v>867</v>
      </c>
    </row>
    <row r="75" spans="5:6">
      <c r="E75" t="s">
        <v>765</v>
      </c>
      <c r="F75" t="s">
        <v>788</v>
      </c>
    </row>
    <row r="76" spans="5:6">
      <c r="E76" t="s">
        <v>765</v>
      </c>
      <c r="F76" t="s">
        <v>798</v>
      </c>
    </row>
    <row r="77" spans="5:6">
      <c r="E77" t="s">
        <v>765</v>
      </c>
      <c r="F77" t="s">
        <v>808</v>
      </c>
    </row>
    <row r="78" spans="5:6">
      <c r="E78" t="s">
        <v>765</v>
      </c>
      <c r="F78" t="s">
        <v>818</v>
      </c>
    </row>
    <row r="79" spans="5:6">
      <c r="E79" t="s">
        <v>765</v>
      </c>
      <c r="F79" t="s">
        <v>828</v>
      </c>
    </row>
    <row r="80" spans="5:6">
      <c r="E80" t="s">
        <v>765</v>
      </c>
      <c r="F80" t="s">
        <v>837</v>
      </c>
    </row>
    <row r="81" spans="5:6">
      <c r="E81" t="s">
        <v>765</v>
      </c>
      <c r="F81" t="s">
        <v>845</v>
      </c>
    </row>
    <row r="82" spans="5:6">
      <c r="E82" t="s">
        <v>765</v>
      </c>
      <c r="F82" t="s">
        <v>853</v>
      </c>
    </row>
    <row r="83" spans="5:6">
      <c r="E83" t="s">
        <v>765</v>
      </c>
      <c r="F83" t="s">
        <v>861</v>
      </c>
    </row>
    <row r="84" spans="5:6">
      <c r="E84" t="s">
        <v>765</v>
      </c>
      <c r="F84" t="s">
        <v>868</v>
      </c>
    </row>
    <row r="85" spans="5:6">
      <c r="E85" t="s">
        <v>765</v>
      </c>
      <c r="F85" t="s">
        <v>874</v>
      </c>
    </row>
    <row r="86" spans="5:6">
      <c r="E86" t="s">
        <v>765</v>
      </c>
      <c r="F86" t="s">
        <v>880</v>
      </c>
    </row>
    <row r="87" spans="5:6">
      <c r="E87" t="s">
        <v>765</v>
      </c>
      <c r="F87" t="s">
        <v>884</v>
      </c>
    </row>
    <row r="88" spans="5:6">
      <c r="E88" t="s">
        <v>765</v>
      </c>
      <c r="F88" t="s">
        <v>887</v>
      </c>
    </row>
    <row r="89" spans="5:6">
      <c r="E89" t="s">
        <v>765</v>
      </c>
      <c r="F89" t="s">
        <v>889</v>
      </c>
    </row>
    <row r="90" spans="5:6">
      <c r="E90" t="s">
        <v>765</v>
      </c>
      <c r="F90" t="s">
        <v>890</v>
      </c>
    </row>
    <row r="91" spans="5:6">
      <c r="E91" t="s">
        <v>765</v>
      </c>
      <c r="F91" t="s">
        <v>891</v>
      </c>
    </row>
    <row r="92" spans="5:6">
      <c r="E92" t="s">
        <v>767</v>
      </c>
      <c r="F92" t="s">
        <v>789</v>
      </c>
    </row>
    <row r="93" spans="5:6">
      <c r="E93" t="s">
        <v>767</v>
      </c>
      <c r="F93" t="s">
        <v>799</v>
      </c>
    </row>
    <row r="94" spans="5:6">
      <c r="E94" t="s">
        <v>767</v>
      </c>
      <c r="F94" t="s">
        <v>809</v>
      </c>
    </row>
    <row r="95" spans="5:6">
      <c r="E95" t="s">
        <v>767</v>
      </c>
      <c r="F95" t="s">
        <v>819</v>
      </c>
    </row>
    <row r="96" spans="5:6">
      <c r="E96" t="s">
        <v>767</v>
      </c>
      <c r="F96" t="s">
        <v>829</v>
      </c>
    </row>
    <row r="97" spans="5:6">
      <c r="E97" t="s">
        <v>767</v>
      </c>
      <c r="F97" t="s">
        <v>838</v>
      </c>
    </row>
    <row r="98" spans="5:6">
      <c r="E98" t="s">
        <v>767</v>
      </c>
      <c r="F98" t="s">
        <v>846</v>
      </c>
    </row>
    <row r="99" spans="5:6">
      <c r="E99" t="s">
        <v>767</v>
      </c>
      <c r="F99" t="s">
        <v>854</v>
      </c>
    </row>
    <row r="100" spans="5:6">
      <c r="E100" t="s">
        <v>767</v>
      </c>
      <c r="F100" t="s">
        <v>862</v>
      </c>
    </row>
    <row r="101" spans="5:6">
      <c r="E101" t="s">
        <v>767</v>
      </c>
      <c r="F101" t="s">
        <v>869</v>
      </c>
    </row>
    <row r="102" spans="5:6">
      <c r="E102" t="s">
        <v>767</v>
      </c>
      <c r="F102" t="s">
        <v>875</v>
      </c>
    </row>
    <row r="103" spans="5:6">
      <c r="E103" t="s">
        <v>767</v>
      </c>
      <c r="F103" t="s">
        <v>881</v>
      </c>
    </row>
    <row r="104" spans="5:6">
      <c r="E104" t="s">
        <v>767</v>
      </c>
      <c r="F104" t="s">
        <v>885</v>
      </c>
    </row>
    <row r="105" spans="5:6">
      <c r="E105" t="s">
        <v>770</v>
      </c>
      <c r="F105" t="s">
        <v>790</v>
      </c>
    </row>
    <row r="106" spans="5:6">
      <c r="E106" t="s">
        <v>770</v>
      </c>
      <c r="F106" t="s">
        <v>800</v>
      </c>
    </row>
    <row r="107" spans="5:6">
      <c r="E107" t="s">
        <v>770</v>
      </c>
      <c r="F107" t="s">
        <v>810</v>
      </c>
    </row>
    <row r="108" spans="5:6">
      <c r="E108" t="s">
        <v>770</v>
      </c>
      <c r="F108" t="s">
        <v>820</v>
      </c>
    </row>
    <row r="109" spans="5:6">
      <c r="E109" t="s">
        <v>770</v>
      </c>
      <c r="F109" t="s">
        <v>830</v>
      </c>
    </row>
    <row r="110" spans="5:6">
      <c r="E110" t="s">
        <v>770</v>
      </c>
      <c r="F110" t="s">
        <v>839</v>
      </c>
    </row>
    <row r="111" spans="5:6">
      <c r="E111" t="s">
        <v>770</v>
      </c>
      <c r="F111" t="s">
        <v>847</v>
      </c>
    </row>
    <row r="112" spans="5:6">
      <c r="E112" t="s">
        <v>770</v>
      </c>
      <c r="F112" t="s">
        <v>855</v>
      </c>
    </row>
    <row r="113" spans="5:6">
      <c r="E113" t="s">
        <v>770</v>
      </c>
      <c r="F113" t="s">
        <v>863</v>
      </c>
    </row>
    <row r="114" spans="5:6">
      <c r="E114" t="s">
        <v>770</v>
      </c>
      <c r="F114" t="s">
        <v>870</v>
      </c>
    </row>
    <row r="115" spans="5:6">
      <c r="E115" t="s">
        <v>770</v>
      </c>
      <c r="F115" t="s">
        <v>876</v>
      </c>
    </row>
    <row r="116" spans="5:6">
      <c r="E116" t="s">
        <v>773</v>
      </c>
      <c r="F116" t="s">
        <v>791</v>
      </c>
    </row>
    <row r="117" spans="5:6">
      <c r="E117" t="s">
        <v>773</v>
      </c>
      <c r="F117" t="s">
        <v>801</v>
      </c>
    </row>
    <row r="118" spans="5:6">
      <c r="E118" t="s">
        <v>773</v>
      </c>
      <c r="F118" t="s">
        <v>811</v>
      </c>
    </row>
    <row r="119" spans="5:6">
      <c r="E119" t="s">
        <v>773</v>
      </c>
      <c r="F119" t="s">
        <v>821</v>
      </c>
    </row>
    <row r="120" spans="5:6">
      <c r="E120" t="s">
        <v>773</v>
      </c>
      <c r="F120" t="s">
        <v>831</v>
      </c>
    </row>
    <row r="121" spans="5:6">
      <c r="E121" t="s">
        <v>773</v>
      </c>
      <c r="F121" t="s">
        <v>840</v>
      </c>
    </row>
    <row r="122" spans="5:6">
      <c r="E122" t="s">
        <v>773</v>
      </c>
      <c r="F122" t="s">
        <v>848</v>
      </c>
    </row>
    <row r="123" spans="5:6">
      <c r="E123" t="s">
        <v>773</v>
      </c>
      <c r="F123" t="s">
        <v>856</v>
      </c>
    </row>
    <row r="124" spans="5:6">
      <c r="E124" t="s">
        <v>776</v>
      </c>
      <c r="F124" t="s">
        <v>792</v>
      </c>
    </row>
    <row r="125" spans="5:6">
      <c r="E125" t="s">
        <v>776</v>
      </c>
      <c r="F125" t="s">
        <v>802</v>
      </c>
    </row>
    <row r="126" spans="5:6">
      <c r="E126" t="s">
        <v>776</v>
      </c>
      <c r="F126" t="s">
        <v>812</v>
      </c>
    </row>
    <row r="127" spans="5:6">
      <c r="E127" t="s">
        <v>776</v>
      </c>
      <c r="F127" t="s">
        <v>822</v>
      </c>
    </row>
    <row r="128" spans="5:6">
      <c r="E128" t="s">
        <v>776</v>
      </c>
      <c r="F128" t="s">
        <v>832</v>
      </c>
    </row>
  </sheetData>
  <mergeCells count="3">
    <mergeCell ref="K2:K3"/>
    <mergeCell ref="L2:P2"/>
    <mergeCell ref="Q2:AA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A3883-DD98-4992-AC33-2C1B89D086E1}">
  <sheetPr>
    <tabColor rgb="FFFFFF00"/>
  </sheetPr>
  <dimension ref="A1:IA109"/>
  <sheetViews>
    <sheetView topLeftCell="A59" zoomScale="80" zoomScaleNormal="80" workbookViewId="0">
      <selection activeCell="P65" sqref="P65"/>
    </sheetView>
  </sheetViews>
  <sheetFormatPr defaultColWidth="11.42578125" defaultRowHeight="13.15"/>
  <cols>
    <col min="1" max="1" width="36.140625" style="11" customWidth="1"/>
    <col min="2" max="10" width="12.42578125" style="45" customWidth="1"/>
    <col min="11" max="12" width="12.42578125" style="52" customWidth="1"/>
    <col min="13" max="13" width="12.140625" style="52" bestFit="1" customWidth="1"/>
    <col min="14" max="15" width="11.42578125" style="44"/>
    <col min="16" max="16" width="32.7109375" style="44" bestFit="1" customWidth="1"/>
    <col min="17" max="16384" width="11.42578125" style="44"/>
  </cols>
  <sheetData>
    <row r="1" spans="1:25" ht="15.6">
      <c r="A1" s="1300" t="e" vm="1">
        <f>Inputs!H3</f>
        <v>#VALUE!</v>
      </c>
      <c r="B1" s="1300"/>
      <c r="C1" s="1300"/>
      <c r="D1" s="1300"/>
      <c r="E1" s="1300"/>
      <c r="F1" s="1300"/>
      <c r="G1" s="1300"/>
      <c r="H1" s="1300"/>
      <c r="I1" s="1300"/>
      <c r="J1" s="1300"/>
      <c r="K1" s="1300"/>
      <c r="L1" s="1300"/>
      <c r="M1" s="1300"/>
    </row>
    <row r="2" spans="1:25" ht="11.45">
      <c r="A2" s="1301" t="str">
        <f>Inputs!G2</f>
        <v>Figures in Millions of USD</v>
      </c>
      <c r="B2" s="1301"/>
      <c r="C2" s="1301"/>
      <c r="D2" s="1301"/>
      <c r="E2" s="1301"/>
      <c r="F2" s="1301"/>
      <c r="G2" s="1301"/>
      <c r="H2" s="1301"/>
      <c r="I2" s="1301"/>
      <c r="J2" s="1301"/>
      <c r="K2" s="1301"/>
      <c r="L2" s="1301"/>
      <c r="M2" s="1301"/>
    </row>
    <row r="3" spans="1:25" ht="21">
      <c r="A3" s="1299" t="s">
        <v>892</v>
      </c>
      <c r="B3" s="1299"/>
      <c r="C3" s="1299"/>
      <c r="D3" s="1299"/>
      <c r="E3" s="1299"/>
      <c r="F3" s="1299"/>
      <c r="G3" s="1299"/>
      <c r="H3" s="1299"/>
      <c r="I3" s="1299"/>
      <c r="J3" s="1299"/>
      <c r="K3" s="1299"/>
      <c r="L3" s="1299"/>
      <c r="M3" s="1299"/>
    </row>
    <row r="4" spans="1:25" ht="13.9">
      <c r="A4" s="116"/>
      <c r="B4" s="55">
        <f>OP!J20</f>
        <v>2023</v>
      </c>
      <c r="C4" s="46">
        <f>B4-1</f>
        <v>2022</v>
      </c>
      <c r="D4" s="46">
        <f t="shared" ref="D4:M4" si="0">C4-1</f>
        <v>2021</v>
      </c>
      <c r="E4" s="46">
        <f t="shared" si="0"/>
        <v>2020</v>
      </c>
      <c r="F4" s="46">
        <f t="shared" si="0"/>
        <v>2019</v>
      </c>
      <c r="G4" s="46">
        <f t="shared" si="0"/>
        <v>2018</v>
      </c>
      <c r="H4" s="46">
        <f t="shared" si="0"/>
        <v>2017</v>
      </c>
      <c r="I4" s="46">
        <f t="shared" si="0"/>
        <v>2016</v>
      </c>
      <c r="J4" s="46">
        <f>I4-1</f>
        <v>2015</v>
      </c>
      <c r="K4" s="46">
        <f t="shared" si="0"/>
        <v>2014</v>
      </c>
      <c r="L4" s="46">
        <f t="shared" si="0"/>
        <v>2013</v>
      </c>
      <c r="M4" s="46">
        <f t="shared" si="0"/>
        <v>2012</v>
      </c>
      <c r="P4" s="10" t="s">
        <v>121</v>
      </c>
      <c r="Q4" s="51">
        <v>2023</v>
      </c>
      <c r="R4" s="51">
        <f>Q4-1</f>
        <v>2022</v>
      </c>
      <c r="S4" s="51">
        <f t="shared" ref="S4" si="1">R4-1</f>
        <v>2021</v>
      </c>
      <c r="T4" s="51">
        <f t="shared" ref="T4" si="2">S4-1</f>
        <v>2020</v>
      </c>
      <c r="U4" s="51">
        <f t="shared" ref="U4" si="3">T4-1</f>
        <v>2019</v>
      </c>
      <c r="V4" s="51">
        <f t="shared" ref="V4" si="4">U4-1</f>
        <v>2018</v>
      </c>
      <c r="W4" s="51">
        <f t="shared" ref="W4" si="5">V4-1</f>
        <v>2017</v>
      </c>
      <c r="X4" s="51">
        <f t="shared" ref="X4" si="6">W4-1</f>
        <v>2016</v>
      </c>
      <c r="Y4" s="51" t="s">
        <v>223</v>
      </c>
    </row>
    <row r="5" spans="1:25" ht="13.9">
      <c r="A5" s="117" t="s">
        <v>122</v>
      </c>
      <c r="B5" s="56">
        <f>_xlfn.XLOOKUP($A5,Inputs!$A:$A,Inputs!B:B,,0)</f>
        <v>36016</v>
      </c>
      <c r="C5" s="56">
        <f>_xlfn.XLOOKUP($A5,Inputs!$A:$A,Inputs!C:C,,0)</f>
        <v>31496</v>
      </c>
      <c r="D5" s="56">
        <f>_xlfn.XLOOKUP($A5,Inputs!$A:$A,Inputs!D:D,,0)</f>
        <v>28720</v>
      </c>
      <c r="E5" s="56">
        <f>_xlfn.XLOOKUP($A5,Inputs!$A:$A,Inputs!E:E,,0)</f>
        <v>26581</v>
      </c>
      <c r="F5" s="56">
        <f>_xlfn.XLOOKUP($A5,Inputs!$A:$A,Inputs!F:F,,0)</f>
        <v>25868</v>
      </c>
      <c r="G5" s="56">
        <f>_xlfn.XLOOKUP($A5,Inputs!$A:$A,Inputs!G:G,,0)</f>
        <v>25938</v>
      </c>
      <c r="H5" s="56">
        <f>_xlfn.XLOOKUP($A5,Inputs!$A:$A,Inputs!H:H,,0)</f>
        <v>25896</v>
      </c>
      <c r="I5" s="56">
        <f>_xlfn.XLOOKUP($A5,Inputs!$A:$A,Inputs!I:I,,0)</f>
        <v>25923</v>
      </c>
      <c r="J5" s="56">
        <f>_xlfn.XLOOKUP($A5,Inputs!$A:$A,Inputs!J:J,,0)</f>
        <v>29636</v>
      </c>
      <c r="K5" s="56">
        <f>_xlfn.XLOOKUP($A5,Inputs!$A:$A,Inputs!K:K,,0)</f>
        <v>34244</v>
      </c>
      <c r="L5" s="56">
        <f>_xlfn.XLOOKUP($A5,Inputs!$A:$A,Inputs!L:L,,0)</f>
        <v>0</v>
      </c>
      <c r="M5" s="57">
        <f>_xlfn.XLOOKUP($A5,Inputs!$A:$A,Inputs!M:M,,0)</f>
        <v>0</v>
      </c>
      <c r="P5" s="11" t="s">
        <v>603</v>
      </c>
      <c r="Q5" s="903">
        <f>B6</f>
        <v>0.143510287020574</v>
      </c>
      <c r="R5" s="903">
        <f t="shared" ref="R5:U5" si="7">C6</f>
        <v>9.6657381615598892E-2</v>
      </c>
      <c r="S5" s="903">
        <f t="shared" si="7"/>
        <v>8.0471013129679081E-2</v>
      </c>
      <c r="T5" s="903">
        <f t="shared" si="7"/>
        <v>2.7563012215865212E-2</v>
      </c>
      <c r="U5" s="903">
        <f t="shared" si="7"/>
        <v>-2.698743156758443E-3</v>
      </c>
      <c r="V5" s="903">
        <f t="shared" ref="V5" si="8">G6</f>
        <v>1.6218721037997152E-3</v>
      </c>
      <c r="W5" s="903">
        <f t="shared" ref="W5" si="9">H6</f>
        <v>-1.0415461173475249E-3</v>
      </c>
      <c r="X5" s="903">
        <f t="shared" ref="X5" si="10">I6</f>
        <v>-0.12528681333513292</v>
      </c>
      <c r="Y5" s="908">
        <f>AVERAGE(Q5:X5)</f>
        <v>2.7599557934534752E-2</v>
      </c>
    </row>
    <row r="6" spans="1:25" ht="13.9">
      <c r="A6" s="118" t="s">
        <v>893</v>
      </c>
      <c r="B6" s="58">
        <f t="shared" ref="B6:L6" si="11">IFERROR(B5/C5-1,"-")</f>
        <v>0.143510287020574</v>
      </c>
      <c r="C6" s="58">
        <f t="shared" si="11"/>
        <v>9.6657381615598892E-2</v>
      </c>
      <c r="D6" s="58">
        <f t="shared" si="11"/>
        <v>8.0471013129679081E-2</v>
      </c>
      <c r="E6" s="58">
        <f t="shared" si="11"/>
        <v>2.7563012215865212E-2</v>
      </c>
      <c r="F6" s="58">
        <f t="shared" si="11"/>
        <v>-2.698743156758443E-3</v>
      </c>
      <c r="G6" s="58">
        <f t="shared" si="11"/>
        <v>1.6218721037997152E-3</v>
      </c>
      <c r="H6" s="58">
        <f t="shared" si="11"/>
        <v>-1.0415461173475249E-3</v>
      </c>
      <c r="I6" s="58">
        <f t="shared" si="11"/>
        <v>-0.12528681333513292</v>
      </c>
      <c r="J6" s="58">
        <f t="shared" si="11"/>
        <v>-0.1345637191916832</v>
      </c>
      <c r="K6" s="58" t="str">
        <f t="shared" si="11"/>
        <v>-</v>
      </c>
      <c r="L6" s="58" t="str">
        <f t="shared" si="11"/>
        <v>-</v>
      </c>
      <c r="M6" s="59" t="str">
        <f>IFERROR(M5/#REF!-1,"-")</f>
        <v>-</v>
      </c>
      <c r="N6" s="445"/>
      <c r="P6" s="11" t="s">
        <v>604</v>
      </c>
      <c r="Q6" s="903">
        <v>-3.5000000000000003E-2</v>
      </c>
      <c r="R6" s="903">
        <v>-6.6000000000000003E-2</v>
      </c>
      <c r="S6" s="903">
        <v>1.7000000000000001E-2</v>
      </c>
      <c r="T6" s="903">
        <v>-2.4E-2</v>
      </c>
      <c r="U6" s="903">
        <v>-4.4999999999999998E-2</v>
      </c>
      <c r="V6" s="903">
        <v>-1.4E-2</v>
      </c>
      <c r="W6" s="903">
        <v>3.0000000000000001E-3</v>
      </c>
      <c r="X6" s="903">
        <v>-4.5999999999999999E-2</v>
      </c>
      <c r="Y6" s="908">
        <f t="shared" ref="Y6:Y9" si="12">AVERAGE(Q6:X6)</f>
        <v>-2.6250000000000002E-2</v>
      </c>
    </row>
    <row r="7" spans="1:25" ht="13.9">
      <c r="A7" s="117" t="s">
        <v>894</v>
      </c>
      <c r="B7" s="56">
        <f>_xlfn.XLOOKUP($A7,Inputs!$A:$A,Inputs!B:B,,0)</f>
        <v>13764</v>
      </c>
      <c r="C7" s="56">
        <f>_xlfn.XLOOKUP($A7,Inputs!$A:$A,Inputs!C:C,,0)</f>
        <v>11312</v>
      </c>
      <c r="D7" s="56">
        <f>_xlfn.XLOOKUP($A7,Inputs!$A:$A,Inputs!D:D,,0)</f>
        <v>11254</v>
      </c>
      <c r="E7" s="56">
        <f>_xlfn.XLOOKUP($A7,Inputs!$A:$A,Inputs!E:E,,0)</f>
        <v>10446</v>
      </c>
      <c r="F7" s="56">
        <f>_xlfn.XLOOKUP($A7,Inputs!$A:$A,Inputs!F:F,,0)</f>
        <v>10337</v>
      </c>
      <c r="G7" s="56">
        <f>_xlfn.XLOOKUP($A7,Inputs!$A:$A,Inputs!G:G,,0)</f>
        <v>10352</v>
      </c>
      <c r="H7" s="56">
        <f>_xlfn.XLOOKUP($A7,Inputs!$A:$A,Inputs!H:H,,0)</f>
        <v>10065</v>
      </c>
      <c r="I7" s="56">
        <f>_xlfn.XLOOKUP($A7,Inputs!$A:$A,Inputs!I:I,,0)</f>
        <v>10128</v>
      </c>
      <c r="J7" s="56">
        <f>_xlfn.XLOOKUP($A7,Inputs!$A:$A,Inputs!J:J,,0)</f>
        <v>11512</v>
      </c>
      <c r="K7" s="56">
        <f>_xlfn.XLOOKUP($A7,Inputs!$A:$A,Inputs!K:K,,0)</f>
        <v>12597</v>
      </c>
      <c r="L7" s="56">
        <f>_xlfn.XLOOKUP($A7,Inputs!$A:$A,Inputs!L:L,,0)</f>
        <v>0</v>
      </c>
      <c r="M7" s="57">
        <f>_xlfn.XLOOKUP($A7,Inputs!$A:$A,Inputs!M:M,,0)</f>
        <v>0</v>
      </c>
      <c r="P7" s="11" t="s">
        <v>895</v>
      </c>
      <c r="Q7" s="903">
        <v>0.13400000000000001</v>
      </c>
      <c r="R7" s="903">
        <v>9.6000000000000002E-2</v>
      </c>
      <c r="S7" s="903">
        <v>2.5999999999999999E-2</v>
      </c>
      <c r="T7" s="903">
        <v>1.9E-2</v>
      </c>
      <c r="U7" s="903">
        <v>2.1999999999999999E-2</v>
      </c>
      <c r="V7" s="903">
        <v>1.2999999999999999E-2</v>
      </c>
      <c r="W7" s="903">
        <v>1.4999999999999999E-2</v>
      </c>
      <c r="X7" s="903">
        <v>1.6E-2</v>
      </c>
      <c r="Y7" s="909">
        <f t="shared" si="12"/>
        <v>4.262500000000001E-2</v>
      </c>
    </row>
    <row r="8" spans="1:25" ht="13.9">
      <c r="A8" s="118" t="s">
        <v>896</v>
      </c>
      <c r="B8" s="58">
        <f>IFERROR(B7/B$5,"-")</f>
        <v>0.38216348289649044</v>
      </c>
      <c r="C8" s="58">
        <f t="shared" ref="C8:M8" si="13">IFERROR(C7/C$5,"-")</f>
        <v>0.35915671831343665</v>
      </c>
      <c r="D8" s="58">
        <f t="shared" si="13"/>
        <v>0.39185236768802229</v>
      </c>
      <c r="E8" s="58">
        <f t="shared" si="13"/>
        <v>0.39298747225461794</v>
      </c>
      <c r="F8" s="58">
        <f t="shared" si="13"/>
        <v>0.39960569042832844</v>
      </c>
      <c r="G8" s="58">
        <f t="shared" si="13"/>
        <v>0.39910555941090292</v>
      </c>
      <c r="H8" s="58">
        <f t="shared" si="13"/>
        <v>0.38867006487488415</v>
      </c>
      <c r="I8" s="58">
        <f t="shared" si="13"/>
        <v>0.39069552135169539</v>
      </c>
      <c r="J8" s="58">
        <f t="shared" si="13"/>
        <v>0.38844648400593873</v>
      </c>
      <c r="K8" s="58">
        <f t="shared" si="13"/>
        <v>0.36786006307674335</v>
      </c>
      <c r="L8" s="58" t="str">
        <f t="shared" si="13"/>
        <v>-</v>
      </c>
      <c r="M8" s="59" t="str">
        <f t="shared" si="13"/>
        <v>-</v>
      </c>
      <c r="P8" s="11" t="s">
        <v>897</v>
      </c>
      <c r="Q8" s="903">
        <v>1.2999999999999999E-2</v>
      </c>
      <c r="R8" s="903">
        <v>2.7E-2</v>
      </c>
      <c r="S8" s="903">
        <v>2.5999999999999999E-2</v>
      </c>
      <c r="T8" s="903">
        <v>1.7999999999999999E-2</v>
      </c>
      <c r="U8" s="903">
        <v>1.9E-2</v>
      </c>
      <c r="V8" s="903">
        <v>1.0999999999999999E-2</v>
      </c>
      <c r="W8" s="903">
        <v>-6.0000000000000001E-3</v>
      </c>
      <c r="X8" s="903">
        <v>-3.0000000000000001E-3</v>
      </c>
      <c r="Y8" s="908">
        <f t="shared" si="12"/>
        <v>1.3125E-2</v>
      </c>
    </row>
    <row r="9" spans="1:25" ht="13.9">
      <c r="A9" s="117" t="s">
        <v>898</v>
      </c>
      <c r="B9" s="56">
        <f t="shared" ref="B9:M9" si="14">B5-B11</f>
        <v>30515</v>
      </c>
      <c r="C9" s="56">
        <f t="shared" si="14"/>
        <v>28091</v>
      </c>
      <c r="D9" s="56">
        <f t="shared" si="14"/>
        <v>24204</v>
      </c>
      <c r="E9" s="56">
        <f t="shared" si="14"/>
        <v>22913</v>
      </c>
      <c r="F9" s="56">
        <f t="shared" si="14"/>
        <v>22025</v>
      </c>
      <c r="G9" s="56">
        <f t="shared" si="14"/>
        <v>22766</v>
      </c>
      <c r="H9" s="56">
        <f t="shared" si="14"/>
        <v>22401</v>
      </c>
      <c r="I9" s="56">
        <f t="shared" si="14"/>
        <v>23781</v>
      </c>
      <c r="J9" s="56">
        <f t="shared" si="14"/>
        <v>20739</v>
      </c>
      <c r="K9" s="56">
        <f t="shared" si="14"/>
        <v>31497</v>
      </c>
      <c r="L9" s="56">
        <f t="shared" si="14"/>
        <v>0</v>
      </c>
      <c r="M9" s="57">
        <f t="shared" si="14"/>
        <v>0</v>
      </c>
      <c r="P9" s="11" t="s">
        <v>899</v>
      </c>
      <c r="Q9" s="903">
        <f>3.4%-0.2%</f>
        <v>3.2000000000000001E-2</v>
      </c>
      <c r="R9" s="903">
        <f>4.2%-0.2%</f>
        <v>0.04</v>
      </c>
      <c r="S9" s="903">
        <f>1%+0.1%</f>
        <v>1.0999999999999999E-2</v>
      </c>
      <c r="T9" s="903">
        <f>1.7%-0.2%</f>
        <v>1.5000000000000001E-2</v>
      </c>
      <c r="U9" s="903">
        <f>0.4%-0.3%</f>
        <v>1E-3</v>
      </c>
      <c r="V9" s="903">
        <f>0.2%-1%</f>
        <v>-8.0000000000000002E-3</v>
      </c>
      <c r="W9" s="903">
        <f>0.2%-1.5%</f>
        <v>-1.2999999999999999E-2</v>
      </c>
      <c r="X9" s="903">
        <f>0.3%-5.6%-3.7%-0.2%</f>
        <v>-9.1999999999999998E-2</v>
      </c>
      <c r="Y9" s="908">
        <f t="shared" si="12"/>
        <v>-1.7499999999999998E-3</v>
      </c>
    </row>
    <row r="10" spans="1:25" ht="13.9">
      <c r="A10" s="118" t="s">
        <v>896</v>
      </c>
      <c r="B10" s="58">
        <f>IFERROR(B9/B$5,"-")</f>
        <v>0.84726232785428701</v>
      </c>
      <c r="C10" s="58">
        <f t="shared" ref="C10:M10" si="15">IFERROR(C9/C$5,"-")</f>
        <v>0.89189103378206758</v>
      </c>
      <c r="D10" s="58">
        <f t="shared" si="15"/>
        <v>0.84275766016713094</v>
      </c>
      <c r="E10" s="58">
        <f t="shared" si="15"/>
        <v>0.86200669651254658</v>
      </c>
      <c r="F10" s="58">
        <f t="shared" si="15"/>
        <v>0.8514380702025669</v>
      </c>
      <c r="G10" s="58">
        <f t="shared" si="15"/>
        <v>0.87770838152517539</v>
      </c>
      <c r="H10" s="58">
        <f t="shared" si="15"/>
        <v>0.86503707136237262</v>
      </c>
      <c r="I10" s="58">
        <f t="shared" si="15"/>
        <v>0.91737067469042932</v>
      </c>
      <c r="J10" s="58">
        <f t="shared" si="15"/>
        <v>0.69979079497907948</v>
      </c>
      <c r="K10" s="58">
        <f t="shared" si="15"/>
        <v>0.91978156757388152</v>
      </c>
      <c r="L10" s="58" t="str">
        <f t="shared" si="15"/>
        <v>-</v>
      </c>
      <c r="M10" s="59" t="str">
        <f t="shared" si="15"/>
        <v>-</v>
      </c>
      <c r="P10" s="904" t="s">
        <v>900</v>
      </c>
      <c r="Q10" s="905">
        <f>SUM(Q6:Q9)</f>
        <v>0.14400000000000002</v>
      </c>
      <c r="R10" s="904">
        <f>SUM(R6:R9)</f>
        <v>9.7000000000000003E-2</v>
      </c>
      <c r="S10" s="904">
        <f>SUM(S6:S9)</f>
        <v>7.9999999999999988E-2</v>
      </c>
      <c r="T10" s="904">
        <f t="shared" ref="T10:X10" si="16">SUM(T6:T9)</f>
        <v>2.7999999999999997E-2</v>
      </c>
      <c r="U10" s="904">
        <f t="shared" si="16"/>
        <v>-3.0000000000000001E-3</v>
      </c>
      <c r="V10" s="904">
        <f t="shared" si="16"/>
        <v>1.9999999999999983E-3</v>
      </c>
      <c r="W10" s="904">
        <f t="shared" si="16"/>
        <v>-1.0000000000000009E-3</v>
      </c>
      <c r="X10" s="904">
        <f t="shared" si="16"/>
        <v>-0.125</v>
      </c>
      <c r="Y10" s="51"/>
    </row>
    <row r="11" spans="1:25">
      <c r="A11" s="117" t="s">
        <v>285</v>
      </c>
      <c r="B11" s="56">
        <f>_xlfn.XLOOKUP($A11,Inputs!$A:$A,Inputs!B:B,,0)</f>
        <v>5501</v>
      </c>
      <c r="C11" s="56">
        <f>_xlfn.XLOOKUP($A11,Inputs!$A:$A,Inputs!C:C,,0)</f>
        <v>3405</v>
      </c>
      <c r="D11" s="56">
        <f>_xlfn.XLOOKUP($A11,Inputs!$A:$A,Inputs!D:D,,0)</f>
        <v>4516</v>
      </c>
      <c r="E11" s="56">
        <f>_xlfn.XLOOKUP($A11,Inputs!$A:$A,Inputs!E:E,,0)</f>
        <v>3668</v>
      </c>
      <c r="F11" s="56">
        <f>_xlfn.XLOOKUP($A11,Inputs!$A:$A,Inputs!F:F,,0)</f>
        <v>3843</v>
      </c>
      <c r="G11" s="56">
        <f>_xlfn.XLOOKUP($A11,Inputs!$A:$A,Inputs!G:G,,0)</f>
        <v>3172</v>
      </c>
      <c r="H11" s="56">
        <f>_xlfn.XLOOKUP($A11,Inputs!$A:$A,Inputs!H:H,,0)</f>
        <v>3495</v>
      </c>
      <c r="I11" s="56">
        <f>_xlfn.XLOOKUP($A11,Inputs!$A:$A,Inputs!I:I,,0)</f>
        <v>2142</v>
      </c>
      <c r="J11" s="56">
        <f>_xlfn.XLOOKUP($A11,Inputs!$A:$A,Inputs!J:J,,0)</f>
        <v>8897</v>
      </c>
      <c r="K11" s="56">
        <f>_xlfn.XLOOKUP($A11,Inputs!$A:$A,Inputs!K:K,,0)</f>
        <v>2747</v>
      </c>
      <c r="L11" s="56">
        <f>_xlfn.XLOOKUP($A11,Inputs!$A:$A,Inputs!L:L,,0)</f>
        <v>0</v>
      </c>
      <c r="M11" s="57">
        <f>_xlfn.XLOOKUP($A11,Inputs!$A:$A,Inputs!M:M,,0)</f>
        <v>0</v>
      </c>
      <c r="P11" s="903"/>
      <c r="Q11" s="903"/>
      <c r="R11" s="903"/>
      <c r="S11" s="903"/>
      <c r="T11" s="903"/>
      <c r="U11" s="903"/>
      <c r="V11" s="903"/>
      <c r="W11" s="903"/>
      <c r="X11" s="903"/>
      <c r="Y11" s="903"/>
    </row>
    <row r="12" spans="1:25">
      <c r="A12" s="118" t="s">
        <v>123</v>
      </c>
      <c r="B12" s="58">
        <f t="shared" ref="B12:M12" si="17">IFERROR(B11/B$5,"-")</f>
        <v>0.15273767214571302</v>
      </c>
      <c r="C12" s="58">
        <f t="shared" si="17"/>
        <v>0.10810896621793244</v>
      </c>
      <c r="D12" s="58">
        <f t="shared" si="17"/>
        <v>0.15724233983286909</v>
      </c>
      <c r="E12" s="58">
        <f t="shared" si="17"/>
        <v>0.13799330348745345</v>
      </c>
      <c r="F12" s="58">
        <f t="shared" si="17"/>
        <v>0.14856192979743313</v>
      </c>
      <c r="G12" s="58">
        <f t="shared" si="17"/>
        <v>0.12229161847482459</v>
      </c>
      <c r="H12" s="58">
        <f t="shared" si="17"/>
        <v>0.13496292863762743</v>
      </c>
      <c r="I12" s="58">
        <f t="shared" si="17"/>
        <v>8.262932530957065E-2</v>
      </c>
      <c r="J12" s="58">
        <f t="shared" si="17"/>
        <v>0.30020920502092052</v>
      </c>
      <c r="K12" s="58">
        <f t="shared" si="17"/>
        <v>8.0218432426118438E-2</v>
      </c>
      <c r="L12" s="58" t="str">
        <f t="shared" si="17"/>
        <v>-</v>
      </c>
      <c r="M12" s="59" t="str">
        <f t="shared" si="17"/>
        <v>-</v>
      </c>
      <c r="P12" s="903"/>
      <c r="Q12" s="903"/>
      <c r="R12" s="903"/>
      <c r="S12" s="903"/>
      <c r="T12" s="903"/>
      <c r="U12" s="903"/>
      <c r="V12" s="903"/>
      <c r="W12" s="903"/>
      <c r="X12" s="903"/>
      <c r="Y12" s="903"/>
    </row>
    <row r="13" spans="1:25">
      <c r="A13" s="117" t="s">
        <v>901</v>
      </c>
      <c r="B13" s="58">
        <f t="shared" ref="B13" si="18">IFERROR(B12/C12-1,"-")</f>
        <v>0.41281225312815772</v>
      </c>
      <c r="C13" s="58">
        <f t="shared" ref="C13" si="19">IFERROR(C12/D12-1,"-")</f>
        <v>-0.31246910766629332</v>
      </c>
      <c r="D13" s="58">
        <f t="shared" ref="D13" si="20">IFERROR(D12/E12-1,"-")</f>
        <v>0.13949253955765895</v>
      </c>
      <c r="E13" s="58">
        <f t="shared" ref="E13" si="21">IFERROR(E12/F12-1,"-")</f>
        <v>-7.1139533017578582E-2</v>
      </c>
      <c r="F13" s="58">
        <f t="shared" ref="F13" si="22">IFERROR(F12/G12-1,"-")</f>
        <v>0.21481694044319677</v>
      </c>
      <c r="G13" s="58">
        <f t="shared" ref="G13" si="23">IFERROR(G12/H12-1,"-")</f>
        <v>-9.3887338476664528E-2</v>
      </c>
      <c r="H13" s="58">
        <f t="shared" ref="H13" si="24">IFERROR(H12/I12-1,"-")</f>
        <v>0.63335387445061442</v>
      </c>
      <c r="I13" s="58">
        <f t="shared" ref="I13" si="25">IFERROR(I12/J12-1,"-")</f>
        <v>-0.72476085367264975</v>
      </c>
      <c r="J13" s="58">
        <f t="shared" ref="J13" si="26">IFERROR(J12/K12-1,"-")</f>
        <v>2.7423968025978898</v>
      </c>
      <c r="K13" s="58" t="str">
        <f t="shared" ref="K13" si="27">IFERROR(K12/L12-1,"-")</f>
        <v>-</v>
      </c>
      <c r="L13" s="58" t="str">
        <f t="shared" ref="L13" si="28">IFERROR(L12/M12-1,"-")</f>
        <v>-</v>
      </c>
      <c r="M13" s="59" t="str">
        <f>IFERROR(M12/#REF!-1,"-")</f>
        <v>-</v>
      </c>
      <c r="P13" s="903"/>
      <c r="Q13" s="903"/>
      <c r="R13" s="903"/>
      <c r="S13" s="903"/>
      <c r="T13" s="903"/>
      <c r="U13" s="903"/>
      <c r="V13" s="903"/>
      <c r="W13" s="903"/>
      <c r="X13" s="903"/>
      <c r="Y13" s="903"/>
    </row>
    <row r="14" spans="1:25" ht="13.9">
      <c r="A14" s="119" t="s">
        <v>286</v>
      </c>
      <c r="B14" s="56">
        <f>_xlfn.XLOOKUP($A14,Inputs!$A:$A,Inputs!B:B,,0)</f>
        <v>56</v>
      </c>
      <c r="C14" s="56">
        <f>_xlfn.XLOOKUP($A14,Inputs!$A:$A,Inputs!C:C,,0)</f>
        <v>-428</v>
      </c>
      <c r="D14" s="56">
        <f>_xlfn.XLOOKUP($A14,Inputs!$A:$A,Inputs!D:D,,0)</f>
        <v>-365</v>
      </c>
      <c r="E14" s="56">
        <f>_xlfn.XLOOKUP($A14,Inputs!$A:$A,Inputs!E:E,,0)</f>
        <v>-526</v>
      </c>
      <c r="F14" s="56">
        <f>_xlfn.XLOOKUP($A14,Inputs!$A:$A,Inputs!F:F,,0)</f>
        <v>-498</v>
      </c>
      <c r="G14" s="56">
        <f>_xlfn.XLOOKUP($A14,Inputs!$A:$A,Inputs!G:G,,0)</f>
        <v>-358</v>
      </c>
      <c r="H14" s="56">
        <f>_xlfn.XLOOKUP($A14,Inputs!$A:$A,Inputs!H:H,,0)</f>
        <v>-385</v>
      </c>
      <c r="I14" s="56">
        <f>_xlfn.XLOOKUP($A14,Inputs!$A:$A,Inputs!I:I,,0)</f>
        <v>-580</v>
      </c>
      <c r="J14" s="56">
        <f>_xlfn.XLOOKUP($A14,Inputs!$A:$A,Inputs!J:J,,0)</f>
        <v>-1013</v>
      </c>
      <c r="K14" s="56">
        <f>_xlfn.XLOOKUP($A14,Inputs!$A:$A,Inputs!K:K,,0)</f>
        <v>-150</v>
      </c>
      <c r="L14" s="56">
        <f>_xlfn.XLOOKUP($A14,Inputs!$A:$A,Inputs!L:L,,0)</f>
        <v>0</v>
      </c>
      <c r="M14" s="57">
        <f>_xlfn.XLOOKUP($A14,Inputs!$A:$A,Inputs!M:M,,0)</f>
        <v>0</v>
      </c>
      <c r="P14" s="10" t="s">
        <v>902</v>
      </c>
      <c r="Q14" s="903"/>
      <c r="R14" s="903"/>
      <c r="S14" s="903"/>
      <c r="T14" s="903"/>
      <c r="U14" s="903"/>
      <c r="V14" s="903"/>
      <c r="W14" s="903"/>
      <c r="X14" s="903"/>
      <c r="Y14" s="903"/>
    </row>
    <row r="15" spans="1:25">
      <c r="A15" s="117" t="s">
        <v>903</v>
      </c>
      <c r="B15" s="56">
        <f>_xlfn.XLOOKUP($A15,Inputs!$A:$A,Inputs!B:B,,0)</f>
        <v>939</v>
      </c>
      <c r="C15" s="56">
        <f>_xlfn.XLOOKUP($A15,Inputs!$A:$A,Inputs!C:C,,0)</f>
        <v>605</v>
      </c>
      <c r="D15" s="56">
        <f>_xlfn.XLOOKUP($A15,Inputs!$A:$A,Inputs!D:D,,0)</f>
        <v>1339</v>
      </c>
      <c r="E15" s="56">
        <f>_xlfn.XLOOKUP($A15,Inputs!$A:$A,Inputs!E:E,,0)</f>
        <v>1637</v>
      </c>
      <c r="F15" s="56">
        <f>_xlfn.XLOOKUP($A15,Inputs!$A:$A,Inputs!F:F,,0)</f>
        <v>522</v>
      </c>
      <c r="G15" s="56">
        <f>_xlfn.XLOOKUP($A15,Inputs!$A:$A,Inputs!G:G,,0)</f>
        <v>1321</v>
      </c>
      <c r="H15" s="56">
        <f>_xlfn.XLOOKUP($A15,Inputs!$A:$A,Inputs!H:H,,0)</f>
        <v>559</v>
      </c>
      <c r="I15" s="56">
        <f>_xlfn.XLOOKUP($A15,Inputs!$A:$A,Inputs!I:I,,0)</f>
        <v>226</v>
      </c>
      <c r="J15" s="56">
        <f>_xlfn.XLOOKUP($A15,Inputs!$A:$A,Inputs!J:J,,0)</f>
        <v>-24</v>
      </c>
      <c r="K15" s="56">
        <f>_xlfn.XLOOKUP($A15,Inputs!$A:$A,Inputs!K:K,,0)</f>
        <v>-60</v>
      </c>
      <c r="L15" s="56">
        <f>_xlfn.XLOOKUP($A15,Inputs!$A:$A,Inputs!L:L,,0)</f>
        <v>0</v>
      </c>
      <c r="M15" s="57">
        <f>_xlfn.XLOOKUP($A15,Inputs!$A:$A,Inputs!M:M,,0)</f>
        <v>0</v>
      </c>
      <c r="P15" s="11" t="s">
        <v>904</v>
      </c>
      <c r="Q15" s="903">
        <f>Q5</f>
        <v>0.143510287020574</v>
      </c>
      <c r="R15" s="903">
        <f t="shared" ref="R15:X15" si="29">R5</f>
        <v>9.6657381615598892E-2</v>
      </c>
      <c r="S15" s="903">
        <f t="shared" si="29"/>
        <v>8.0471013129679081E-2</v>
      </c>
      <c r="T15" s="903">
        <f t="shared" si="29"/>
        <v>2.7563012215865212E-2</v>
      </c>
      <c r="U15" s="903">
        <f t="shared" si="29"/>
        <v>-2.698743156758443E-3</v>
      </c>
      <c r="V15" s="903">
        <f t="shared" si="29"/>
        <v>1.6218721037997152E-3</v>
      </c>
      <c r="W15" s="903">
        <f t="shared" si="29"/>
        <v>-1.0415461173475249E-3</v>
      </c>
      <c r="X15" s="903">
        <f t="shared" si="29"/>
        <v>-0.12528681333513292</v>
      </c>
      <c r="Y15" s="903"/>
    </row>
    <row r="16" spans="1:25">
      <c r="A16" s="119" t="s">
        <v>61</v>
      </c>
      <c r="B16" s="56">
        <f>B11-B15</f>
        <v>4562</v>
      </c>
      <c r="C16" s="56">
        <f t="shared" ref="C16:M16" si="30">C11-C15</f>
        <v>2800</v>
      </c>
      <c r="D16" s="56">
        <f t="shared" si="30"/>
        <v>3177</v>
      </c>
      <c r="E16" s="56">
        <f t="shared" si="30"/>
        <v>2031</v>
      </c>
      <c r="F16" s="56">
        <f t="shared" si="30"/>
        <v>3321</v>
      </c>
      <c r="G16" s="56">
        <f t="shared" si="30"/>
        <v>1851</v>
      </c>
      <c r="H16" s="56">
        <f t="shared" si="30"/>
        <v>2936</v>
      </c>
      <c r="I16" s="56">
        <f t="shared" si="30"/>
        <v>1916</v>
      </c>
      <c r="J16" s="56">
        <f t="shared" si="30"/>
        <v>8921</v>
      </c>
      <c r="K16" s="56">
        <f t="shared" si="30"/>
        <v>2807</v>
      </c>
      <c r="L16" s="56">
        <f t="shared" si="30"/>
        <v>0</v>
      </c>
      <c r="M16" s="57">
        <f t="shared" si="30"/>
        <v>0</v>
      </c>
      <c r="N16" s="54"/>
      <c r="O16" s="54"/>
      <c r="P16" s="11" t="s">
        <v>905</v>
      </c>
      <c r="Q16" s="912">
        <f>AVERAGE(Q15:X15)</f>
        <v>2.7599557934534752E-2</v>
      </c>
      <c r="R16" s="903"/>
      <c r="S16" s="903"/>
      <c r="T16" s="903"/>
      <c r="U16" s="903"/>
      <c r="V16" s="903"/>
      <c r="W16" s="903"/>
      <c r="X16" s="903"/>
      <c r="Y16" s="903"/>
    </row>
    <row r="17" spans="1:26">
      <c r="A17" s="117" t="s">
        <v>56</v>
      </c>
      <c r="B17" s="56">
        <f>_xlfn.XLOOKUP($A17,Inputs!$A:$A,Inputs!B:B,,0)</f>
        <v>1215</v>
      </c>
      <c r="C17" s="56">
        <f>_xlfn.XLOOKUP($A17,Inputs!$A:$A,Inputs!C:C,,0)</f>
        <v>1107</v>
      </c>
      <c r="D17" s="56">
        <f>_xlfn.XLOOKUP($A17,Inputs!$A:$A,Inputs!D:D,,0)</f>
        <v>1113</v>
      </c>
      <c r="E17" s="56">
        <f>_xlfn.XLOOKUP($A17,Inputs!$A:$A,Inputs!E:E,,0)</f>
        <v>1116</v>
      </c>
      <c r="F17" s="56">
        <f>_xlfn.XLOOKUP($A17,Inputs!$A:$A,Inputs!F:F,,0)</f>
        <v>1047</v>
      </c>
      <c r="G17" s="56">
        <f>_xlfn.XLOOKUP($A17,Inputs!$A:$A,Inputs!G:G,,0)</f>
        <v>811</v>
      </c>
      <c r="H17" s="56">
        <f>_xlfn.XLOOKUP($A17,Inputs!$A:$A,Inputs!H:H,,0)</f>
        <v>816</v>
      </c>
      <c r="I17" s="56">
        <f>_xlfn.XLOOKUP($A17,Inputs!$A:$A,Inputs!I:I,,0)</f>
        <v>823</v>
      </c>
      <c r="J17" s="56">
        <f>_xlfn.XLOOKUP($A17,Inputs!$A:$A,Inputs!J:J,,0)</f>
        <v>894</v>
      </c>
      <c r="K17" s="56">
        <f>_xlfn.XLOOKUP($A17,Inputs!$A:$A,Inputs!K:K,,0)</f>
        <v>1059</v>
      </c>
      <c r="L17" s="56">
        <f>_xlfn.XLOOKUP($A17,Inputs!$A:$A,Inputs!L:L,,0)</f>
        <v>0</v>
      </c>
      <c r="M17" s="57">
        <f>_xlfn.XLOOKUP($A17,Inputs!$A:$A,Inputs!M:M,,0)</f>
        <v>0</v>
      </c>
      <c r="N17" s="288"/>
      <c r="P17" s="11" t="s">
        <v>906</v>
      </c>
      <c r="Q17" s="903">
        <f>SUM(Q8,Q7,Q6)</f>
        <v>0.11200000000000002</v>
      </c>
      <c r="R17" s="903">
        <f t="shared" ref="R17:X17" si="31">SUM(R8,R7,R6)</f>
        <v>5.6999999999999995E-2</v>
      </c>
      <c r="S17" s="903">
        <f t="shared" si="31"/>
        <v>6.9000000000000006E-2</v>
      </c>
      <c r="T17" s="903">
        <f t="shared" si="31"/>
        <v>1.2999999999999998E-2</v>
      </c>
      <c r="U17" s="903">
        <f t="shared" si="31"/>
        <v>-4.0000000000000036E-3</v>
      </c>
      <c r="V17" s="903">
        <f t="shared" si="31"/>
        <v>0.01</v>
      </c>
      <c r="W17" s="903">
        <f t="shared" si="31"/>
        <v>1.2E-2</v>
      </c>
      <c r="X17" s="903">
        <f t="shared" si="31"/>
        <v>-3.3000000000000002E-2</v>
      </c>
      <c r="Y17" s="903"/>
    </row>
    <row r="18" spans="1:26">
      <c r="A18" s="119" t="s">
        <v>907</v>
      </c>
      <c r="B18" s="56">
        <f>_xlfn.XLOOKUP($A18,Inputs!$A:$A,Inputs!B:B,,0)</f>
        <v>-557</v>
      </c>
      <c r="C18" s="56">
        <f>_xlfn.XLOOKUP($A18,Inputs!$A:$A,Inputs!C:C,,0)</f>
        <v>-1351</v>
      </c>
      <c r="D18" s="56">
        <f>_xlfn.XLOOKUP($A18,Inputs!$A:$A,Inputs!D:D,,0)</f>
        <v>1587</v>
      </c>
      <c r="E18" s="56">
        <f>_xlfn.XLOOKUP($A18,Inputs!$A:$A,Inputs!E:E,,0)</f>
        <v>184</v>
      </c>
      <c r="F18" s="56">
        <f>_xlfn.XLOOKUP($A18,Inputs!$A:$A,Inputs!F:F,,0)</f>
        <v>1250</v>
      </c>
      <c r="G18" s="56">
        <f>_xlfn.XLOOKUP($A18,Inputs!$A:$A,Inputs!G:G,,0)</f>
        <v>-1199</v>
      </c>
      <c r="H18" s="56">
        <f>_xlfn.XLOOKUP($A18,Inputs!$A:$A,Inputs!H:H,,0)</f>
        <v>-1356</v>
      </c>
      <c r="I18" s="56">
        <f>_xlfn.XLOOKUP($A18,Inputs!$A:$A,Inputs!I:I,,0)</f>
        <v>-3844</v>
      </c>
      <c r="J18" s="56">
        <f>_xlfn.XLOOKUP($A18,Inputs!$A:$A,Inputs!J:J,,0)</f>
        <v>54</v>
      </c>
      <c r="K18" s="56">
        <f>_xlfn.XLOOKUP($A18,Inputs!$A:$A,Inputs!K:K,,0)</f>
        <v>-3888</v>
      </c>
      <c r="L18" s="56">
        <f>_xlfn.XLOOKUP($A18,Inputs!$A:$A,Inputs!L:L,,0)</f>
        <v>0</v>
      </c>
      <c r="M18" s="57">
        <f>_xlfn.XLOOKUP($A18,Inputs!$A:$A,Inputs!M:M,,0)</f>
        <v>0</v>
      </c>
      <c r="P18" s="11" t="s">
        <v>908</v>
      </c>
      <c r="Q18" s="911">
        <f>AVERAGE(Q17:X17)</f>
        <v>2.9500000000000002E-2</v>
      </c>
      <c r="R18" s="903"/>
      <c r="S18" s="903"/>
      <c r="T18" s="903"/>
      <c r="U18" s="903"/>
      <c r="V18" s="903"/>
      <c r="W18" s="903"/>
      <c r="X18" s="903"/>
      <c r="Y18" s="903"/>
    </row>
    <row r="19" spans="1:26">
      <c r="A19" s="117" t="s">
        <v>51</v>
      </c>
      <c r="B19" s="56">
        <f>B11-B15+B17</f>
        <v>5777</v>
      </c>
      <c r="C19" s="56">
        <f t="shared" ref="C19:M19" si="32">C11-C15+C17</f>
        <v>3907</v>
      </c>
      <c r="D19" s="56">
        <f t="shared" si="32"/>
        <v>4290</v>
      </c>
      <c r="E19" s="56">
        <f t="shared" si="32"/>
        <v>3147</v>
      </c>
      <c r="F19" s="56">
        <f t="shared" si="32"/>
        <v>4368</v>
      </c>
      <c r="G19" s="56">
        <f t="shared" si="32"/>
        <v>2662</v>
      </c>
      <c r="H19" s="56">
        <f t="shared" si="32"/>
        <v>3752</v>
      </c>
      <c r="I19" s="56">
        <f t="shared" si="32"/>
        <v>2739</v>
      </c>
      <c r="J19" s="56">
        <f t="shared" si="32"/>
        <v>9815</v>
      </c>
      <c r="K19" s="56">
        <f t="shared" si="32"/>
        <v>3866</v>
      </c>
      <c r="L19" s="56">
        <f t="shared" si="32"/>
        <v>0</v>
      </c>
      <c r="M19" s="57">
        <f t="shared" si="32"/>
        <v>0</v>
      </c>
      <c r="P19" s="903" t="s">
        <v>909</v>
      </c>
      <c r="Q19" s="903">
        <f>Q16-Q18</f>
        <v>-1.90044206546525E-3</v>
      </c>
      <c r="R19" s="903"/>
      <c r="S19" s="903"/>
      <c r="T19" s="903"/>
      <c r="U19" s="903"/>
      <c r="V19" s="903"/>
      <c r="W19" s="903"/>
      <c r="X19" s="903"/>
      <c r="Y19" s="903"/>
    </row>
    <row r="20" spans="1:26">
      <c r="A20" s="118" t="s">
        <v>910</v>
      </c>
      <c r="B20" s="58">
        <f t="shared" ref="B20" si="33">IFERROR(B19/B$5,"-")</f>
        <v>0.1604009329187028</v>
      </c>
      <c r="C20" s="58">
        <f t="shared" ref="C20" si="34">IFERROR(C19/C$5,"-")</f>
        <v>0.12404749809499618</v>
      </c>
      <c r="D20" s="58">
        <f t="shared" ref="D20" si="35">IFERROR(D19/D$5,"-")</f>
        <v>0.14937325905292478</v>
      </c>
      <c r="E20" s="58">
        <f t="shared" ref="E20" si="36">IFERROR(E19/E$5,"-")</f>
        <v>0.11839283698882661</v>
      </c>
      <c r="F20" s="58">
        <f t="shared" ref="F20" si="37">IFERROR(F19/F$5,"-")</f>
        <v>0.16885727539817535</v>
      </c>
      <c r="G20" s="58">
        <f t="shared" ref="G20" si="38">IFERROR(G19/G$5,"-")</f>
        <v>0.10262934690415607</v>
      </c>
      <c r="H20" s="58">
        <f t="shared" ref="H20" si="39">IFERROR(H19/H$5,"-")</f>
        <v>0.14488724127278343</v>
      </c>
      <c r="I20" s="58">
        <f t="shared" ref="I20" si="40">IFERROR(I19/I$5,"-")</f>
        <v>0.10565906723758824</v>
      </c>
      <c r="J20" s="58">
        <f t="shared" ref="J20" si="41">IFERROR(J19/J$5,"-")</f>
        <v>0.33118504521527869</v>
      </c>
      <c r="K20" s="58">
        <f t="shared" ref="K20" si="42">IFERROR(K19/K$5,"-")</f>
        <v>0.11289568975586964</v>
      </c>
      <c r="L20" s="58" t="str">
        <f t="shared" ref="L20" si="43">IFERROR(L19/L$5,"-")</f>
        <v>-</v>
      </c>
      <c r="M20" s="59" t="str">
        <f t="shared" ref="M20" si="44">IFERROR(M19/M$5,"-")</f>
        <v>-</v>
      </c>
      <c r="P20" s="903"/>
      <c r="Q20" s="903"/>
      <c r="R20" s="903"/>
      <c r="S20" s="903"/>
      <c r="T20" s="903"/>
      <c r="U20" s="903"/>
      <c r="V20" s="903"/>
      <c r="W20" s="903"/>
      <c r="X20" s="903"/>
      <c r="Y20" s="903"/>
    </row>
    <row r="21" spans="1:26" ht="13.9">
      <c r="A21" s="117" t="s">
        <v>287</v>
      </c>
      <c r="B21" s="56">
        <f>_xlfn.XLOOKUP($A21,Inputs!$A:$A,Inputs!B:B,,0)</f>
        <v>-1537</v>
      </c>
      <c r="C21" s="56">
        <f>_xlfn.XLOOKUP($A21,Inputs!$A:$A,Inputs!C:C,,0)</f>
        <v>-865</v>
      </c>
      <c r="D21" s="56">
        <f>_xlfn.XLOOKUP($A21,Inputs!$A:$A,Inputs!D:D,,0)</f>
        <v>-1190</v>
      </c>
      <c r="E21" s="56">
        <f>_xlfn.XLOOKUP($A21,Inputs!$A:$A,Inputs!E:E,,0)</f>
        <v>-1224</v>
      </c>
      <c r="F21" s="56">
        <f>_xlfn.XLOOKUP($A21,Inputs!$A:$A,Inputs!F:F,,0)</f>
        <v>3</v>
      </c>
      <c r="G21" s="56">
        <f>_xlfn.XLOOKUP($A21,Inputs!$A:$A,Inputs!G:G,,0)</f>
        <v>-754</v>
      </c>
      <c r="H21" s="56">
        <f>_xlfn.XLOOKUP($A21,Inputs!$A:$A,Inputs!H:H,,0)</f>
        <v>-747</v>
      </c>
      <c r="I21" s="56">
        <f>_xlfn.XLOOKUP($A21,Inputs!$A:$A,Inputs!I:I,,0)</f>
        <v>-129</v>
      </c>
      <c r="J21" s="56">
        <f>_xlfn.XLOOKUP($A21,Inputs!$A:$A,Inputs!J:J,,0)</f>
        <v>-593</v>
      </c>
      <c r="K21" s="56">
        <f>_xlfn.XLOOKUP($A21,Inputs!$A:$A,Inputs!K:K,,0)</f>
        <v>-353</v>
      </c>
      <c r="L21" s="56">
        <f>_xlfn.XLOOKUP($A21,Inputs!$A:$A,Inputs!L:L,,0)</f>
        <v>0</v>
      </c>
      <c r="M21" s="57">
        <f>_xlfn.XLOOKUP($A21,Inputs!$A:$A,Inputs!M:M,,0)</f>
        <v>0</v>
      </c>
      <c r="P21" s="903"/>
      <c r="Q21" s="51">
        <v>2023</v>
      </c>
      <c r="R21" s="51">
        <f>Q21-1</f>
        <v>2022</v>
      </c>
      <c r="S21" s="51">
        <f t="shared" ref="S21" si="45">R21-1</f>
        <v>2021</v>
      </c>
      <c r="T21" s="51">
        <f t="shared" ref="T21" si="46">S21-1</f>
        <v>2020</v>
      </c>
      <c r="U21" s="51">
        <f t="shared" ref="U21" si="47">T21-1</f>
        <v>2019</v>
      </c>
      <c r="V21" s="51">
        <f t="shared" ref="V21" si="48">U21-1</f>
        <v>2018</v>
      </c>
      <c r="W21" s="51">
        <f t="shared" ref="W21" si="49">V21-1</f>
        <v>2017</v>
      </c>
      <c r="X21" s="51">
        <f t="shared" ref="X21" si="50">W21-1</f>
        <v>2016</v>
      </c>
      <c r="Y21" s="51">
        <v>2015</v>
      </c>
      <c r="Z21" s="51" t="s">
        <v>223</v>
      </c>
    </row>
    <row r="22" spans="1:26" ht="13.9">
      <c r="A22" s="118" t="s">
        <v>911</v>
      </c>
      <c r="B22" s="58">
        <f t="shared" ref="B22" si="51">IFERROR(B21/B$5,"-")</f>
        <v>-4.2675477565526435E-2</v>
      </c>
      <c r="C22" s="58">
        <f t="shared" ref="C22" si="52">IFERROR(C21/C$5,"-")</f>
        <v>-2.7463804927609855E-2</v>
      </c>
      <c r="D22" s="58">
        <f t="shared" ref="D22" si="53">IFERROR(D21/D$5,"-")</f>
        <v>-4.1434540389972144E-2</v>
      </c>
      <c r="E22" s="58">
        <f t="shared" ref="E22" si="54">IFERROR(E21/E$5,"-")</f>
        <v>-4.6047928971821979E-2</v>
      </c>
      <c r="F22" s="58">
        <f t="shared" ref="F22" si="55">IFERROR(F21/F$5,"-")</f>
        <v>1.1597340343281275E-4</v>
      </c>
      <c r="G22" s="58">
        <f t="shared" ref="G22" si="56">IFERROR(G21/G$5,"-")</f>
        <v>-2.9069319145655022E-2</v>
      </c>
      <c r="H22" s="58">
        <f t="shared" ref="H22" si="57">IFERROR(H21/H$5,"-")</f>
        <v>-2.8846153846153848E-2</v>
      </c>
      <c r="I22" s="58">
        <f t="shared" ref="I22" si="58">IFERROR(I21/I$5,"-")</f>
        <v>-4.976275893993751E-3</v>
      </c>
      <c r="J22" s="58">
        <f t="shared" ref="J22" si="59">IFERROR(J21/J$5,"-")</f>
        <v>-2.0009447968686731E-2</v>
      </c>
      <c r="K22" s="58">
        <f t="shared" ref="K22" si="60">IFERROR(K21/K$5,"-")</f>
        <v>-1.0308375189814274E-2</v>
      </c>
      <c r="L22" s="58" t="str">
        <f t="shared" ref="L22" si="61">IFERROR(L21/L$5,"-")</f>
        <v>-</v>
      </c>
      <c r="M22" s="59" t="str">
        <f t="shared" ref="M22" si="62">IFERROR(M21/M$5,"-")</f>
        <v>-</v>
      </c>
      <c r="P22" s="10" t="s">
        <v>912</v>
      </c>
      <c r="Q22" s="910">
        <v>306.74599999999998</v>
      </c>
      <c r="R22" s="910">
        <v>296.79700000000003</v>
      </c>
      <c r="S22" s="910">
        <v>278.80200000000002</v>
      </c>
      <c r="T22" s="910">
        <v>260.47399999999999</v>
      </c>
      <c r="U22" s="910">
        <v>256.97399999999999</v>
      </c>
      <c r="V22" s="910">
        <v>251.233</v>
      </c>
      <c r="W22" s="910">
        <v>246.524</v>
      </c>
      <c r="X22" s="910">
        <v>241.43199999999999</v>
      </c>
      <c r="Y22" s="910">
        <v>236.52500000000001</v>
      </c>
    </row>
    <row r="23" spans="1:26" ht="13.9">
      <c r="A23" s="117" t="s">
        <v>65</v>
      </c>
      <c r="B23" s="56">
        <f>_xlfn.XLOOKUP($A23,Inputs!$A:$A,Inputs!B:B,,0)</f>
        <v>4959</v>
      </c>
      <c r="C23" s="56">
        <f>_xlfn.XLOOKUP($A23,Inputs!$A:$A,Inputs!C:C,,0)</f>
        <v>2717</v>
      </c>
      <c r="D23" s="56">
        <f>_xlfn.XLOOKUP($A23,Inputs!$A:$A,Inputs!D:D,,0)</f>
        <v>4300</v>
      </c>
      <c r="E23" s="56">
        <f>_xlfn.XLOOKUP($A23,Inputs!$A:$A,Inputs!E:E,,0)</f>
        <v>3555</v>
      </c>
      <c r="F23" s="56">
        <f>_xlfn.XLOOKUP($A23,Inputs!$A:$A,Inputs!F:F,,0)</f>
        <v>3870</v>
      </c>
      <c r="G23" s="56">
        <f>_xlfn.XLOOKUP($A23,Inputs!$A:$A,Inputs!G:G,,0)</f>
        <v>3381</v>
      </c>
      <c r="H23" s="56">
        <f>_xlfn.XLOOKUP($A23,Inputs!$A:$A,Inputs!H:H,,0)</f>
        <v>2922</v>
      </c>
      <c r="I23" s="56">
        <f>_xlfn.XLOOKUP($A23,Inputs!$A:$A,Inputs!I:I,,0)</f>
        <v>1659</v>
      </c>
      <c r="J23" s="56">
        <f>_xlfn.XLOOKUP($A23,Inputs!$A:$A,Inputs!J:J,,0)</f>
        <v>7267</v>
      </c>
      <c r="K23" s="56">
        <f>_xlfn.XLOOKUP($A23,Inputs!$A:$A,Inputs!K:K,,0)</f>
        <v>2184</v>
      </c>
      <c r="L23" s="56">
        <f>_xlfn.XLOOKUP($A23,Inputs!$A:$A,Inputs!L:L,,0)</f>
        <v>0</v>
      </c>
      <c r="M23" s="57">
        <f>_xlfn.XLOOKUP($A23,Inputs!$A:$A,Inputs!M:M,,0)</f>
        <v>0</v>
      </c>
      <c r="P23" s="10" t="s">
        <v>913</v>
      </c>
      <c r="Q23" s="903">
        <f>(Q22-R22)/R22</f>
        <v>3.3521228314302216E-2</v>
      </c>
      <c r="R23" s="903">
        <f t="shared" ref="R23:X23" si="63">(R22-S22)/S22</f>
        <v>6.4544013314108237E-2</v>
      </c>
      <c r="S23" s="903">
        <f t="shared" si="63"/>
        <v>7.0364028655451341E-2</v>
      </c>
      <c r="T23" s="903">
        <f t="shared" si="63"/>
        <v>1.3620054947193101E-2</v>
      </c>
      <c r="U23" s="903">
        <f t="shared" si="63"/>
        <v>2.2851297401217139E-2</v>
      </c>
      <c r="V23" s="903">
        <f t="shared" si="63"/>
        <v>1.9101588486313718E-2</v>
      </c>
      <c r="W23" s="903">
        <f t="shared" si="63"/>
        <v>2.1090824745684141E-2</v>
      </c>
      <c r="X23" s="903">
        <f t="shared" si="63"/>
        <v>2.0746221329669093E-2</v>
      </c>
      <c r="Y23" s="903"/>
      <c r="Z23" s="909">
        <f>AVERAGE(Q23:X23)</f>
        <v>3.3229907149242371E-2</v>
      </c>
    </row>
    <row r="24" spans="1:26">
      <c r="A24" s="118" t="s">
        <v>248</v>
      </c>
      <c r="B24" s="58">
        <f t="shared" ref="B24" si="64">IFERROR(B23/B$5,"-")</f>
        <v>0.1376888049755664</v>
      </c>
      <c r="C24" s="58">
        <f t="shared" ref="C24" si="65">IFERROR(C23/C$5,"-")</f>
        <v>8.6264922529845064E-2</v>
      </c>
      <c r="D24" s="58">
        <f t="shared" ref="D24" si="66">IFERROR(D23/D$5,"-")</f>
        <v>0.14972144846796656</v>
      </c>
      <c r="E24" s="58">
        <f t="shared" ref="E24" si="67">IFERROR(E23/E$5,"-")</f>
        <v>0.1337421466461006</v>
      </c>
      <c r="F24" s="58">
        <f t="shared" ref="F24" si="68">IFERROR(F23/F$5,"-")</f>
        <v>0.14960569042832844</v>
      </c>
      <c r="G24" s="58">
        <f t="shared" ref="G24" si="69">IFERROR(G23/G$5,"-")</f>
        <v>0.13034929447143187</v>
      </c>
      <c r="H24" s="58">
        <f t="shared" ref="H24" si="70">IFERROR(H23/H$5,"-")</f>
        <v>0.11283595922150139</v>
      </c>
      <c r="I24" s="58">
        <f t="shared" ref="I24" si="71">IFERROR(I23/I$5,"-")</f>
        <v>6.3997222543687074E-2</v>
      </c>
      <c r="J24" s="58">
        <f t="shared" ref="J24" si="72">IFERROR(J23/J$5,"-")</f>
        <v>0.24520853016601429</v>
      </c>
      <c r="K24" s="58">
        <f t="shared" ref="K24" si="73">IFERROR(K23/K$5,"-")</f>
        <v>6.377759607522486E-2</v>
      </c>
      <c r="L24" s="58" t="str">
        <f t="shared" ref="L24" si="74">IFERROR(L23/L$5,"-")</f>
        <v>-</v>
      </c>
      <c r="M24" s="59" t="str">
        <f t="shared" ref="M24" si="75">IFERROR(M23/M$5,"-")</f>
        <v>-</v>
      </c>
    </row>
    <row r="25" spans="1:26">
      <c r="A25" s="117" t="s">
        <v>893</v>
      </c>
      <c r="B25" s="58">
        <f t="shared" ref="B25" si="76">IFERROR(B24/C24-1,"-")</f>
        <v>0.59611579002960591</v>
      </c>
      <c r="C25" s="58">
        <f t="shared" ref="C25" si="77">IFERROR(C24/D24-1,"-")</f>
        <v>-0.42383056394019758</v>
      </c>
      <c r="D25" s="58">
        <f t="shared" ref="D25" si="78">IFERROR(D24/E24-1,"-")</f>
        <v>0.11947843086554699</v>
      </c>
      <c r="E25" s="58">
        <f t="shared" ref="E25" si="79">IFERROR(E24/F24-1,"-")</f>
        <v>-0.10603569781877775</v>
      </c>
      <c r="F25" s="58">
        <f t="shared" ref="F25" si="80">IFERROR(F24/G24-1,"-")</f>
        <v>0.14772919205264223</v>
      </c>
      <c r="G25" s="58">
        <f t="shared" ref="G25" si="81">IFERROR(G24/H24-1,"-")</f>
        <v>0.15521058508973296</v>
      </c>
      <c r="H25" s="58">
        <f t="shared" ref="H25" si="82">IFERROR(H24/I24-1,"-")</f>
        <v>0.76313837908317073</v>
      </c>
      <c r="I25" s="58">
        <f t="shared" ref="I25" si="83">IFERROR(I24/J24-1,"-")</f>
        <v>-0.73900898757331634</v>
      </c>
      <c r="J25" s="58">
        <f t="shared" ref="J25" si="84">IFERROR(J24/K24-1,"-")</f>
        <v>2.8447440050389163</v>
      </c>
      <c r="K25" s="58" t="str">
        <f t="shared" ref="K25" si="85">IFERROR(K24/L24-1,"-")</f>
        <v>-</v>
      </c>
      <c r="L25" s="58" t="str">
        <f t="shared" ref="L25" si="86">IFERROR(L24/M24-1,"-")</f>
        <v>-</v>
      </c>
      <c r="M25" s="59" t="str">
        <f>IFERROR(M24/#REF!-1,"-")</f>
        <v>-</v>
      </c>
    </row>
    <row r="26" spans="1:26">
      <c r="A26" s="118" t="s">
        <v>914</v>
      </c>
      <c r="B26" s="60">
        <f>B39-C39</f>
        <v>-113</v>
      </c>
      <c r="C26" s="60">
        <f t="shared" ref="C26:M26" si="87">C39-D39</f>
        <v>-1623</v>
      </c>
      <c r="D26" s="60">
        <f t="shared" si="87"/>
        <v>-73</v>
      </c>
      <c r="E26" s="60">
        <f t="shared" si="87"/>
        <v>2328</v>
      </c>
      <c r="F26" s="60">
        <f t="shared" si="87"/>
        <v>191</v>
      </c>
      <c r="G26" s="60">
        <f t="shared" si="87"/>
        <v>339</v>
      </c>
      <c r="H26" s="60">
        <f t="shared" si="87"/>
        <v>-980</v>
      </c>
      <c r="I26" s="60">
        <f t="shared" si="87"/>
        <v>-129</v>
      </c>
      <c r="J26" s="60">
        <f t="shared" si="87"/>
        <v>239</v>
      </c>
      <c r="K26" s="60">
        <f t="shared" si="87"/>
        <v>1631</v>
      </c>
      <c r="L26" s="60">
        <f t="shared" si="87"/>
        <v>0</v>
      </c>
      <c r="M26" s="57">
        <f t="shared" si="87"/>
        <v>0</v>
      </c>
    </row>
    <row r="27" spans="1:26">
      <c r="A27" s="117" t="s">
        <v>133</v>
      </c>
      <c r="B27" s="56">
        <f>_xlfn.XLOOKUP($A27,Inputs!$A:$A,Inputs!B:B,,0)</f>
        <v>-2160</v>
      </c>
      <c r="C27" s="56">
        <f>_xlfn.XLOOKUP($A27,Inputs!$A:$A,Inputs!C:C,,0)</f>
        <v>-1985</v>
      </c>
      <c r="D27" s="56">
        <f>_xlfn.XLOOKUP($A27,Inputs!$A:$A,Inputs!D:D,,0)</f>
        <v>-1826</v>
      </c>
      <c r="E27" s="56">
        <f>_xlfn.XLOOKUP($A27,Inputs!$A:$A,Inputs!E:E,,0)</f>
        <v>-1678</v>
      </c>
      <c r="F27" s="56">
        <f>_xlfn.XLOOKUP($A27,Inputs!$A:$A,Inputs!F:F,,0)</f>
        <v>-1542</v>
      </c>
      <c r="G27" s="56">
        <f>_xlfn.XLOOKUP($A27,Inputs!$A:$A,Inputs!G:G,,0)</f>
        <v>-1359</v>
      </c>
      <c r="H27" s="56">
        <f>_xlfn.XLOOKUP($A27,Inputs!$A:$A,Inputs!H:H,,0)</f>
        <v>-1198</v>
      </c>
      <c r="I27" s="56">
        <f>_xlfn.XLOOKUP($A27,Inputs!$A:$A,Inputs!I:I,,0)</f>
        <v>-1094</v>
      </c>
      <c r="J27" s="56">
        <f>_xlfn.XLOOKUP($A27,Inputs!$A:$A,Inputs!J:J,,0)</f>
        <v>-1008</v>
      </c>
      <c r="K27" s="56">
        <f>_xlfn.XLOOKUP($A27,Inputs!$A:$A,Inputs!K:K,,0)</f>
        <v>-964</v>
      </c>
      <c r="L27" s="56">
        <f>_xlfn.XLOOKUP($A27,Inputs!$A:$A,Inputs!L:L,,0)</f>
        <v>0</v>
      </c>
      <c r="M27" s="57">
        <f>_xlfn.XLOOKUP($A27,Inputs!$A:$A,Inputs!M:M,,0)</f>
        <v>0</v>
      </c>
    </row>
    <row r="28" spans="1:26">
      <c r="A28" s="119" t="s">
        <v>915</v>
      </c>
      <c r="B28" s="56">
        <f>_xlfn.XLOOKUP($A28,Inputs!$A:$A,Inputs!B:B,,0)</f>
        <v>-1547</v>
      </c>
      <c r="C28" s="56">
        <f>_xlfn.XLOOKUP($A28,Inputs!$A:$A,Inputs!C:C,,0)</f>
        <v>-2017</v>
      </c>
      <c r="D28" s="56">
        <f>_xlfn.XLOOKUP($A28,Inputs!$A:$A,Inputs!D:D,,0)</f>
        <v>-2110</v>
      </c>
      <c r="E28" s="56">
        <f>_xlfn.XLOOKUP($A28,Inputs!$A:$A,Inputs!E:E,,0)</f>
        <v>-1390</v>
      </c>
      <c r="F28" s="56">
        <f>_xlfn.XLOOKUP($A28,Inputs!$A:$A,Inputs!F:F,,0)</f>
        <v>-1480</v>
      </c>
      <c r="G28" s="56">
        <f>_xlfn.XLOOKUP($A28,Inputs!$A:$A,Inputs!G:G,,0)</f>
        <v>-2020</v>
      </c>
      <c r="H28" s="56">
        <f>_xlfn.XLOOKUP($A28,Inputs!$A:$A,Inputs!H:H,,0)</f>
        <v>-2174</v>
      </c>
      <c r="I28" s="56">
        <f>_xlfn.XLOOKUP($A28,Inputs!$A:$A,Inputs!I:I,,0)</f>
        <v>-2601</v>
      </c>
      <c r="J28" s="56">
        <f>_xlfn.XLOOKUP($A28,Inputs!$A:$A,Inputs!J:J,,0)</f>
        <v>-3622</v>
      </c>
      <c r="K28" s="56">
        <f>_xlfn.XLOOKUP($A28,Inputs!$A:$A,Inputs!K:K,,0)</f>
        <v>-1700</v>
      </c>
      <c r="L28" s="56">
        <f>_xlfn.XLOOKUP($A28,Inputs!$A:$A,Inputs!L:L,,0)</f>
        <v>0</v>
      </c>
      <c r="M28" s="57">
        <f>_xlfn.XLOOKUP($A28,Inputs!$A:$A,Inputs!M:M,,0)</f>
        <v>0</v>
      </c>
      <c r="R28" s="910"/>
    </row>
    <row r="29" spans="1:26">
      <c r="A29" s="117" t="s">
        <v>125</v>
      </c>
      <c r="B29" s="60">
        <f>SUM(B26:B28)</f>
        <v>-3820</v>
      </c>
      <c r="C29" s="60">
        <f t="shared" ref="C29:M29" si="88">SUM(C26:C28)</f>
        <v>-5625</v>
      </c>
      <c r="D29" s="60">
        <f t="shared" si="88"/>
        <v>-4009</v>
      </c>
      <c r="E29" s="60">
        <f t="shared" si="88"/>
        <v>-740</v>
      </c>
      <c r="F29" s="60">
        <f t="shared" si="88"/>
        <v>-2831</v>
      </c>
      <c r="G29" s="60">
        <f t="shared" si="88"/>
        <v>-3040</v>
      </c>
      <c r="H29" s="60">
        <f t="shared" si="88"/>
        <v>-4352</v>
      </c>
      <c r="I29" s="60">
        <f t="shared" si="88"/>
        <v>-3824</v>
      </c>
      <c r="J29" s="60">
        <f t="shared" si="88"/>
        <v>-4391</v>
      </c>
      <c r="K29" s="60">
        <f t="shared" si="88"/>
        <v>-1033</v>
      </c>
      <c r="L29" s="60">
        <f t="shared" si="88"/>
        <v>0</v>
      </c>
      <c r="M29" s="57">
        <f t="shared" si="88"/>
        <v>0</v>
      </c>
    </row>
    <row r="30" spans="1:26">
      <c r="A30" s="119" t="s">
        <v>916</v>
      </c>
      <c r="B30" s="60">
        <f t="shared" ref="B30:M30" si="89">+B29-(B68-C29)</f>
        <v>-28853</v>
      </c>
      <c r="C30" s="60">
        <f t="shared" si="89"/>
        <v>-32567</v>
      </c>
      <c r="D30" s="60">
        <f t="shared" si="89"/>
        <v>-24261</v>
      </c>
      <c r="E30" s="60">
        <f t="shared" si="89"/>
        <v>-23617</v>
      </c>
      <c r="F30" s="60">
        <f t="shared" si="89"/>
        <v>-24420</v>
      </c>
      <c r="G30" s="60">
        <f t="shared" si="89"/>
        <v>-25764</v>
      </c>
      <c r="H30" s="60">
        <f t="shared" si="89"/>
        <v>-25828</v>
      </c>
      <c r="I30" s="60">
        <f t="shared" si="89"/>
        <v>-25414</v>
      </c>
      <c r="J30" s="60">
        <f t="shared" si="89"/>
        <v>-20822</v>
      </c>
      <c r="K30" s="60">
        <f t="shared" si="89"/>
        <v>-17733</v>
      </c>
      <c r="L30" s="60">
        <f t="shared" si="89"/>
        <v>0</v>
      </c>
      <c r="M30" s="57">
        <f t="shared" si="89"/>
        <v>0</v>
      </c>
    </row>
    <row r="31" spans="1:26">
      <c r="A31" s="117" t="s">
        <v>917</v>
      </c>
      <c r="B31" s="60">
        <f>+B30+B33</f>
        <v>-24929</v>
      </c>
      <c r="C31" s="60">
        <f t="shared" ref="C31:L31" si="90">+C30+C33</f>
        <v>-36549</v>
      </c>
      <c r="D31" s="60">
        <f t="shared" si="90"/>
        <v>-23322</v>
      </c>
      <c r="E31" s="60">
        <f t="shared" si="90"/>
        <v>-22254</v>
      </c>
      <c r="F31" s="60">
        <f t="shared" si="90"/>
        <v>-24455</v>
      </c>
      <c r="G31" s="60">
        <f t="shared" si="90"/>
        <v>-25893</v>
      </c>
      <c r="H31" s="60">
        <f t="shared" si="90"/>
        <v>-25115</v>
      </c>
      <c r="I31" s="60">
        <f t="shared" si="90"/>
        <v>-25219</v>
      </c>
      <c r="J31" s="60">
        <f t="shared" si="90"/>
        <v>-16659</v>
      </c>
      <c r="K31" s="60">
        <f t="shared" si="90"/>
        <v>-17733</v>
      </c>
      <c r="L31" s="60">
        <f t="shared" si="90"/>
        <v>0</v>
      </c>
      <c r="M31" s="57">
        <f t="shared" ref="M31" si="91">+M30+M33</f>
        <v>0</v>
      </c>
    </row>
    <row r="32" spans="1:26">
      <c r="A32" s="119" t="s">
        <v>130</v>
      </c>
      <c r="B32" s="56">
        <f>_xlfn.XLOOKUP($A32,Inputs!$A:$A,Inputs!B:B,,0)</f>
        <v>-1112</v>
      </c>
      <c r="C32" s="56">
        <f>_xlfn.XLOOKUP($A32,Inputs!$A:$A,Inputs!C:C,,0)</f>
        <v>-906</v>
      </c>
      <c r="D32" s="56">
        <f>_xlfn.XLOOKUP($A32,Inputs!$A:$A,Inputs!D:D,,0)</f>
        <v>-965</v>
      </c>
      <c r="E32" s="56">
        <f>_xlfn.XLOOKUP($A32,Inputs!$A:$A,Inputs!E:E,,0)</f>
        <v>-863</v>
      </c>
      <c r="F32" s="56">
        <f>_xlfn.XLOOKUP($A32,Inputs!$A:$A,Inputs!F:F,,0)</f>
        <v>-925</v>
      </c>
      <c r="G32" s="56">
        <f>_xlfn.XLOOKUP($A32,Inputs!$A:$A,Inputs!G:G,,0)</f>
        <v>-1095</v>
      </c>
      <c r="H32" s="56">
        <f>_xlfn.XLOOKUP($A32,Inputs!$A:$A,Inputs!H:H,,0)</f>
        <v>-1014</v>
      </c>
      <c r="I32" s="56">
        <f>_xlfn.XLOOKUP($A32,Inputs!$A:$A,Inputs!I:I,,0)</f>
        <v>-1224</v>
      </c>
      <c r="J32" s="56">
        <f>_xlfn.XLOOKUP($A32,Inputs!$A:$A,Inputs!J:J,,0)</f>
        <v>-1514</v>
      </c>
      <c r="K32" s="56">
        <f>_xlfn.XLOOKUP($A32,Inputs!$A:$A,Inputs!K:K,,0)</f>
        <v>-1642</v>
      </c>
      <c r="L32" s="56">
        <f>_xlfn.XLOOKUP($A32,Inputs!$A:$A,Inputs!L:L,,0)</f>
        <v>0</v>
      </c>
      <c r="M32" s="57">
        <f>_xlfn.XLOOKUP($A32,Inputs!$A:$A,Inputs!M:M,,0)</f>
        <v>0</v>
      </c>
    </row>
    <row r="33" spans="1:16">
      <c r="A33" s="117" t="s">
        <v>131</v>
      </c>
      <c r="B33" s="56">
        <f>_xlfn.XLOOKUP($A33,Inputs!$A:$A,Inputs!B:B,,0)</f>
        <v>3924</v>
      </c>
      <c r="C33" s="56">
        <f>_xlfn.XLOOKUP($A33,Inputs!$A:$A,Inputs!C:C,,0)</f>
        <v>-3982</v>
      </c>
      <c r="D33" s="56">
        <f>_xlfn.XLOOKUP($A33,Inputs!$A:$A,Inputs!D:D,,0)</f>
        <v>939</v>
      </c>
      <c r="E33" s="56">
        <f>_xlfn.XLOOKUP($A33,Inputs!$A:$A,Inputs!E:E,,0)</f>
        <v>1363</v>
      </c>
      <c r="F33" s="56">
        <f>_xlfn.XLOOKUP($A33,Inputs!$A:$A,Inputs!F:F,,0)</f>
        <v>-35</v>
      </c>
      <c r="G33" s="56">
        <f>_xlfn.XLOOKUP($A33,Inputs!$A:$A,Inputs!G:G,,0)</f>
        <v>-129</v>
      </c>
      <c r="H33" s="56">
        <f>_xlfn.XLOOKUP($A33,Inputs!$A:$A,Inputs!H:H,,0)</f>
        <v>713</v>
      </c>
      <c r="I33" s="56">
        <f>_xlfn.XLOOKUP($A33,Inputs!$A:$A,Inputs!I:I,,0)</f>
        <v>195</v>
      </c>
      <c r="J33" s="56">
        <f>_xlfn.XLOOKUP($A33,Inputs!$A:$A,Inputs!J:J,,0)</f>
        <v>4163</v>
      </c>
      <c r="K33" s="56">
        <f>_xlfn.XLOOKUP($A33,Inputs!$A:$A,Inputs!K:K,,0)</f>
        <v>0</v>
      </c>
      <c r="L33" s="56">
        <f>_xlfn.XLOOKUP($A33,Inputs!$A:$A,Inputs!L:L,,0)</f>
        <v>0</v>
      </c>
      <c r="M33" s="57">
        <f>_xlfn.XLOOKUP($A33,Inputs!$A:$A,Inputs!M:M,,0)</f>
        <v>0</v>
      </c>
    </row>
    <row r="34" spans="1:16">
      <c r="A34" s="118" t="s">
        <v>126</v>
      </c>
      <c r="B34" s="60">
        <f t="shared" ref="B34:M34" si="92">+B32+B33</f>
        <v>2812</v>
      </c>
      <c r="C34" s="60">
        <f t="shared" si="92"/>
        <v>-4888</v>
      </c>
      <c r="D34" s="60">
        <f t="shared" si="92"/>
        <v>-26</v>
      </c>
      <c r="E34" s="60">
        <f t="shared" si="92"/>
        <v>500</v>
      </c>
      <c r="F34" s="60">
        <f t="shared" si="92"/>
        <v>-960</v>
      </c>
      <c r="G34" s="60">
        <f t="shared" si="92"/>
        <v>-1224</v>
      </c>
      <c r="H34" s="60">
        <f t="shared" si="92"/>
        <v>-301</v>
      </c>
      <c r="I34" s="60">
        <f t="shared" si="92"/>
        <v>-1029</v>
      </c>
      <c r="J34" s="60">
        <f t="shared" si="92"/>
        <v>2649</v>
      </c>
      <c r="K34" s="60">
        <f t="shared" si="92"/>
        <v>-1642</v>
      </c>
      <c r="L34" s="60">
        <f t="shared" si="92"/>
        <v>0</v>
      </c>
      <c r="M34" s="61">
        <f t="shared" si="92"/>
        <v>0</v>
      </c>
    </row>
    <row r="35" spans="1:16">
      <c r="A35" s="117" t="s">
        <v>124</v>
      </c>
      <c r="B35" s="60">
        <f>+B27+B28</f>
        <v>-3707</v>
      </c>
      <c r="C35" s="60">
        <f t="shared" ref="C35:M35" si="93">+C27+C28</f>
        <v>-4002</v>
      </c>
      <c r="D35" s="60">
        <f t="shared" si="93"/>
        <v>-3936</v>
      </c>
      <c r="E35" s="60">
        <f t="shared" si="93"/>
        <v>-3068</v>
      </c>
      <c r="F35" s="60">
        <f t="shared" si="93"/>
        <v>-3022</v>
      </c>
      <c r="G35" s="60">
        <f t="shared" si="93"/>
        <v>-3379</v>
      </c>
      <c r="H35" s="60">
        <f t="shared" si="93"/>
        <v>-3372</v>
      </c>
      <c r="I35" s="60">
        <f t="shared" si="93"/>
        <v>-3695</v>
      </c>
      <c r="J35" s="60">
        <f t="shared" si="93"/>
        <v>-4630</v>
      </c>
      <c r="K35" s="60">
        <f t="shared" si="93"/>
        <v>-2664</v>
      </c>
      <c r="L35" s="60">
        <f t="shared" si="93"/>
        <v>0</v>
      </c>
      <c r="M35" s="61">
        <f t="shared" si="93"/>
        <v>0</v>
      </c>
      <c r="P35" s="964">
        <f>AVERAGE(B36:F36)</f>
        <v>-0.95594301677924742</v>
      </c>
    </row>
    <row r="36" spans="1:16">
      <c r="A36" s="119" t="s">
        <v>918</v>
      </c>
      <c r="B36" s="58">
        <f>IFERROR(B35/B23,"-")</f>
        <v>-0.74752974389997984</v>
      </c>
      <c r="C36" s="58">
        <f t="shared" ref="C36:M36" si="94">IFERROR(C35/C23,"-")</f>
        <v>-1.4729481045270518</v>
      </c>
      <c r="D36" s="58">
        <f t="shared" si="94"/>
        <v>-0.91534883720930238</v>
      </c>
      <c r="E36" s="58">
        <f t="shared" si="94"/>
        <v>-0.86300984528832625</v>
      </c>
      <c r="F36" s="58">
        <f t="shared" si="94"/>
        <v>-0.78087855297157627</v>
      </c>
      <c r="G36" s="58">
        <f t="shared" si="94"/>
        <v>-0.99940845903578823</v>
      </c>
      <c r="H36" s="58">
        <f t="shared" si="94"/>
        <v>-1.1540041067761806</v>
      </c>
      <c r="I36" s="58">
        <f t="shared" si="94"/>
        <v>-2.2272453285111511</v>
      </c>
      <c r="J36" s="58">
        <f t="shared" si="94"/>
        <v>-0.63712673730562819</v>
      </c>
      <c r="K36" s="58">
        <f t="shared" si="94"/>
        <v>-1.2197802197802199</v>
      </c>
      <c r="L36" s="58" t="str">
        <f t="shared" si="94"/>
        <v>-</v>
      </c>
      <c r="M36" s="59" t="str">
        <f t="shared" si="94"/>
        <v>-</v>
      </c>
      <c r="P36" s="963"/>
    </row>
    <row r="37" spans="1:16">
      <c r="A37" s="7"/>
      <c r="B37" s="48"/>
      <c r="C37" s="48"/>
      <c r="D37" s="48"/>
      <c r="E37" s="48"/>
      <c r="F37" s="48"/>
      <c r="G37" s="48"/>
      <c r="H37" s="48"/>
      <c r="I37" s="48"/>
      <c r="J37" s="48"/>
      <c r="K37" s="48"/>
      <c r="M37" s="48"/>
    </row>
    <row r="38" spans="1:16" ht="21">
      <c r="A38" s="1299" t="s">
        <v>919</v>
      </c>
      <c r="B38" s="1299"/>
      <c r="C38" s="1299"/>
      <c r="D38" s="1299"/>
      <c r="E38" s="1299"/>
      <c r="F38" s="1299"/>
      <c r="G38" s="1299"/>
      <c r="H38" s="1299"/>
      <c r="I38" s="1299"/>
      <c r="J38" s="1299"/>
      <c r="K38" s="1299"/>
      <c r="L38" s="1299"/>
      <c r="M38" s="1299"/>
    </row>
    <row r="39" spans="1:16">
      <c r="A39" s="120" t="s">
        <v>290</v>
      </c>
      <c r="B39" s="56">
        <f>_xlfn.XLOOKUP($A39,Inputs!$A:$A,Inputs!B:B,,0)</f>
        <v>1810</v>
      </c>
      <c r="C39" s="56">
        <f>_xlfn.XLOOKUP($A39,Inputs!$A:$A,Inputs!C:C,,0)</f>
        <v>1923</v>
      </c>
      <c r="D39" s="56">
        <f>_xlfn.XLOOKUP($A39,Inputs!$A:$A,Inputs!D:D,,0)</f>
        <v>3546</v>
      </c>
      <c r="E39" s="56">
        <f>_xlfn.XLOOKUP($A39,Inputs!$A:$A,Inputs!E:E,,0)</f>
        <v>3619</v>
      </c>
      <c r="F39" s="56">
        <f>_xlfn.XLOOKUP($A39,Inputs!$A:$A,Inputs!F:F,,0)</f>
        <v>1291</v>
      </c>
      <c r="G39" s="56">
        <f>_xlfn.XLOOKUP($A39,Inputs!$A:$A,Inputs!G:G,,0)</f>
        <v>1100</v>
      </c>
      <c r="H39" s="56">
        <f>_xlfn.XLOOKUP($A39,Inputs!$A:$A,Inputs!H:H,,0)</f>
        <v>761</v>
      </c>
      <c r="I39" s="56">
        <f>_xlfn.XLOOKUP($A39,Inputs!$A:$A,Inputs!I:I,,0)</f>
        <v>1741</v>
      </c>
      <c r="J39" s="56">
        <f>_xlfn.XLOOKUP($A39,Inputs!$A:$A,Inputs!J:J,,0)</f>
        <v>1870</v>
      </c>
      <c r="K39" s="56">
        <f>_xlfn.XLOOKUP($A39,Inputs!$A:$A,Inputs!K:K,,0)</f>
        <v>1631</v>
      </c>
      <c r="L39" s="56">
        <f>_xlfn.XLOOKUP($A39,Inputs!$A:$A,Inputs!L:L,,0)</f>
        <v>0</v>
      </c>
      <c r="M39" s="57">
        <f>_xlfn.XLOOKUP($A39,Inputs!$A:$A,Inputs!M:M,,0)</f>
        <v>0</v>
      </c>
    </row>
    <row r="40" spans="1:16">
      <c r="A40" s="118" t="s">
        <v>920</v>
      </c>
      <c r="B40" s="56">
        <f>_xlfn.XLOOKUP($A40,Inputs!$A:$A,Inputs!B:B,,0)</f>
        <v>3634</v>
      </c>
      <c r="C40" s="56">
        <f>_xlfn.XLOOKUP($A40,Inputs!$A:$A,Inputs!C:C,,0)</f>
        <v>3088</v>
      </c>
      <c r="D40" s="56">
        <f>_xlfn.XLOOKUP($A40,Inputs!$A:$A,Inputs!D:D,,0)</f>
        <v>2337</v>
      </c>
      <c r="E40" s="56">
        <f>_xlfn.XLOOKUP($A40,Inputs!$A:$A,Inputs!E:E,,0)</f>
        <v>2297</v>
      </c>
      <c r="F40" s="56">
        <f>_xlfn.XLOOKUP($A40,Inputs!$A:$A,Inputs!F:F,,0)</f>
        <v>2212</v>
      </c>
      <c r="G40" s="56">
        <f>_xlfn.XLOOKUP($A40,Inputs!$A:$A,Inputs!G:G,,0)</f>
        <v>2262</v>
      </c>
      <c r="H40" s="56">
        <f>_xlfn.XLOOKUP($A40,Inputs!$A:$A,Inputs!H:H,,0)</f>
        <v>2691</v>
      </c>
      <c r="I40" s="56">
        <f>_xlfn.XLOOKUP($A40,Inputs!$A:$A,Inputs!I:I,,0)</f>
        <v>2611</v>
      </c>
      <c r="J40" s="56">
        <f>_xlfn.XLOOKUP($A40,Inputs!$A:$A,Inputs!J:J,,0)</f>
        <v>2634</v>
      </c>
      <c r="K40" s="56">
        <f>_xlfn.XLOOKUP($A40,Inputs!$A:$A,Inputs!K:K,,0)</f>
        <v>3802</v>
      </c>
      <c r="L40" s="56">
        <f>_xlfn.XLOOKUP($A40,Inputs!$A:$A,Inputs!L:L,,0)</f>
        <v>0</v>
      </c>
      <c r="M40" s="57">
        <f>_xlfn.XLOOKUP($A40,Inputs!$A:$A,Inputs!M:M,,0)</f>
        <v>0</v>
      </c>
    </row>
    <row r="41" spans="1:16">
      <c r="A41" s="120" t="s">
        <v>292</v>
      </c>
      <c r="B41" s="56">
        <f>_xlfn.XLOOKUP($A41,Inputs!$A:$A,Inputs!B:B,,0)</f>
        <v>3615</v>
      </c>
      <c r="C41" s="56">
        <f>_xlfn.XLOOKUP($A41,Inputs!$A:$A,Inputs!C:C,,0)</f>
        <v>3381</v>
      </c>
      <c r="D41" s="56">
        <f>_xlfn.XLOOKUP($A41,Inputs!$A:$A,Inputs!D:D,,0)</f>
        <v>2708</v>
      </c>
      <c r="E41" s="56">
        <f>_xlfn.XLOOKUP($A41,Inputs!$A:$A,Inputs!E:E,,0)</f>
        <v>2647</v>
      </c>
      <c r="F41" s="56">
        <f>_xlfn.XLOOKUP($A41,Inputs!$A:$A,Inputs!F:F,,0)</f>
        <v>2546</v>
      </c>
      <c r="G41" s="56">
        <f>_xlfn.XLOOKUP($A41,Inputs!$A:$A,Inputs!G:G,,0)</f>
        <v>2592</v>
      </c>
      <c r="H41" s="56">
        <f>_xlfn.XLOOKUP($A41,Inputs!$A:$A,Inputs!H:H,,0)</f>
        <v>2557</v>
      </c>
      <c r="I41" s="56">
        <f>_xlfn.XLOOKUP($A41,Inputs!$A:$A,Inputs!I:I,,0)</f>
        <v>2469</v>
      </c>
      <c r="J41" s="56">
        <f>_xlfn.XLOOKUP($A41,Inputs!$A:$A,Inputs!J:J,,0)</f>
        <v>2609</v>
      </c>
      <c r="K41" s="56">
        <f>_xlfn.XLOOKUP($A41,Inputs!$A:$A,Inputs!K:K,,0)</f>
        <v>3480</v>
      </c>
      <c r="L41" s="56">
        <f>_xlfn.XLOOKUP($A41,Inputs!$A:$A,Inputs!L:L,,0)</f>
        <v>0</v>
      </c>
      <c r="M41" s="57">
        <f>_xlfn.XLOOKUP($A41,Inputs!$A:$A,Inputs!M:M,,0)</f>
        <v>0</v>
      </c>
    </row>
    <row r="42" spans="1:16">
      <c r="A42" s="118" t="s">
        <v>921</v>
      </c>
      <c r="B42" s="56">
        <f>_xlfn.XLOOKUP($A42,Inputs!$A:$A,Inputs!B:B,,0)</f>
        <v>10377</v>
      </c>
      <c r="C42" s="56">
        <f>_xlfn.XLOOKUP($A42,Inputs!$A:$A,Inputs!C:C,,0)</f>
        <v>9680</v>
      </c>
      <c r="D42" s="56">
        <f>_xlfn.XLOOKUP($A42,Inputs!$A:$A,Inputs!D:D,,0)</f>
        <v>9271</v>
      </c>
      <c r="E42" s="56">
        <f>_xlfn.XLOOKUP($A42,Inputs!$A:$A,Inputs!E:E,,0)</f>
        <v>9664</v>
      </c>
      <c r="F42" s="56">
        <f>_xlfn.XLOOKUP($A42,Inputs!$A:$A,Inputs!F:F,,0)</f>
        <v>9301</v>
      </c>
      <c r="G42" s="56">
        <f>_xlfn.XLOOKUP($A42,Inputs!$A:$A,Inputs!G:G,,0)</f>
        <v>8482</v>
      </c>
      <c r="H42" s="56">
        <f>_xlfn.XLOOKUP($A42,Inputs!$A:$A,Inputs!H:H,,0)</f>
        <v>8677</v>
      </c>
      <c r="I42" s="56">
        <f>_xlfn.XLOOKUP($A42,Inputs!$A:$A,Inputs!I:I,,0)</f>
        <v>8229</v>
      </c>
      <c r="J42" s="56">
        <f>_xlfn.XLOOKUP($A42,Inputs!$A:$A,Inputs!J:J,,0)</f>
        <v>8362</v>
      </c>
      <c r="K42" s="56">
        <f>_xlfn.XLOOKUP($A42,Inputs!$A:$A,Inputs!K:K,,0)</f>
        <v>9827</v>
      </c>
      <c r="L42" s="56">
        <f>_xlfn.XLOOKUP($A42,Inputs!$A:$A,Inputs!L:L,,0)</f>
        <v>0</v>
      </c>
      <c r="M42" s="57">
        <f>_xlfn.XLOOKUP($A42,Inputs!$A:$A,Inputs!M:M,,0)</f>
        <v>0</v>
      </c>
    </row>
    <row r="43" spans="1:16">
      <c r="A43" s="120" t="s">
        <v>922</v>
      </c>
      <c r="B43" s="56">
        <f>_xlfn.XLOOKUP($A43,Inputs!$A:$A,Inputs!B:B,,0)</f>
        <v>48011</v>
      </c>
      <c r="C43" s="56">
        <f>_xlfn.XLOOKUP($A43,Inputs!$A:$A,Inputs!C:C,,0)</f>
        <v>47530</v>
      </c>
      <c r="D43" s="56">
        <f>_xlfn.XLOOKUP($A43,Inputs!$A:$A,Inputs!D:D,,0)</f>
        <v>43308</v>
      </c>
      <c r="E43" s="56">
        <f>_xlfn.XLOOKUP($A43,Inputs!$A:$A,Inputs!E:E,,0)</f>
        <v>42887</v>
      </c>
      <c r="F43" s="56">
        <f>_xlfn.XLOOKUP($A43,Inputs!$A:$A,Inputs!F:F,,0)</f>
        <v>41406</v>
      </c>
      <c r="G43" s="56">
        <f>_xlfn.XLOOKUP($A43,Inputs!$A:$A,Inputs!G:G,,0)</f>
        <v>40390</v>
      </c>
      <c r="H43" s="56">
        <f>_xlfn.XLOOKUP($A43,Inputs!$A:$A,Inputs!H:H,,0)</f>
        <v>41158</v>
      </c>
      <c r="I43" s="56">
        <f>_xlfn.XLOOKUP($A43,Inputs!$A:$A,Inputs!I:I,,0)</f>
        <v>39982</v>
      </c>
      <c r="J43" s="56">
        <f>_xlfn.XLOOKUP($A43,Inputs!$A:$A,Inputs!J:J,,0)</f>
        <v>40987</v>
      </c>
      <c r="K43" s="56">
        <f>_xlfn.XLOOKUP($A43,Inputs!$A:$A,Inputs!K:K,,0)</f>
        <v>46995</v>
      </c>
      <c r="L43" s="56">
        <f>_xlfn.XLOOKUP($A43,Inputs!$A:$A,Inputs!L:L,,0)</f>
        <v>0</v>
      </c>
      <c r="M43" s="57">
        <f>_xlfn.XLOOKUP($A43,Inputs!$A:$A,Inputs!M:M,,0)</f>
        <v>0</v>
      </c>
    </row>
    <row r="44" spans="1:16">
      <c r="A44" s="121" t="s">
        <v>38</v>
      </c>
      <c r="B44" s="62">
        <f>_xlfn.XLOOKUP($A44,Inputs!$A:$A,Inputs!B:B,,0)</f>
        <v>71391</v>
      </c>
      <c r="C44" s="62">
        <f>_xlfn.XLOOKUP($A44,Inputs!$A:$A,Inputs!C:C,,0)</f>
        <v>71161</v>
      </c>
      <c r="D44" s="62">
        <f>_xlfn.XLOOKUP($A44,Inputs!$A:$A,Inputs!D:D,,0)</f>
        <v>67092</v>
      </c>
      <c r="E44" s="62">
        <f>_xlfn.XLOOKUP($A44,Inputs!$A:$A,Inputs!E:E,,0)</f>
        <v>67810</v>
      </c>
      <c r="F44" s="62">
        <f>_xlfn.XLOOKUP($A44,Inputs!$A:$A,Inputs!F:F,,0)</f>
        <v>64549</v>
      </c>
      <c r="G44" s="62">
        <f>_xlfn.XLOOKUP($A44,Inputs!$A:$A,Inputs!G:G,,0)</f>
        <v>62729</v>
      </c>
      <c r="H44" s="62">
        <f>_xlfn.XLOOKUP($A44,Inputs!$A:$A,Inputs!H:H,,0)</f>
        <v>63109</v>
      </c>
      <c r="I44" s="62">
        <f>_xlfn.XLOOKUP($A44,Inputs!$A:$A,Inputs!I:I,,0)</f>
        <v>61538</v>
      </c>
      <c r="J44" s="62">
        <f>_xlfn.XLOOKUP($A44,Inputs!$A:$A,Inputs!J:J,,0)</f>
        <v>62843</v>
      </c>
      <c r="K44" s="62">
        <f>_xlfn.XLOOKUP($A44,Inputs!$A:$A,Inputs!K:K,,0)</f>
        <v>66815</v>
      </c>
      <c r="L44" s="62">
        <f>_xlfn.XLOOKUP($A44,Inputs!$A:$A,Inputs!L:L,,0)</f>
        <v>0</v>
      </c>
      <c r="M44" s="62">
        <f>_xlfn.XLOOKUP($A44,Inputs!$A:$A,Inputs!M:M,,0)</f>
        <v>0</v>
      </c>
    </row>
    <row r="45" spans="1:16">
      <c r="B45"/>
      <c r="C45"/>
      <c r="D45"/>
      <c r="E45"/>
      <c r="F45"/>
      <c r="G45"/>
      <c r="H45"/>
      <c r="I45"/>
      <c r="J45"/>
      <c r="K45"/>
      <c r="L45"/>
      <c r="M45"/>
    </row>
    <row r="46" spans="1:16">
      <c r="A46" s="11" t="s">
        <v>923</v>
      </c>
      <c r="B46" s="275">
        <f>B44/C44-1</f>
        <v>3.232107474599788E-3</v>
      </c>
      <c r="C46" s="275">
        <f t="shared" ref="C46:J46" si="95">C44/D44-1</f>
        <v>6.0648065343110957E-2</v>
      </c>
      <c r="D46" s="275">
        <f t="shared" si="95"/>
        <v>-1.0588408789264148E-2</v>
      </c>
      <c r="E46" s="275">
        <f t="shared" si="95"/>
        <v>5.0519760182187179E-2</v>
      </c>
      <c r="F46" s="275">
        <f t="shared" si="95"/>
        <v>2.9013693825822084E-2</v>
      </c>
      <c r="G46" s="275">
        <f t="shared" si="95"/>
        <v>-6.0213281782313111E-3</v>
      </c>
      <c r="H46" s="275">
        <f t="shared" si="95"/>
        <v>2.5528941467060973E-2</v>
      </c>
      <c r="I46" s="275">
        <f t="shared" si="95"/>
        <v>-2.0766035994462362E-2</v>
      </c>
      <c r="J46" s="275">
        <f t="shared" si="95"/>
        <v>-5.9447728803412425E-2</v>
      </c>
      <c r="K46" s="275"/>
      <c r="L46"/>
      <c r="M46"/>
    </row>
    <row r="47" spans="1:16">
      <c r="A47" s="11" t="s">
        <v>924</v>
      </c>
      <c r="B47" s="991">
        <f>B6</f>
        <v>0.143510287020574</v>
      </c>
      <c r="C47" s="991">
        <f t="shared" ref="C47:J47" si="96">C6</f>
        <v>9.6657381615598892E-2</v>
      </c>
      <c r="D47" s="991">
        <f t="shared" si="96"/>
        <v>8.0471013129679081E-2</v>
      </c>
      <c r="E47" s="916">
        <f t="shared" si="96"/>
        <v>2.7563012215865212E-2</v>
      </c>
      <c r="F47" s="916">
        <f t="shared" si="96"/>
        <v>-2.698743156758443E-3</v>
      </c>
      <c r="G47" s="916">
        <f t="shared" si="96"/>
        <v>1.6218721037997152E-3</v>
      </c>
      <c r="H47" s="916">
        <f t="shared" si="96"/>
        <v>-1.0415461173475249E-3</v>
      </c>
      <c r="I47" s="916">
        <f t="shared" si="96"/>
        <v>-0.12528681333513292</v>
      </c>
      <c r="J47" s="916">
        <f t="shared" si="96"/>
        <v>-0.1345637191916832</v>
      </c>
      <c r="K47"/>
      <c r="L47"/>
      <c r="M47"/>
    </row>
    <row r="48" spans="1:16" ht="34.9" customHeight="1">
      <c r="B48"/>
      <c r="C48"/>
      <c r="D48"/>
      <c r="E48"/>
      <c r="F48"/>
      <c r="G48"/>
      <c r="H48"/>
      <c r="I48"/>
      <c r="J48"/>
      <c r="K48"/>
      <c r="L48"/>
      <c r="M48"/>
    </row>
    <row r="49" spans="1:13">
      <c r="B49"/>
      <c r="C49"/>
      <c r="D49"/>
      <c r="E49"/>
      <c r="F49"/>
      <c r="G49"/>
      <c r="H49"/>
      <c r="I49"/>
      <c r="J49"/>
      <c r="K49"/>
      <c r="L49"/>
      <c r="M49"/>
    </row>
    <row r="50" spans="1:13">
      <c r="B50"/>
      <c r="C50"/>
      <c r="D50"/>
      <c r="E50"/>
      <c r="F50"/>
      <c r="G50"/>
      <c r="H50"/>
      <c r="I50"/>
      <c r="J50"/>
      <c r="K50"/>
      <c r="L50"/>
      <c r="M50"/>
    </row>
    <row r="51" spans="1:13">
      <c r="B51"/>
      <c r="C51"/>
      <c r="D51"/>
      <c r="E51"/>
      <c r="F51"/>
      <c r="G51"/>
      <c r="H51"/>
      <c r="I51"/>
      <c r="J51"/>
      <c r="K51"/>
      <c r="L51"/>
      <c r="M51"/>
    </row>
    <row r="52" spans="1:13">
      <c r="B52"/>
      <c r="C52"/>
      <c r="D52"/>
      <c r="E52"/>
      <c r="F52"/>
      <c r="G52"/>
      <c r="H52"/>
      <c r="I52"/>
      <c r="J52"/>
      <c r="K52"/>
      <c r="L52"/>
      <c r="M52"/>
    </row>
    <row r="53" spans="1:13">
      <c r="B53"/>
      <c r="C53"/>
      <c r="D53"/>
      <c r="E53"/>
      <c r="F53"/>
      <c r="G53"/>
      <c r="H53"/>
      <c r="I53"/>
      <c r="J53"/>
      <c r="K53"/>
      <c r="L53"/>
      <c r="M53"/>
    </row>
    <row r="54" spans="1:13" ht="13.9">
      <c r="A54" s="981" t="s">
        <v>925</v>
      </c>
      <c r="B54" s="982">
        <f>AVERAGE(B56:K56)</f>
        <v>4.8168045067226917</v>
      </c>
      <c r="C54" s="983"/>
      <c r="D54" s="983"/>
      <c r="E54" s="983"/>
      <c r="F54" s="983"/>
      <c r="G54" s="983"/>
      <c r="H54" s="983"/>
      <c r="I54" s="983"/>
      <c r="J54" s="983"/>
      <c r="K54" s="983"/>
      <c r="L54" s="984"/>
      <c r="M54" s="985"/>
    </row>
    <row r="55" spans="1:13" ht="13.9">
      <c r="A55" s="825" t="s">
        <v>926</v>
      </c>
      <c r="B55" s="986">
        <f>AVERAGE(B56:D56)</f>
        <v>4.5925006430683544</v>
      </c>
      <c r="C55" s="987"/>
      <c r="D55" s="987"/>
      <c r="E55" s="987"/>
      <c r="F55" s="987"/>
      <c r="G55" s="987"/>
      <c r="H55" s="987"/>
      <c r="I55" s="987"/>
      <c r="J55" s="987"/>
      <c r="K55" s="987"/>
      <c r="L55"/>
      <c r="M55" s="93"/>
    </row>
    <row r="56" spans="1:13" ht="13.9">
      <c r="A56" s="72" t="s">
        <v>60</v>
      </c>
      <c r="B56" s="988">
        <f t="shared" ref="B56:K56" si="97">B68/B19</f>
        <v>3.3595291673879175</v>
      </c>
      <c r="C56" s="988">
        <f t="shared" si="97"/>
        <v>5.8697210135653952</v>
      </c>
      <c r="D56" s="988">
        <f t="shared" si="97"/>
        <v>4.5482517482517482</v>
      </c>
      <c r="E56" s="988">
        <f t="shared" si="97"/>
        <v>6.3698760724499524</v>
      </c>
      <c r="F56" s="988">
        <f t="shared" si="97"/>
        <v>4.2465659340659343</v>
      </c>
      <c r="G56" s="988">
        <f t="shared" si="97"/>
        <v>6.9015777610818931</v>
      </c>
      <c r="H56" s="988">
        <f t="shared" si="97"/>
        <v>4.704690831556503</v>
      </c>
      <c r="I56" s="988">
        <f t="shared" si="97"/>
        <v>6.2792990142387737</v>
      </c>
      <c r="J56" s="988">
        <f t="shared" si="97"/>
        <v>1.5688232297503821</v>
      </c>
      <c r="K56" s="988">
        <f t="shared" si="97"/>
        <v>4.3197102948784272</v>
      </c>
      <c r="L56" s="989"/>
      <c r="M56" s="990"/>
    </row>
    <row r="57" spans="1:13" ht="21">
      <c r="A57" s="1299" t="s">
        <v>927</v>
      </c>
      <c r="B57" s="1299"/>
      <c r="C57" s="1299"/>
      <c r="D57" s="1299"/>
      <c r="E57" s="1299"/>
      <c r="F57" s="1299"/>
      <c r="G57" s="1299"/>
      <c r="H57" s="1299"/>
      <c r="I57" s="1299"/>
      <c r="J57" s="1299"/>
      <c r="K57" s="1299"/>
      <c r="L57" s="1299"/>
      <c r="M57" s="1299"/>
    </row>
    <row r="58" spans="1:13">
      <c r="A58" s="122" t="s">
        <v>296</v>
      </c>
      <c r="B58" s="62">
        <f>_xlfn.XLOOKUP($A58,Inputs!$A:$A,Inputs!B:B,,0)</f>
        <v>19013</v>
      </c>
      <c r="C58" s="62">
        <f>_xlfn.XLOOKUP($A58,Inputs!$A:$A,Inputs!C:C,,0)</f>
        <v>16731</v>
      </c>
      <c r="D58" s="62">
        <f>_xlfn.XLOOKUP($A58,Inputs!$A:$A,Inputs!D:D,,0)</f>
        <v>14008</v>
      </c>
      <c r="E58" s="62">
        <f>_xlfn.XLOOKUP($A58,Inputs!$A:$A,Inputs!E:E,,0)</f>
        <v>15159</v>
      </c>
      <c r="F58" s="62">
        <f>_xlfn.XLOOKUP($A58,Inputs!$A:$A,Inputs!F:F,,0)</f>
        <v>15322</v>
      </c>
      <c r="G58" s="62">
        <f>_xlfn.XLOOKUP($A58,Inputs!$A:$A,Inputs!G:G,,0)</f>
        <v>16737</v>
      </c>
      <c r="H58" s="62">
        <f>_xlfn.XLOOKUP($A58,Inputs!$A:$A,Inputs!H:H,,0)</f>
        <v>15793</v>
      </c>
      <c r="I58" s="62">
        <f>_xlfn.XLOOKUP($A58,Inputs!$A:$A,Inputs!I:I,,0)</f>
        <v>14417</v>
      </c>
      <c r="J58" s="62">
        <f>_xlfn.XLOOKUP($A58,Inputs!$A:$A,Inputs!J:J,,0)</f>
        <v>10922</v>
      </c>
      <c r="K58" s="62">
        <f>_xlfn.XLOOKUP($A58,Inputs!$A:$A,Inputs!K:K,,0)</f>
        <v>14007</v>
      </c>
      <c r="L58" s="62">
        <f>_xlfn.XLOOKUP($A58,Inputs!$A:$A,Inputs!L:L,,0)</f>
        <v>0</v>
      </c>
      <c r="M58" s="62">
        <f>_xlfn.XLOOKUP($A58,Inputs!$A:$A,Inputs!M:M,,0)</f>
        <v>0</v>
      </c>
    </row>
    <row r="59" spans="1:13">
      <c r="A59" s="123" t="s">
        <v>928</v>
      </c>
      <c r="B59" s="56">
        <f>_xlfn.XLOOKUP($A59,Inputs!$A:$A,Inputs!B:B,,0)</f>
        <v>420</v>
      </c>
      <c r="C59" s="56">
        <f>_xlfn.XLOOKUP($A59,Inputs!$A:$A,Inputs!C:C,,0)</f>
        <v>2299</v>
      </c>
      <c r="D59" s="56">
        <f>_xlfn.XLOOKUP($A59,Inputs!$A:$A,Inputs!D:D,,0)</f>
        <v>216</v>
      </c>
      <c r="E59" s="56">
        <f>_xlfn.XLOOKUP($A59,Inputs!$A:$A,Inputs!E:E,,0)</f>
        <v>29</v>
      </c>
      <c r="F59" s="56">
        <f>_xlfn.XLOOKUP($A59,Inputs!$A:$A,Inputs!F:F,,0)</f>
        <v>2638</v>
      </c>
      <c r="G59" s="56">
        <f>_xlfn.XLOOKUP($A59,Inputs!$A:$A,Inputs!G:G,,0)</f>
        <v>3192</v>
      </c>
      <c r="H59" s="56">
        <f>_xlfn.XLOOKUP($A59,Inputs!$A:$A,Inputs!H:H,,0)</f>
        <v>3517</v>
      </c>
      <c r="I59" s="56">
        <f>_xlfn.XLOOKUP($A59,Inputs!$A:$A,Inputs!I:I,,0)</f>
        <v>2531</v>
      </c>
      <c r="J59" s="56">
        <f>_xlfn.XLOOKUP($A59,Inputs!$A:$A,Inputs!J:J,,0)</f>
        <v>236</v>
      </c>
      <c r="K59" s="56">
        <f>_xlfn.XLOOKUP($A59,Inputs!$A:$A,Inputs!K:K,,0)</f>
        <v>1305</v>
      </c>
      <c r="L59" s="56">
        <f>_xlfn.XLOOKUP($A59,Inputs!$A:$A,Inputs!L:L,,0)</f>
        <v>0</v>
      </c>
      <c r="M59" s="56">
        <f>_xlfn.XLOOKUP($A59,Inputs!$A:$A,Inputs!M:M,,0)</f>
        <v>0</v>
      </c>
    </row>
    <row r="60" spans="1:13">
      <c r="A60" s="117" t="s">
        <v>929</v>
      </c>
      <c r="B60" s="56">
        <f>_xlfn.XLOOKUP($A60,Inputs!$A:$A,Inputs!B:B,,0)</f>
        <v>2101</v>
      </c>
      <c r="C60" s="56">
        <f>_xlfn.XLOOKUP($A60,Inputs!$A:$A,Inputs!C:C,,0)</f>
        <v>383</v>
      </c>
      <c r="D60" s="56">
        <f>_xlfn.XLOOKUP($A60,Inputs!$A:$A,Inputs!D:D,,0)</f>
        <v>1746</v>
      </c>
      <c r="E60" s="56">
        <f>_xlfn.XLOOKUP($A60,Inputs!$A:$A,Inputs!E:E,,0)</f>
        <v>2741</v>
      </c>
      <c r="F60" s="56">
        <f>_xlfn.XLOOKUP($A60,Inputs!$A:$A,Inputs!F:F,,0)</f>
        <v>1613</v>
      </c>
      <c r="G60" s="56">
        <f>_xlfn.XLOOKUP($A60,Inputs!$A:$A,Inputs!G:G,,0)</f>
        <v>2648</v>
      </c>
      <c r="H60" s="56">
        <f>_xlfn.XLOOKUP($A60,Inputs!$A:$A,Inputs!H:H,,0)</f>
        <v>1163</v>
      </c>
      <c r="I60" s="56">
        <f>_xlfn.XLOOKUP($A60,Inputs!$A:$A,Inputs!I:I,,0)</f>
        <v>1451</v>
      </c>
      <c r="J60" s="56">
        <f>_xlfn.XLOOKUP($A60,Inputs!$A:$A,Inputs!J:J,,0)</f>
        <v>605</v>
      </c>
      <c r="K60" s="56">
        <f>_xlfn.XLOOKUP($A60,Inputs!$A:$A,Inputs!K:K,,0)</f>
        <v>1530</v>
      </c>
      <c r="L60" s="56">
        <f>_xlfn.XLOOKUP($A60,Inputs!$A:$A,Inputs!L:L,,0)</f>
        <v>0</v>
      </c>
      <c r="M60" s="56">
        <f>_xlfn.XLOOKUP($A60,Inputs!$A:$A,Inputs!M:M,,0)</f>
        <v>0</v>
      </c>
    </row>
    <row r="61" spans="1:13">
      <c r="A61" s="118" t="s">
        <v>930</v>
      </c>
      <c r="B61" s="56">
        <f>_xlfn.XLOOKUP($A61,Inputs!$A:$A,Inputs!B:B,,0)</f>
        <v>8171</v>
      </c>
      <c r="C61" s="56">
        <f>_xlfn.XLOOKUP($A61,Inputs!$A:$A,Inputs!C:C,,0)</f>
        <v>6487</v>
      </c>
      <c r="D61" s="56">
        <f>_xlfn.XLOOKUP($A61,Inputs!$A:$A,Inputs!D:D,,0)</f>
        <v>5316</v>
      </c>
      <c r="E61" s="56">
        <f>_xlfn.XLOOKUP($A61,Inputs!$A:$A,Inputs!E:E,,0)</f>
        <v>6180</v>
      </c>
      <c r="F61" s="56">
        <f>_xlfn.XLOOKUP($A61,Inputs!$A:$A,Inputs!F:F,,0)</f>
        <v>5218</v>
      </c>
      <c r="G61" s="56">
        <f>_xlfn.XLOOKUP($A61,Inputs!$A:$A,Inputs!G:G,,0)</f>
        <v>5103</v>
      </c>
      <c r="H61" s="56">
        <f>_xlfn.XLOOKUP($A61,Inputs!$A:$A,Inputs!H:H,,0)</f>
        <v>5408</v>
      </c>
      <c r="I61" s="56">
        <f>_xlfn.XLOOKUP($A61,Inputs!$A:$A,Inputs!I:I,,0)</f>
        <v>5117</v>
      </c>
      <c r="J61" s="56">
        <f>_xlfn.XLOOKUP($A61,Inputs!$A:$A,Inputs!J:J,,0)</f>
        <v>5191</v>
      </c>
      <c r="K61" s="56">
        <f>_xlfn.XLOOKUP($A61,Inputs!$A:$A,Inputs!K:K,,0)</f>
        <v>5873</v>
      </c>
      <c r="L61" s="56">
        <f>_xlfn.XLOOKUP($A61,Inputs!$A:$A,Inputs!L:L,,0)</f>
        <v>0</v>
      </c>
      <c r="M61" s="56">
        <f>_xlfn.XLOOKUP($A61,Inputs!$A:$A,Inputs!M:M,,0)</f>
        <v>0</v>
      </c>
    </row>
    <row r="62" spans="1:13">
      <c r="A62" s="122" t="s">
        <v>931</v>
      </c>
      <c r="B62" s="62">
        <f>_xlfn.XLOOKUP($A62,Inputs!$A:$A,Inputs!B:B,,0)</f>
        <v>24046</v>
      </c>
      <c r="C62" s="62">
        <f>_xlfn.XLOOKUP($A62,Inputs!$A:$A,Inputs!C:C,,0)</f>
        <v>27547</v>
      </c>
      <c r="D62" s="62">
        <f>_xlfn.XLOOKUP($A62,Inputs!$A:$A,Inputs!D:D,,0)</f>
        <v>24815</v>
      </c>
      <c r="E62" s="62">
        <f>_xlfn.XLOOKUP($A62,Inputs!$A:$A,Inputs!E:E,,0)</f>
        <v>25073</v>
      </c>
      <c r="F62" s="62">
        <f>_xlfn.XLOOKUP($A62,Inputs!$A:$A,Inputs!F:F,,0)</f>
        <v>21952</v>
      </c>
      <c r="G62" s="62">
        <f>_xlfn.XLOOKUP($A62,Inputs!$A:$A,Inputs!G:G,,0)</f>
        <v>20355</v>
      </c>
      <c r="H62" s="62">
        <f>_xlfn.XLOOKUP($A62,Inputs!$A:$A,Inputs!H:H,,0)</f>
        <v>21205</v>
      </c>
      <c r="I62" s="62">
        <f>_xlfn.XLOOKUP($A62,Inputs!$A:$A,Inputs!I:I,,0)</f>
        <v>21960</v>
      </c>
      <c r="J62" s="62">
        <f>_xlfn.XLOOKUP($A62,Inputs!$A:$A,Inputs!J:J,,0)</f>
        <v>23909</v>
      </c>
      <c r="K62" s="62">
        <f>_xlfn.XLOOKUP($A62,Inputs!$A:$A,Inputs!K:K,,0)</f>
        <v>25058</v>
      </c>
      <c r="L62" s="62">
        <f>_xlfn.XLOOKUP($A62,Inputs!$A:$A,Inputs!L:L,,0)</f>
        <v>0</v>
      </c>
      <c r="M62" s="62">
        <f>_xlfn.XLOOKUP($A62,Inputs!$A:$A,Inputs!M:M,,0)</f>
        <v>0</v>
      </c>
    </row>
    <row r="63" spans="1:13">
      <c r="A63" s="123" t="s">
        <v>932</v>
      </c>
      <c r="B63" s="56">
        <f>_xlfn.XLOOKUP($A63,Inputs!$A:$A,Inputs!B:B,,0)</f>
        <v>16673</v>
      </c>
      <c r="C63" s="56">
        <f>_xlfn.XLOOKUP($A63,Inputs!$A:$A,Inputs!C:C,,0)</f>
        <v>20053</v>
      </c>
      <c r="D63" s="56">
        <f>_xlfn.XLOOKUP($A63,Inputs!$A:$A,Inputs!D:D,,0)</f>
        <v>17393</v>
      </c>
      <c r="E63" s="56">
        <f>_xlfn.XLOOKUP($A63,Inputs!$A:$A,Inputs!E:E,,0)</f>
        <v>17094</v>
      </c>
      <c r="F63" s="56">
        <f>_xlfn.XLOOKUP($A63,Inputs!$A:$A,Inputs!F:F,,0)</f>
        <v>14207</v>
      </c>
      <c r="G63" s="56">
        <f>_xlfn.XLOOKUP($A63,Inputs!$A:$A,Inputs!G:G,,0)</f>
        <v>12532</v>
      </c>
      <c r="H63" s="56">
        <f>_xlfn.XLOOKUP($A63,Inputs!$A:$A,Inputs!H:H,,0)</f>
        <v>12970</v>
      </c>
      <c r="I63" s="56">
        <f>_xlfn.XLOOKUP($A63,Inputs!$A:$A,Inputs!I:I,,0)</f>
        <v>13212</v>
      </c>
      <c r="J63" s="56">
        <f>_xlfn.XLOOKUP($A63,Inputs!$A:$A,Inputs!J:J,,0)</f>
        <v>14557</v>
      </c>
      <c r="K63" s="56">
        <f>_xlfn.XLOOKUP($A63,Inputs!$A:$A,Inputs!K:K,,0)</f>
        <v>13858</v>
      </c>
      <c r="L63" s="56">
        <f>_xlfn.XLOOKUP($A63,Inputs!$A:$A,Inputs!L:L,,0)</f>
        <v>0</v>
      </c>
      <c r="M63" s="56">
        <f>_xlfn.XLOOKUP($A63,Inputs!$A:$A,Inputs!M:M,,0)</f>
        <v>0</v>
      </c>
    </row>
    <row r="64" spans="1:13">
      <c r="A64" s="117" t="s">
        <v>933</v>
      </c>
      <c r="B64" s="56">
        <f>_xlfn.XLOOKUP($A64,Inputs!$A:$A,Inputs!B:B,,0)</f>
        <v>214</v>
      </c>
      <c r="C64" s="56">
        <f>_xlfn.XLOOKUP($A64,Inputs!$A:$A,Inputs!C:C,,0)</f>
        <v>198</v>
      </c>
      <c r="D64" s="56">
        <f>_xlfn.XLOOKUP($A64,Inputs!$A:$A,Inputs!D:D,,0)</f>
        <v>157</v>
      </c>
      <c r="E64" s="56">
        <f>_xlfn.XLOOKUP($A64,Inputs!$A:$A,Inputs!E:E,,0)</f>
        <v>182</v>
      </c>
      <c r="F64" s="56">
        <f>_xlfn.XLOOKUP($A64,Inputs!$A:$A,Inputs!F:F,,0)</f>
        <v>91</v>
      </c>
      <c r="G64" s="56">
        <f>_xlfn.XLOOKUP($A64,Inputs!$A:$A,Inputs!G:G,,0)</f>
        <v>0</v>
      </c>
      <c r="H64" s="56">
        <f>_xlfn.XLOOKUP($A64,Inputs!$A:$A,Inputs!H:H,,0)</f>
        <v>2</v>
      </c>
      <c r="I64" s="56">
        <f>_xlfn.XLOOKUP($A64,Inputs!$A:$A,Inputs!I:I,,0)</f>
        <v>5</v>
      </c>
      <c r="J64" s="56">
        <f>_xlfn.XLOOKUP($A64,Inputs!$A:$A,Inputs!J:J,,0)</f>
        <v>0</v>
      </c>
      <c r="K64" s="56">
        <f>_xlfn.XLOOKUP($A64,Inputs!$A:$A,Inputs!K:K,,0)</f>
        <v>7</v>
      </c>
      <c r="L64" s="56">
        <f>_xlfn.XLOOKUP($A64,Inputs!$A:$A,Inputs!L:L,,0)</f>
        <v>0</v>
      </c>
      <c r="M64" s="56">
        <f>_xlfn.XLOOKUP($A64,Inputs!$A:$A,Inputs!M:M,,0)</f>
        <v>0</v>
      </c>
    </row>
    <row r="65" spans="1:235">
      <c r="A65" s="118" t="s">
        <v>934</v>
      </c>
      <c r="B65" s="56">
        <f>_xlfn.XLOOKUP($A65,Inputs!$A:$A,Inputs!B:B,,0)</f>
        <v>7159</v>
      </c>
      <c r="C65" s="56">
        <f>_xlfn.XLOOKUP($A65,Inputs!$A:$A,Inputs!C:C,,0)</f>
        <v>7296</v>
      </c>
      <c r="D65" s="56">
        <f>_xlfn.XLOOKUP($A65,Inputs!$A:$A,Inputs!D:D,,0)</f>
        <v>7265</v>
      </c>
      <c r="E65" s="56">
        <f>_xlfn.XLOOKUP($A65,Inputs!$A:$A,Inputs!E:E,,0)</f>
        <v>7797</v>
      </c>
      <c r="F65" s="56">
        <f>_xlfn.XLOOKUP($A65,Inputs!$A:$A,Inputs!F:F,,0)</f>
        <v>7654</v>
      </c>
      <c r="G65" s="56">
        <f>_xlfn.XLOOKUP($A65,Inputs!$A:$A,Inputs!G:G,,0)</f>
        <v>7823</v>
      </c>
      <c r="H65" s="56">
        <f>_xlfn.XLOOKUP($A65,Inputs!$A:$A,Inputs!H:H,,0)</f>
        <v>8233</v>
      </c>
      <c r="I65" s="56">
        <f>_xlfn.XLOOKUP($A65,Inputs!$A:$A,Inputs!I:I,,0)</f>
        <v>8743</v>
      </c>
      <c r="J65" s="56">
        <f>_xlfn.XLOOKUP($A65,Inputs!$A:$A,Inputs!J:J,,0)</f>
        <v>9352</v>
      </c>
      <c r="K65" s="56">
        <f>_xlfn.XLOOKUP($A65,Inputs!$A:$A,Inputs!K:K,,0)</f>
        <v>11193</v>
      </c>
      <c r="L65" s="56">
        <f>_xlfn.XLOOKUP($A65,Inputs!$A:$A,Inputs!L:L,,0)</f>
        <v>0</v>
      </c>
      <c r="M65" s="56">
        <f>_xlfn.XLOOKUP($A65,Inputs!$A:$A,Inputs!M:M,,0)</f>
        <v>0</v>
      </c>
    </row>
    <row r="66" spans="1:235">
      <c r="A66" s="122" t="s">
        <v>45</v>
      </c>
      <c r="B66" s="62">
        <f>_xlfn.XLOOKUP($A66,Inputs!$A:$A,Inputs!B:B,,0)</f>
        <v>43059</v>
      </c>
      <c r="C66" s="62">
        <f>_xlfn.XLOOKUP($A66,Inputs!$A:$A,Inputs!C:C,,0)</f>
        <v>44278</v>
      </c>
      <c r="D66" s="62">
        <f>_xlfn.XLOOKUP($A66,Inputs!$A:$A,Inputs!D:D,,0)</f>
        <v>38823</v>
      </c>
      <c r="E66" s="62">
        <f>_xlfn.XLOOKUP($A66,Inputs!$A:$A,Inputs!E:E,,0)</f>
        <v>40232</v>
      </c>
      <c r="F66" s="62">
        <f>_xlfn.XLOOKUP($A66,Inputs!$A:$A,Inputs!F:F,,0)</f>
        <v>37274</v>
      </c>
      <c r="G66" s="62">
        <f>_xlfn.XLOOKUP($A66,Inputs!$A:$A,Inputs!G:G,,0)</f>
        <v>37092</v>
      </c>
      <c r="H66" s="62">
        <f>_xlfn.XLOOKUP($A66,Inputs!$A:$A,Inputs!H:H,,0)</f>
        <v>36998</v>
      </c>
      <c r="I66" s="62">
        <f>_xlfn.XLOOKUP($A66,Inputs!$A:$A,Inputs!I:I,,0)</f>
        <v>36377</v>
      </c>
      <c r="J66" s="62">
        <f>_xlfn.XLOOKUP($A66,Inputs!$A:$A,Inputs!J:J,,0)</f>
        <v>34831</v>
      </c>
      <c r="K66" s="62">
        <f>_xlfn.XLOOKUP($A66,Inputs!$A:$A,Inputs!K:K,,0)</f>
        <v>39065</v>
      </c>
      <c r="L66" s="62">
        <f>_xlfn.XLOOKUP($A66,Inputs!$A:$A,Inputs!L:L,,0)</f>
        <v>0</v>
      </c>
      <c r="M66" s="62">
        <f>_xlfn.XLOOKUP($A66,Inputs!$A:$A,Inputs!M:M,,0)</f>
        <v>0</v>
      </c>
    </row>
    <row r="67" spans="1:235">
      <c r="B67"/>
      <c r="C67"/>
      <c r="D67"/>
      <c r="E67"/>
      <c r="F67"/>
      <c r="G67"/>
      <c r="H67"/>
      <c r="I67"/>
      <c r="J67"/>
      <c r="K67"/>
      <c r="L67"/>
      <c r="M67"/>
    </row>
    <row r="68" spans="1:235">
      <c r="A68" s="122" t="s">
        <v>297</v>
      </c>
      <c r="B68" s="62">
        <f>B59+B63+B60+B64</f>
        <v>19408</v>
      </c>
      <c r="C68" s="62">
        <f t="shared" ref="C68:M68" si="98">C59+C63+C60+C64</f>
        <v>22933</v>
      </c>
      <c r="D68" s="62">
        <f t="shared" si="98"/>
        <v>19512</v>
      </c>
      <c r="E68" s="62">
        <f t="shared" si="98"/>
        <v>20046</v>
      </c>
      <c r="F68" s="62">
        <f t="shared" si="98"/>
        <v>18549</v>
      </c>
      <c r="G68" s="62">
        <f t="shared" si="98"/>
        <v>18372</v>
      </c>
      <c r="H68" s="62">
        <f t="shared" si="98"/>
        <v>17652</v>
      </c>
      <c r="I68" s="62">
        <f t="shared" si="98"/>
        <v>17199</v>
      </c>
      <c r="J68" s="62">
        <f t="shared" si="98"/>
        <v>15398</v>
      </c>
      <c r="K68" s="62">
        <f t="shared" si="98"/>
        <v>16700</v>
      </c>
      <c r="L68" s="62">
        <f t="shared" si="98"/>
        <v>0</v>
      </c>
      <c r="M68" s="62">
        <f t="shared" si="98"/>
        <v>0</v>
      </c>
    </row>
    <row r="69" spans="1:235">
      <c r="A69" s="123" t="s">
        <v>68</v>
      </c>
      <c r="B69" s="58">
        <f t="shared" ref="B69:M69" si="99">IFERROR(B68/B44,"-")</f>
        <v>0.27185499572775279</v>
      </c>
      <c r="C69" s="58">
        <f t="shared" si="99"/>
        <v>0.32226922049999296</v>
      </c>
      <c r="D69" s="58">
        <f t="shared" si="99"/>
        <v>0.2908245394383831</v>
      </c>
      <c r="E69" s="58">
        <f t="shared" si="99"/>
        <v>0.29562011502728214</v>
      </c>
      <c r="F69" s="58">
        <f t="shared" si="99"/>
        <v>0.28736308850640596</v>
      </c>
      <c r="G69" s="58">
        <f t="shared" si="99"/>
        <v>0.29287889174066223</v>
      </c>
      <c r="H69" s="58">
        <f t="shared" si="99"/>
        <v>0.27970653947931357</v>
      </c>
      <c r="I69" s="58">
        <f t="shared" si="99"/>
        <v>0.27948584614384608</v>
      </c>
      <c r="J69" s="58">
        <f t="shared" si="99"/>
        <v>0.24502331206339609</v>
      </c>
      <c r="K69" s="58">
        <f t="shared" si="99"/>
        <v>0.24994387487839556</v>
      </c>
      <c r="L69" s="58" t="str">
        <f t="shared" si="99"/>
        <v>-</v>
      </c>
      <c r="M69" s="58" t="str">
        <f t="shared" si="99"/>
        <v>-</v>
      </c>
    </row>
    <row r="70" spans="1:235">
      <c r="A70" s="122" t="s">
        <v>935</v>
      </c>
      <c r="B70" s="62">
        <f t="shared" ref="B70:M70" si="100">B68-B39</f>
        <v>17598</v>
      </c>
      <c r="C70" s="62">
        <f t="shared" si="100"/>
        <v>21010</v>
      </c>
      <c r="D70" s="62">
        <f t="shared" si="100"/>
        <v>15966</v>
      </c>
      <c r="E70" s="62">
        <f t="shared" si="100"/>
        <v>16427</v>
      </c>
      <c r="F70" s="62">
        <f t="shared" si="100"/>
        <v>17258</v>
      </c>
      <c r="G70" s="62">
        <f t="shared" si="100"/>
        <v>17272</v>
      </c>
      <c r="H70" s="62">
        <f t="shared" si="100"/>
        <v>16891</v>
      </c>
      <c r="I70" s="62">
        <f t="shared" si="100"/>
        <v>15458</v>
      </c>
      <c r="J70" s="62">
        <f t="shared" si="100"/>
        <v>13528</v>
      </c>
      <c r="K70" s="62">
        <f t="shared" si="100"/>
        <v>15069</v>
      </c>
      <c r="L70" s="62">
        <f t="shared" si="100"/>
        <v>0</v>
      </c>
      <c r="M70" s="62">
        <f t="shared" si="100"/>
        <v>0</v>
      </c>
    </row>
    <row r="71" spans="1:235">
      <c r="B71"/>
      <c r="C71"/>
      <c r="D71"/>
      <c r="E71"/>
      <c r="F71"/>
      <c r="G71"/>
      <c r="H71"/>
      <c r="I71"/>
      <c r="J71"/>
      <c r="K71"/>
      <c r="L71"/>
      <c r="M71"/>
    </row>
    <row r="72" spans="1:235" s="49" customFormat="1">
      <c r="A72" s="122" t="s">
        <v>936</v>
      </c>
      <c r="B72" s="62">
        <f>_xlfn.XLOOKUP($A72,Inputs!$A:$A,Inputs!B:B,,0)</f>
        <v>34</v>
      </c>
      <c r="C72" s="62">
        <f>_xlfn.XLOOKUP($A72,Inputs!$A:$A,Inputs!C:C,,0)</f>
        <v>37</v>
      </c>
      <c r="D72" s="62">
        <f>_xlfn.XLOOKUP($A72,Inputs!$A:$A,Inputs!D:D,,0)</f>
        <v>54</v>
      </c>
      <c r="E72" s="62">
        <f>_xlfn.XLOOKUP($A72,Inputs!$A:$A,Inputs!E:E,,0)</f>
        <v>76</v>
      </c>
      <c r="F72" s="62">
        <f>_xlfn.XLOOKUP($A72,Inputs!$A:$A,Inputs!F:F,,0)</f>
        <v>76</v>
      </c>
      <c r="G72" s="62">
        <f>_xlfn.XLOOKUP($A72,Inputs!$A:$A,Inputs!G:G,,0)</f>
        <v>76</v>
      </c>
      <c r="H72" s="62">
        <f>_xlfn.XLOOKUP($A72,Inputs!$A:$A,Inputs!H:H,,0)</f>
        <v>80</v>
      </c>
      <c r="I72" s="62">
        <f>_xlfn.XLOOKUP($A72,Inputs!$A:$A,Inputs!I:I,,0)</f>
        <v>54</v>
      </c>
      <c r="J72" s="62">
        <f>_xlfn.XLOOKUP($A72,Inputs!$A:$A,Inputs!J:J,,0)</f>
        <v>88</v>
      </c>
      <c r="K72" s="62">
        <f>_xlfn.XLOOKUP($A72,Inputs!$A:$A,Inputs!K:K,,0)</f>
        <v>103</v>
      </c>
      <c r="L72" s="62">
        <f>_xlfn.XLOOKUP($A72,Inputs!$A:$A,Inputs!L:L,,0)</f>
        <v>0</v>
      </c>
      <c r="M72" s="62">
        <f>_xlfn.XLOOKUP($A72,Inputs!$A:$A,Inputs!M:M,,0)</f>
        <v>0</v>
      </c>
    </row>
    <row r="73" spans="1:235">
      <c r="B73"/>
      <c r="C73"/>
      <c r="D73"/>
      <c r="E73"/>
      <c r="F73"/>
      <c r="G73"/>
      <c r="H73"/>
      <c r="I73"/>
      <c r="J73"/>
      <c r="K73"/>
      <c r="L73"/>
      <c r="M73"/>
    </row>
    <row r="74" spans="1:235">
      <c r="A74" s="122" t="s">
        <v>937</v>
      </c>
      <c r="B74" s="62">
        <f>_xlfn.XLOOKUP($A74,Inputs!$A:$A,Inputs!B:B,,0)</f>
        <v>28298</v>
      </c>
      <c r="C74" s="62">
        <f>_xlfn.XLOOKUP($A74,Inputs!$A:$A,Inputs!C:C,,0)</f>
        <v>26846</v>
      </c>
      <c r="D74" s="62">
        <f>_xlfn.XLOOKUP($A74,Inputs!$A:$A,Inputs!D:D,,0)</f>
        <v>28215</v>
      </c>
      <c r="E74" s="62">
        <f>_xlfn.XLOOKUP($A74,Inputs!$A:$A,Inputs!E:E,,0)</f>
        <v>27502</v>
      </c>
      <c r="F74" s="62">
        <f>_xlfn.XLOOKUP($A74,Inputs!$A:$A,Inputs!F:F,,0)</f>
        <v>27199</v>
      </c>
      <c r="G74" s="62">
        <f>_xlfn.XLOOKUP($A74,Inputs!$A:$A,Inputs!G:G,,0)</f>
        <v>25561</v>
      </c>
      <c r="H74" s="62">
        <f>_xlfn.XLOOKUP($A74,Inputs!$A:$A,Inputs!H:H,,0)</f>
        <v>26031</v>
      </c>
      <c r="I74" s="62">
        <f>_xlfn.XLOOKUP($A74,Inputs!$A:$A,Inputs!I:I,,0)</f>
        <v>25107</v>
      </c>
      <c r="J74" s="62">
        <f>_xlfn.XLOOKUP($A74,Inputs!$A:$A,Inputs!J:J,,0)</f>
        <v>27924</v>
      </c>
      <c r="K74" s="62">
        <f>_xlfn.XLOOKUP($A74,Inputs!$A:$A,Inputs!K:K,,0)</f>
        <v>27647</v>
      </c>
      <c r="L74" s="62">
        <f>_xlfn.XLOOKUP($A74,Inputs!$A:$A,Inputs!L:L,,0)</f>
        <v>0</v>
      </c>
      <c r="M74" s="62">
        <f>_xlfn.XLOOKUP($A74,Inputs!$A:$A,Inputs!M:M,,0)</f>
        <v>0</v>
      </c>
    </row>
    <row r="75" spans="1:235">
      <c r="K75" s="45"/>
      <c r="L75" s="45"/>
      <c r="M75" s="45"/>
    </row>
    <row r="76" spans="1:235" ht="21">
      <c r="A76" s="1299" t="s">
        <v>127</v>
      </c>
      <c r="B76" s="1299"/>
      <c r="C76" s="1299"/>
      <c r="D76" s="1299"/>
      <c r="E76" s="1299"/>
      <c r="F76" s="1299"/>
      <c r="G76" s="1299"/>
      <c r="H76" s="1299"/>
      <c r="I76" s="1299"/>
      <c r="J76" s="1299"/>
      <c r="K76" s="1299"/>
      <c r="L76" s="1299"/>
      <c r="M76" s="1299"/>
    </row>
    <row r="77" spans="1:235">
      <c r="A77" s="122" t="s">
        <v>128</v>
      </c>
      <c r="B77" s="62">
        <f>_xlfn.XLOOKUP($A77,Inputs!$A:$A,Inputs!B:B,,0)</f>
        <v>4714</v>
      </c>
      <c r="C77" s="62">
        <f>_xlfn.XLOOKUP($A77,Inputs!$A:$A,Inputs!C:C,,0)</f>
        <v>3908</v>
      </c>
      <c r="D77" s="62">
        <f>_xlfn.XLOOKUP($A77,Inputs!$A:$A,Inputs!D:D,,0)</f>
        <v>4141</v>
      </c>
      <c r="E77" s="62">
        <f>_xlfn.XLOOKUP($A77,Inputs!$A:$A,Inputs!E:E,,0)</f>
        <v>3964</v>
      </c>
      <c r="F77" s="62">
        <f>_xlfn.XLOOKUP($A77,Inputs!$A:$A,Inputs!F:F,,0)</f>
        <v>3965</v>
      </c>
      <c r="G77" s="62">
        <f>_xlfn.XLOOKUP($A77,Inputs!$A:$A,Inputs!G:G,,0)</f>
        <v>3948</v>
      </c>
      <c r="H77" s="62">
        <f>_xlfn.XLOOKUP($A77,Inputs!$A:$A,Inputs!H:H,,0)</f>
        <v>2593</v>
      </c>
      <c r="I77" s="62">
        <f>_xlfn.XLOOKUP($A77,Inputs!$A:$A,Inputs!I:I,,0)</f>
        <v>2838</v>
      </c>
      <c r="J77" s="62">
        <f>_xlfn.XLOOKUP($A77,Inputs!$A:$A,Inputs!J:J,,0)</f>
        <v>3728</v>
      </c>
      <c r="K77" s="62">
        <f>_xlfn.XLOOKUP($A77,Inputs!$A:$A,Inputs!K:K,,0)</f>
        <v>3562</v>
      </c>
      <c r="L77" s="62">
        <f>_xlfn.XLOOKUP($A77,Inputs!$A:$A,Inputs!L:L,,0)</f>
        <v>0</v>
      </c>
      <c r="M77" s="62">
        <f>_xlfn.XLOOKUP($A77,Inputs!$A:$A,Inputs!M:M,,0)</f>
        <v>0</v>
      </c>
    </row>
    <row r="78" spans="1:235">
      <c r="A78" s="122" t="s">
        <v>129</v>
      </c>
      <c r="B78" s="62">
        <f>_xlfn.XLOOKUP($A78,Inputs!$A:$A,Inputs!B:B,,0)</f>
        <v>2812</v>
      </c>
      <c r="C78" s="62">
        <f>_xlfn.XLOOKUP($A78,Inputs!$A:$A,Inputs!C:C,,0)</f>
        <v>-4888</v>
      </c>
      <c r="D78" s="62">
        <f>_xlfn.XLOOKUP($A78,Inputs!$A:$A,Inputs!D:D,,0)</f>
        <v>-26</v>
      </c>
      <c r="E78" s="62">
        <f>_xlfn.XLOOKUP($A78,Inputs!$A:$A,Inputs!E:E,,0)</f>
        <v>500</v>
      </c>
      <c r="F78" s="62">
        <f>_xlfn.XLOOKUP($A78,Inputs!$A:$A,Inputs!F:F,,0)</f>
        <v>-960</v>
      </c>
      <c r="G78" s="62">
        <f>_xlfn.XLOOKUP($A78,Inputs!$A:$A,Inputs!G:G,,0)</f>
        <v>-1224</v>
      </c>
      <c r="H78" s="62">
        <f>_xlfn.XLOOKUP($A78,Inputs!$A:$A,Inputs!H:H,,0)</f>
        <v>-301</v>
      </c>
      <c r="I78" s="62">
        <f>_xlfn.XLOOKUP($A78,Inputs!$A:$A,Inputs!I:I,,0)</f>
        <v>-1029</v>
      </c>
      <c r="J78" s="62">
        <f>_xlfn.XLOOKUP($A78,Inputs!$A:$A,Inputs!J:J,,0)</f>
        <v>2649</v>
      </c>
      <c r="K78" s="62">
        <f>_xlfn.XLOOKUP($A78,Inputs!$A:$A,Inputs!K:K,,0)</f>
        <v>-1642</v>
      </c>
      <c r="L78" s="62">
        <f>_xlfn.XLOOKUP($A78,Inputs!$A:$A,Inputs!L:L,,0)</f>
        <v>0</v>
      </c>
      <c r="M78" s="62">
        <f>_xlfn.XLOOKUP($A78,Inputs!$A:$A,Inputs!M:M,,0)</f>
        <v>0</v>
      </c>
    </row>
    <row r="79" spans="1:235">
      <c r="A79" s="118" t="s">
        <v>130</v>
      </c>
      <c r="B79" s="56">
        <f>_xlfn.XLOOKUP($A79,Inputs!$A:$A,Inputs!B:B,,0)</f>
        <v>-1112</v>
      </c>
      <c r="C79" s="56">
        <f>_xlfn.XLOOKUP($A79,Inputs!$A:$A,Inputs!C:C,,0)</f>
        <v>-906</v>
      </c>
      <c r="D79" s="56">
        <f>_xlfn.XLOOKUP($A79,Inputs!$A:$A,Inputs!D:D,,0)</f>
        <v>-965</v>
      </c>
      <c r="E79" s="56">
        <f>_xlfn.XLOOKUP($A79,Inputs!$A:$A,Inputs!E:E,,0)</f>
        <v>-863</v>
      </c>
      <c r="F79" s="56">
        <f>_xlfn.XLOOKUP($A79,Inputs!$A:$A,Inputs!F:F,,0)</f>
        <v>-925</v>
      </c>
      <c r="G79" s="56">
        <f>_xlfn.XLOOKUP($A79,Inputs!$A:$A,Inputs!G:G,,0)</f>
        <v>-1095</v>
      </c>
      <c r="H79" s="56">
        <f>_xlfn.XLOOKUP($A79,Inputs!$A:$A,Inputs!H:H,,0)</f>
        <v>-1014</v>
      </c>
      <c r="I79" s="56">
        <f>_xlfn.XLOOKUP($A79,Inputs!$A:$A,Inputs!I:I,,0)</f>
        <v>-1224</v>
      </c>
      <c r="J79" s="56">
        <f>_xlfn.XLOOKUP($A79,Inputs!$A:$A,Inputs!J:J,,0)</f>
        <v>-1514</v>
      </c>
      <c r="K79" s="56">
        <f>_xlfn.XLOOKUP($A79,Inputs!$A:$A,Inputs!K:K,,0)</f>
        <v>-1642</v>
      </c>
      <c r="L79" s="56">
        <f>_xlfn.XLOOKUP($A79,Inputs!$A:$A,Inputs!L:L,,0)</f>
        <v>0</v>
      </c>
      <c r="M79" s="56">
        <f>_xlfn.XLOOKUP($A79,Inputs!$A:$A,Inputs!M:M,,0)</f>
        <v>0</v>
      </c>
    </row>
    <row r="80" spans="1:235">
      <c r="A80" s="118" t="s">
        <v>131</v>
      </c>
      <c r="B80" s="56">
        <f>_xlfn.XLOOKUP($A80,Inputs!$A:$A,Inputs!B:B,,0)</f>
        <v>3924</v>
      </c>
      <c r="C80" s="56">
        <f>_xlfn.XLOOKUP($A80,Inputs!$A:$A,Inputs!C:C,,0)</f>
        <v>-3982</v>
      </c>
      <c r="D80" s="56">
        <f>_xlfn.XLOOKUP($A80,Inputs!$A:$A,Inputs!D:D,,0)</f>
        <v>939</v>
      </c>
      <c r="E80" s="56">
        <f>_xlfn.XLOOKUP($A80,Inputs!$A:$A,Inputs!E:E,,0)</f>
        <v>1363</v>
      </c>
      <c r="F80" s="56">
        <f>_xlfn.XLOOKUP($A80,Inputs!$A:$A,Inputs!F:F,,0)</f>
        <v>-35</v>
      </c>
      <c r="G80" s="56">
        <f>_xlfn.XLOOKUP($A80,Inputs!$A:$A,Inputs!G:G,,0)</f>
        <v>-129</v>
      </c>
      <c r="H80" s="56">
        <f>_xlfn.XLOOKUP($A80,Inputs!$A:$A,Inputs!H:H,,0)</f>
        <v>713</v>
      </c>
      <c r="I80" s="56">
        <f>_xlfn.XLOOKUP($A80,Inputs!$A:$A,Inputs!I:I,,0)</f>
        <v>195</v>
      </c>
      <c r="J80" s="56">
        <f>_xlfn.XLOOKUP($A80,Inputs!$A:$A,Inputs!J:J,,0)</f>
        <v>4163</v>
      </c>
      <c r="K80" s="56">
        <f>_xlfn.XLOOKUP($A80,Inputs!$A:$A,Inputs!K:K,,0)</f>
        <v>0</v>
      </c>
      <c r="L80" s="56">
        <f>_xlfn.XLOOKUP($A80,Inputs!$A:$A,Inputs!L:L,,0)</f>
        <v>0</v>
      </c>
      <c r="M80" s="56">
        <f>_xlfn.XLOOKUP($A80,Inputs!$A:$A,Inputs!M:M,,0)</f>
        <v>0</v>
      </c>
      <c r="IA80" s="45"/>
    </row>
    <row r="81" spans="1:235">
      <c r="A81" s="122" t="s">
        <v>132</v>
      </c>
      <c r="B81" s="62">
        <f>_xlfn.XLOOKUP($A81,Inputs!$A:$A,Inputs!B:B,,0)</f>
        <v>-7558</v>
      </c>
      <c r="C81" s="62">
        <f>_xlfn.XLOOKUP($A81,Inputs!$A:$A,Inputs!C:C,,0)</f>
        <v>-456</v>
      </c>
      <c r="D81" s="62">
        <f>_xlfn.XLOOKUP($A81,Inputs!$A:$A,Inputs!D:D,,0)</f>
        <v>-4069</v>
      </c>
      <c r="E81" s="62">
        <f>_xlfn.XLOOKUP($A81,Inputs!$A:$A,Inputs!E:E,,0)</f>
        <v>-2215</v>
      </c>
      <c r="F81" s="62">
        <f>_xlfn.XLOOKUP($A81,Inputs!$A:$A,Inputs!F:F,,0)</f>
        <v>-2787</v>
      </c>
      <c r="G81" s="62">
        <f>_xlfn.XLOOKUP($A81,Inputs!$A:$A,Inputs!G:G,,0)</f>
        <v>-2329</v>
      </c>
      <c r="H81" s="62">
        <f>_xlfn.XLOOKUP($A81,Inputs!$A:$A,Inputs!H:H,,0)</f>
        <v>-3361</v>
      </c>
      <c r="I81" s="62">
        <f>_xlfn.XLOOKUP($A81,Inputs!$A:$A,Inputs!I:I,,0)</f>
        <v>-1862</v>
      </c>
      <c r="J81" s="62">
        <f>_xlfn.XLOOKUP($A81,Inputs!$A:$A,Inputs!J:J,,0)</f>
        <v>-5883</v>
      </c>
      <c r="K81" s="62">
        <f>_xlfn.XLOOKUP($A81,Inputs!$A:$A,Inputs!K:K,,0)</f>
        <v>-2688</v>
      </c>
      <c r="L81" s="62">
        <f>_xlfn.XLOOKUP($A81,Inputs!$A:$A,Inputs!L:L,,0)</f>
        <v>0</v>
      </c>
      <c r="M81" s="62">
        <f>_xlfn.XLOOKUP($A81,Inputs!$A:$A,Inputs!M:M,,0)</f>
        <v>0</v>
      </c>
      <c r="IA81" s="45"/>
    </row>
    <row r="82" spans="1:235">
      <c r="A82" s="118" t="s">
        <v>133</v>
      </c>
      <c r="B82" s="56">
        <f>_xlfn.XLOOKUP($A82,Inputs!$A:$A,Inputs!B:B,,0)</f>
        <v>-2160</v>
      </c>
      <c r="C82" s="56">
        <f>_xlfn.XLOOKUP($A82,Inputs!$A:$A,Inputs!C:C,,0)</f>
        <v>-1985</v>
      </c>
      <c r="D82" s="56">
        <f>_xlfn.XLOOKUP($A82,Inputs!$A:$A,Inputs!D:D,,0)</f>
        <v>-1826</v>
      </c>
      <c r="E82" s="56">
        <f>_xlfn.XLOOKUP($A82,Inputs!$A:$A,Inputs!E:E,,0)</f>
        <v>-1678</v>
      </c>
      <c r="F82" s="56">
        <f>_xlfn.XLOOKUP($A82,Inputs!$A:$A,Inputs!F:F,,0)</f>
        <v>-1542</v>
      </c>
      <c r="G82" s="56">
        <f>_xlfn.XLOOKUP($A82,Inputs!$A:$A,Inputs!G:G,,0)</f>
        <v>-1359</v>
      </c>
      <c r="H82" s="56">
        <f>_xlfn.XLOOKUP($A82,Inputs!$A:$A,Inputs!H:H,,0)</f>
        <v>-1198</v>
      </c>
      <c r="I82" s="56">
        <f>_xlfn.XLOOKUP($A82,Inputs!$A:$A,Inputs!I:I,,0)</f>
        <v>-1094</v>
      </c>
      <c r="J82" s="56">
        <f>_xlfn.XLOOKUP($A82,Inputs!$A:$A,Inputs!J:J,,0)</f>
        <v>-1008</v>
      </c>
      <c r="K82" s="56">
        <f>_xlfn.XLOOKUP($A82,Inputs!$A:$A,Inputs!K:K,,0)</f>
        <v>-964</v>
      </c>
      <c r="L82" s="56">
        <f>_xlfn.XLOOKUP($A82,Inputs!$A:$A,Inputs!L:L,,0)</f>
        <v>0</v>
      </c>
      <c r="M82" s="56">
        <f>_xlfn.XLOOKUP($A82,Inputs!$A:$A,Inputs!M:M,,0)</f>
        <v>0</v>
      </c>
      <c r="IA82" s="45"/>
    </row>
    <row r="83" spans="1:235">
      <c r="A83" s="118" t="s">
        <v>915</v>
      </c>
      <c r="B83" s="56">
        <f>_xlfn.XLOOKUP($A83,Inputs!$A:$A,Inputs!B:B,,0)</f>
        <v>-1547</v>
      </c>
      <c r="C83" s="56">
        <f>_xlfn.XLOOKUP($A83,Inputs!$A:$A,Inputs!C:C,,0)</f>
        <v>-2017</v>
      </c>
      <c r="D83" s="56">
        <f>_xlfn.XLOOKUP($A83,Inputs!$A:$A,Inputs!D:D,,0)</f>
        <v>-2110</v>
      </c>
      <c r="E83" s="56">
        <f>_xlfn.XLOOKUP($A83,Inputs!$A:$A,Inputs!E:E,,0)</f>
        <v>-1390</v>
      </c>
      <c r="F83" s="56">
        <f>_xlfn.XLOOKUP($A83,Inputs!$A:$A,Inputs!F:F,,0)</f>
        <v>-1480</v>
      </c>
      <c r="G83" s="56">
        <f>_xlfn.XLOOKUP($A83,Inputs!$A:$A,Inputs!G:G,,0)</f>
        <v>-2020</v>
      </c>
      <c r="H83" s="56">
        <f>_xlfn.XLOOKUP($A83,Inputs!$A:$A,Inputs!H:H,,0)</f>
        <v>-2174</v>
      </c>
      <c r="I83" s="56">
        <f>_xlfn.XLOOKUP($A83,Inputs!$A:$A,Inputs!I:I,,0)</f>
        <v>-2601</v>
      </c>
      <c r="J83" s="56">
        <f>_xlfn.XLOOKUP($A83,Inputs!$A:$A,Inputs!J:J,,0)</f>
        <v>-3622</v>
      </c>
      <c r="K83" s="56">
        <f>_xlfn.XLOOKUP($A83,Inputs!$A:$A,Inputs!K:K,,0)</f>
        <v>-1700</v>
      </c>
      <c r="L83" s="56">
        <f>_xlfn.XLOOKUP($A83,Inputs!$A:$A,Inputs!L:L,,0)</f>
        <v>0</v>
      </c>
      <c r="M83" s="56">
        <f>_xlfn.XLOOKUP($A83,Inputs!$A:$A,Inputs!M:M,,0)</f>
        <v>0</v>
      </c>
    </row>
    <row r="84" spans="1:235">
      <c r="A84" s="122" t="s">
        <v>136</v>
      </c>
      <c r="B84" s="62">
        <f>_xlfn.XLOOKUP($A84,Inputs!$A:$A,Inputs!B:B,,0)</f>
        <v>-32</v>
      </c>
      <c r="C84" s="62">
        <f>_xlfn.XLOOKUP($A84,Inputs!$A:$A,Inputs!C:C,,0)</f>
        <v>-169</v>
      </c>
      <c r="D84" s="62">
        <f>_xlfn.XLOOKUP($A84,Inputs!$A:$A,Inputs!D:D,,0)</f>
        <v>-143</v>
      </c>
      <c r="E84" s="62">
        <f>_xlfn.XLOOKUP($A84,Inputs!$A:$A,Inputs!E:E,,0)</f>
        <v>73</v>
      </c>
      <c r="F84" s="62">
        <f>_xlfn.XLOOKUP($A84,Inputs!$A:$A,Inputs!F:F,,0)</f>
        <v>10</v>
      </c>
      <c r="G84" s="62">
        <f>_xlfn.XLOOKUP($A84,Inputs!$A:$A,Inputs!G:G,,0)</f>
        <v>-56</v>
      </c>
      <c r="H84" s="62">
        <f>_xlfn.XLOOKUP($A84,Inputs!$A:$A,Inputs!H:H,,0)</f>
        <v>89</v>
      </c>
      <c r="I84" s="62">
        <f>_xlfn.XLOOKUP($A84,Inputs!$A:$A,Inputs!I:I,,0)</f>
        <v>-76</v>
      </c>
      <c r="J84" s="62">
        <f>_xlfn.XLOOKUP($A84,Inputs!$A:$A,Inputs!J:J,,0)</f>
        <v>-255</v>
      </c>
      <c r="K84" s="62">
        <f>_xlfn.XLOOKUP($A84,Inputs!$A:$A,Inputs!K:K,,0)</f>
        <v>-223</v>
      </c>
      <c r="L84" s="62">
        <f>_xlfn.XLOOKUP($A84,Inputs!$A:$A,Inputs!L:L,,0)</f>
        <v>0</v>
      </c>
      <c r="M84" s="62">
        <f>_xlfn.XLOOKUP($A84,Inputs!$A:$A,Inputs!M:M,,0)</f>
        <v>0</v>
      </c>
    </row>
    <row r="85" spans="1:235">
      <c r="A85" s="122" t="s">
        <v>938</v>
      </c>
      <c r="B85" s="62">
        <f>_xlfn.XLOOKUP($A85,Inputs!$A:$A,Inputs!B:B,,0)</f>
        <v>-64</v>
      </c>
      <c r="C85" s="62">
        <f>_xlfn.XLOOKUP($A85,Inputs!$A:$A,Inputs!C:C,,0)</f>
        <v>-1605</v>
      </c>
      <c r="D85" s="62">
        <f>_xlfn.XLOOKUP($A85,Inputs!$A:$A,Inputs!D:D,,0)</f>
        <v>-97</v>
      </c>
      <c r="E85" s="62">
        <f>_xlfn.XLOOKUP($A85,Inputs!$A:$A,Inputs!E:E,,0)</f>
        <v>2322</v>
      </c>
      <c r="F85" s="62">
        <f>_xlfn.XLOOKUP($A85,Inputs!$A:$A,Inputs!F:F,,0)</f>
        <v>228</v>
      </c>
      <c r="G85" s="62">
        <f>_xlfn.XLOOKUP($A85,Inputs!$A:$A,Inputs!G:G,,0)</f>
        <v>339</v>
      </c>
      <c r="H85" s="62">
        <f>_xlfn.XLOOKUP($A85,Inputs!$A:$A,Inputs!H:H,,0)</f>
        <v>-980</v>
      </c>
      <c r="I85" s="62">
        <f>_xlfn.XLOOKUP($A85,Inputs!$A:$A,Inputs!I:I,,0)</f>
        <v>-129</v>
      </c>
      <c r="J85" s="62">
        <f>_xlfn.XLOOKUP($A85,Inputs!$A:$A,Inputs!J:J,,0)</f>
        <v>239</v>
      </c>
      <c r="K85" s="62">
        <f>_xlfn.XLOOKUP($A85,Inputs!$A:$A,Inputs!K:K,,0)</f>
        <v>-991</v>
      </c>
      <c r="L85" s="62">
        <f>_xlfn.XLOOKUP($A85,Inputs!$A:$A,Inputs!L:L,,0)</f>
        <v>0</v>
      </c>
      <c r="M85" s="62">
        <f>_xlfn.XLOOKUP($A85,Inputs!$A:$A,Inputs!M:M,,0)</f>
        <v>0</v>
      </c>
    </row>
    <row r="86" spans="1:235">
      <c r="K86" s="45"/>
      <c r="L86" s="45"/>
      <c r="M86" s="45"/>
    </row>
    <row r="87" spans="1:235" ht="21">
      <c r="A87" s="1299" t="s">
        <v>939</v>
      </c>
      <c r="B87" s="1299"/>
      <c r="C87" s="1299"/>
      <c r="D87" s="1299"/>
      <c r="E87" s="1299"/>
      <c r="F87" s="1299"/>
      <c r="G87" s="1299"/>
      <c r="H87" s="1299"/>
      <c r="I87" s="1299"/>
      <c r="J87" s="1299"/>
      <c r="K87" s="1299"/>
      <c r="L87" s="1299"/>
      <c r="M87" s="1299"/>
    </row>
    <row r="88" spans="1:235">
      <c r="A88" s="117" t="s">
        <v>940</v>
      </c>
      <c r="B88" s="56" t="e">
        <f>_xlfn.XLOOKUP($A88,Inputs!$A:$A,Inputs!B:B,,0)</f>
        <v>#N/A</v>
      </c>
      <c r="C88" s="56" t="e">
        <f>_xlfn.XLOOKUP($A88,Inputs!$A:$A,Inputs!C:C,,0)</f>
        <v>#N/A</v>
      </c>
      <c r="D88" s="56" t="e">
        <f>_xlfn.XLOOKUP($A88,Inputs!$A:$A,Inputs!D:D,,0)</f>
        <v>#N/A</v>
      </c>
      <c r="E88" s="56" t="e">
        <f>_xlfn.XLOOKUP($A88,Inputs!$A:$A,Inputs!E:E,,0)</f>
        <v>#N/A</v>
      </c>
      <c r="F88" s="56" t="e">
        <f>_xlfn.XLOOKUP($A88,Inputs!$A:$A,Inputs!F:F,,0)</f>
        <v>#N/A</v>
      </c>
      <c r="G88" s="56" t="e">
        <f>_xlfn.XLOOKUP($A88,Inputs!$A:$A,Inputs!G:G,,0)</f>
        <v>#N/A</v>
      </c>
      <c r="H88" s="56" t="e">
        <f>_xlfn.XLOOKUP($A88,Inputs!$A:$A,Inputs!H:H,,0)</f>
        <v>#N/A</v>
      </c>
      <c r="I88" s="56" t="e">
        <f>_xlfn.XLOOKUP($A88,Inputs!$A:$A,Inputs!I:I,,0)</f>
        <v>#N/A</v>
      </c>
      <c r="J88" s="56" t="e">
        <f>_xlfn.XLOOKUP($A88,Inputs!$A:$A,Inputs!J:J,,0)</f>
        <v>#N/A</v>
      </c>
      <c r="K88" s="56" t="e">
        <f>_xlfn.XLOOKUP($A88,Inputs!$A:$A,Inputs!K:K,,0)</f>
        <v>#N/A</v>
      </c>
      <c r="L88" s="56" t="e">
        <f>_xlfn.XLOOKUP($A88,Inputs!$A:$A,Inputs!L:L,,0)</f>
        <v>#N/A</v>
      </c>
      <c r="M88" s="56" t="e">
        <f>_xlfn.XLOOKUP($A88,Inputs!$A:$A,Inputs!M:M,,0)</f>
        <v>#N/A</v>
      </c>
    </row>
    <row r="89" spans="1:235">
      <c r="A89" s="123" t="s">
        <v>941</v>
      </c>
      <c r="B89" s="56" t="e">
        <f>_xlfn.XLOOKUP($A89,Inputs!$A:$A,Inputs!B:B,,0)</f>
        <v>#N/A</v>
      </c>
      <c r="C89" s="56" t="e">
        <f>_xlfn.XLOOKUP($A89,Inputs!$A:$A,Inputs!C:C,,0)</f>
        <v>#N/A</v>
      </c>
      <c r="D89" s="56" t="e">
        <f>_xlfn.XLOOKUP($A89,Inputs!$A:$A,Inputs!D:D,,0)</f>
        <v>#N/A</v>
      </c>
      <c r="E89" s="56" t="e">
        <f>_xlfn.XLOOKUP($A89,Inputs!$A:$A,Inputs!E:E,,0)</f>
        <v>#N/A</v>
      </c>
      <c r="F89" s="56" t="e">
        <f>_xlfn.XLOOKUP($A89,Inputs!$A:$A,Inputs!F:F,,0)</f>
        <v>#N/A</v>
      </c>
      <c r="G89" s="56" t="e">
        <f>_xlfn.XLOOKUP($A89,Inputs!$A:$A,Inputs!G:G,,0)</f>
        <v>#N/A</v>
      </c>
      <c r="H89" s="56" t="e">
        <f>_xlfn.XLOOKUP($A89,Inputs!$A:$A,Inputs!H:H,,0)</f>
        <v>#N/A</v>
      </c>
      <c r="I89" s="56" t="e">
        <f>_xlfn.XLOOKUP($A89,Inputs!$A:$A,Inputs!I:I,,0)</f>
        <v>#N/A</v>
      </c>
      <c r="J89" s="56" t="e">
        <f>_xlfn.XLOOKUP($A89,Inputs!$A:$A,Inputs!J:J,,0)</f>
        <v>#N/A</v>
      </c>
      <c r="K89" s="56" t="e">
        <f>_xlfn.XLOOKUP($A89,Inputs!$A:$A,Inputs!K:K,,0)</f>
        <v>#N/A</v>
      </c>
      <c r="L89" s="56" t="e">
        <f>_xlfn.XLOOKUP($A89,Inputs!$A:$A,Inputs!L:L,,0)</f>
        <v>#N/A</v>
      </c>
      <c r="M89" s="56" t="e">
        <f>_xlfn.XLOOKUP($A89,Inputs!$A:$A,Inputs!M:M,,0)</f>
        <v>#N/A</v>
      </c>
    </row>
    <row r="90" spans="1:235">
      <c r="A90" s="117" t="s">
        <v>42</v>
      </c>
      <c r="B90" s="56">
        <f>_xlfn.XLOOKUP($A90,Inputs!$A:$A,Inputs!B:B,,0)</f>
        <v>0.99259259259259258</v>
      </c>
      <c r="C90" s="56" t="str">
        <f>_xlfn.XLOOKUP($A90,Inputs!$A:$A,Inputs!C:C,,0)</f>
        <v>Yahoo finance</v>
      </c>
      <c r="D90" s="56">
        <f>_xlfn.XLOOKUP($A90,Inputs!$A:$A,Inputs!D:D,,0)</f>
        <v>0</v>
      </c>
      <c r="E90" s="56">
        <f>_xlfn.XLOOKUP($A90,Inputs!$A:$A,Inputs!E:E,,0)</f>
        <v>0</v>
      </c>
      <c r="F90" s="56">
        <f>_xlfn.XLOOKUP($A90,Inputs!$A:$A,Inputs!F:F,,0)</f>
        <v>0</v>
      </c>
      <c r="G90" s="56">
        <f>_xlfn.XLOOKUP($A90,Inputs!$A:$A,Inputs!G:G,,0)</f>
        <v>0</v>
      </c>
      <c r="H90" s="56">
        <f>_xlfn.XLOOKUP($A90,Inputs!$A:$A,Inputs!H:H,,0)</f>
        <v>0</v>
      </c>
      <c r="I90" s="56">
        <f>_xlfn.XLOOKUP($A90,Inputs!$A:$A,Inputs!I:I,,0)</f>
        <v>0</v>
      </c>
      <c r="J90" s="56">
        <f>_xlfn.XLOOKUP($A90,Inputs!$A:$A,Inputs!J:J,,0)</f>
        <v>0</v>
      </c>
      <c r="K90" s="56">
        <f>_xlfn.XLOOKUP($A90,Inputs!$A:$A,Inputs!K:K,,0)</f>
        <v>0</v>
      </c>
      <c r="L90" s="56">
        <f>_xlfn.XLOOKUP($A90,Inputs!$A:$A,Inputs!L:L,,0)</f>
        <v>0</v>
      </c>
      <c r="M90" s="56">
        <f>_xlfn.XLOOKUP($A90,Inputs!$A:$A,Inputs!M:M,,0)</f>
        <v>0</v>
      </c>
    </row>
    <row r="91" spans="1:235">
      <c r="A91" s="123" t="s">
        <v>47</v>
      </c>
      <c r="B91" s="56">
        <f>_xlfn.XLOOKUP($A91,Inputs!$A:$A,Inputs!B:B,,0)</f>
        <v>1.9E-3</v>
      </c>
      <c r="C91" s="56" t="str">
        <f>_xlfn.XLOOKUP($A91,Inputs!$A:$A,Inputs!C:C,,0)</f>
        <v>Yahoo finance</v>
      </c>
      <c r="D91" s="56">
        <f>_xlfn.XLOOKUP($A91,Inputs!$A:$A,Inputs!D:D,,0)</f>
        <v>0</v>
      </c>
      <c r="E91" s="56">
        <f>_xlfn.XLOOKUP($A91,Inputs!$A:$A,Inputs!E:E,,0)</f>
        <v>0</v>
      </c>
      <c r="F91" s="56">
        <f>_xlfn.XLOOKUP($A91,Inputs!$A:$A,Inputs!F:F,,0)</f>
        <v>0</v>
      </c>
      <c r="G91" s="56">
        <f>_xlfn.XLOOKUP($A91,Inputs!$A:$A,Inputs!G:G,,0)</f>
        <v>0</v>
      </c>
      <c r="H91" s="56">
        <f>_xlfn.XLOOKUP($A91,Inputs!$A:$A,Inputs!H:H,,0)</f>
        <v>0</v>
      </c>
      <c r="I91" s="56">
        <f>_xlfn.XLOOKUP($A91,Inputs!$A:$A,Inputs!I:I,,0)</f>
        <v>0</v>
      </c>
      <c r="J91" s="56">
        <f>_xlfn.XLOOKUP($A91,Inputs!$A:$A,Inputs!J:J,,0)</f>
        <v>0</v>
      </c>
      <c r="K91" s="56">
        <f>_xlfn.XLOOKUP($A91,Inputs!$A:$A,Inputs!K:K,,0)</f>
        <v>0</v>
      </c>
      <c r="L91" s="56">
        <f>_xlfn.XLOOKUP($A91,Inputs!$A:$A,Inputs!L:L,,0)</f>
        <v>0</v>
      </c>
      <c r="M91" s="56">
        <f>_xlfn.XLOOKUP($A91,Inputs!$A:$A,Inputs!M:M,,0)</f>
        <v>0</v>
      </c>
    </row>
    <row r="92" spans="1:235">
      <c r="A92" s="117" t="s">
        <v>942</v>
      </c>
      <c r="B92" s="56" t="str">
        <f>_xlfn.XLOOKUP($A92,Inputs!$A:$A,Inputs!B:B,,0)</f>
        <v>BBB</v>
      </c>
      <c r="C92" s="56" t="str">
        <f>_xlfn.XLOOKUP($A92,Inputs!$A:$A,Inputs!C:C,,0)</f>
        <v>10-K</v>
      </c>
      <c r="D92" s="56">
        <f>_xlfn.XLOOKUP($A92,Inputs!$A:$A,Inputs!D:D,,0)</f>
        <v>0</v>
      </c>
      <c r="E92" s="56">
        <f>_xlfn.XLOOKUP($A92,Inputs!$A:$A,Inputs!E:E,,0)</f>
        <v>0</v>
      </c>
      <c r="F92" s="56">
        <f>_xlfn.XLOOKUP($A92,Inputs!$A:$A,Inputs!F:F,,0)</f>
        <v>0</v>
      </c>
      <c r="G92" s="56">
        <f>_xlfn.XLOOKUP($A92,Inputs!$A:$A,Inputs!G:G,,0)</f>
        <v>0</v>
      </c>
      <c r="H92" s="56">
        <f>_xlfn.XLOOKUP($A92,Inputs!$A:$A,Inputs!H:H,,0)</f>
        <v>0</v>
      </c>
      <c r="I92" s="56">
        <f>_xlfn.XLOOKUP($A92,Inputs!$A:$A,Inputs!I:I,,0)</f>
        <v>0</v>
      </c>
      <c r="J92" s="56">
        <f>_xlfn.XLOOKUP($A92,Inputs!$A:$A,Inputs!J:J,,0)</f>
        <v>0</v>
      </c>
      <c r="K92" s="56">
        <f>_xlfn.XLOOKUP($A92,Inputs!$A:$A,Inputs!K:K,,0)</f>
        <v>0</v>
      </c>
      <c r="L92" s="56">
        <f>_xlfn.XLOOKUP($A92,Inputs!$A:$A,Inputs!L:L,,0)</f>
        <v>0</v>
      </c>
      <c r="M92" s="56">
        <f>_xlfn.XLOOKUP($A92,Inputs!$A:$A,Inputs!M:M,,0)</f>
        <v>0</v>
      </c>
    </row>
    <row r="93" spans="1:235">
      <c r="A93" s="117" t="s">
        <v>943</v>
      </c>
      <c r="B93" s="56" t="e">
        <f>_xlfn.XLOOKUP($A93,Inputs!$A:$A,Inputs!B:B,,0)</f>
        <v>#N/A</v>
      </c>
      <c r="C93" s="56" t="e">
        <f>_xlfn.XLOOKUP($A93,Inputs!$A:$A,Inputs!C:C,,0)</f>
        <v>#N/A</v>
      </c>
      <c r="D93" s="56" t="e">
        <f>_xlfn.XLOOKUP($A93,Inputs!$A:$A,Inputs!D:D,,0)</f>
        <v>#N/A</v>
      </c>
      <c r="E93" s="56" t="e">
        <f>_xlfn.XLOOKUP($A93,Inputs!$A:$A,Inputs!E:E,,0)</f>
        <v>#N/A</v>
      </c>
      <c r="F93" s="56" t="e">
        <f>_xlfn.XLOOKUP($A93,Inputs!$A:$A,Inputs!F:F,,0)</f>
        <v>#N/A</v>
      </c>
      <c r="G93" s="56" t="e">
        <f>_xlfn.XLOOKUP($A93,Inputs!$A:$A,Inputs!G:G,,0)</f>
        <v>#N/A</v>
      </c>
      <c r="H93" s="56" t="e">
        <f>_xlfn.XLOOKUP($A93,Inputs!$A:$A,Inputs!H:H,,0)</f>
        <v>#N/A</v>
      </c>
      <c r="I93" s="56" t="e">
        <f>_xlfn.XLOOKUP($A93,Inputs!$A:$A,Inputs!I:I,,0)</f>
        <v>#N/A</v>
      </c>
      <c r="J93" s="56" t="e">
        <f>_xlfn.XLOOKUP($A93,Inputs!$A:$A,Inputs!J:J,,0)</f>
        <v>#N/A</v>
      </c>
      <c r="K93" s="56" t="e">
        <f>_xlfn.XLOOKUP($A93,Inputs!$A:$A,Inputs!K:K,,0)</f>
        <v>#N/A</v>
      </c>
      <c r="L93" s="56" t="e">
        <f>_xlfn.XLOOKUP($A93,Inputs!$A:$A,Inputs!L:L,,0)</f>
        <v>#N/A</v>
      </c>
      <c r="M93" s="56" t="e">
        <f>_xlfn.XLOOKUP($A93,Inputs!$A:$A,Inputs!M:M,,0)</f>
        <v>#N/A</v>
      </c>
    </row>
    <row r="94" spans="1:235">
      <c r="A94" s="123" t="s">
        <v>944</v>
      </c>
      <c r="B94" s="56">
        <f>_xlfn.XLOOKUP($A94,Inputs!$A:$A,Inputs!B:B,,0)</f>
        <v>7017831</v>
      </c>
      <c r="C94" s="56" t="str">
        <f>_xlfn.XLOOKUP($A94,Inputs!$A:$A,Inputs!C:C,,0)</f>
        <v>Yahoo Finance</v>
      </c>
      <c r="D94" s="56">
        <f>_xlfn.XLOOKUP($A94,Inputs!$A:$A,Inputs!D:D,,0)</f>
        <v>0</v>
      </c>
      <c r="E94" s="56">
        <f>_xlfn.XLOOKUP($A94,Inputs!$A:$A,Inputs!E:E,,0)</f>
        <v>0</v>
      </c>
      <c r="F94" s="56">
        <f>_xlfn.XLOOKUP($A94,Inputs!$A:$A,Inputs!F:F,,0)</f>
        <v>0</v>
      </c>
      <c r="G94" s="56">
        <f>_xlfn.XLOOKUP($A94,Inputs!$A:$A,Inputs!G:G,,0)</f>
        <v>0</v>
      </c>
      <c r="H94" s="56">
        <f>_xlfn.XLOOKUP($A94,Inputs!$A:$A,Inputs!H:H,,0)</f>
        <v>0</v>
      </c>
      <c r="I94" s="56">
        <f>_xlfn.XLOOKUP($A94,Inputs!$A:$A,Inputs!I:I,,0)</f>
        <v>0</v>
      </c>
      <c r="J94" s="56">
        <f>_xlfn.XLOOKUP($A94,Inputs!$A:$A,Inputs!J:J,,0)</f>
        <v>0</v>
      </c>
      <c r="K94" s="56">
        <f>_xlfn.XLOOKUP($A94,Inputs!$A:$A,Inputs!K:K,,0)</f>
        <v>0</v>
      </c>
      <c r="L94" s="56">
        <f>_xlfn.XLOOKUP($A94,Inputs!$A:$A,Inputs!L:L,,0)</f>
        <v>0</v>
      </c>
      <c r="M94" s="56">
        <f>_xlfn.XLOOKUP($A94,Inputs!$A:$A,Inputs!M:M,,0)</f>
        <v>0</v>
      </c>
    </row>
    <row r="95" spans="1:235">
      <c r="B95" s="47"/>
      <c r="C95" s="47"/>
      <c r="D95" s="47"/>
      <c r="E95" s="47"/>
      <c r="F95" s="47"/>
      <c r="G95" s="47"/>
      <c r="H95" s="47"/>
      <c r="I95" s="47"/>
      <c r="J95" s="47"/>
      <c r="K95" s="47"/>
      <c r="L95" s="47"/>
      <c r="M95" s="47"/>
    </row>
    <row r="96" spans="1:235">
      <c r="B96" s="46">
        <v>2020</v>
      </c>
      <c r="C96" s="46">
        <v>2021</v>
      </c>
      <c r="D96" s="46">
        <v>2022</v>
      </c>
      <c r="G96" s="46"/>
      <c r="H96" s="47"/>
      <c r="I96" s="47"/>
      <c r="J96" s="47"/>
      <c r="K96" s="47"/>
      <c r="L96" s="47"/>
      <c r="M96" s="47"/>
    </row>
    <row r="97" spans="1:13">
      <c r="A97" s="117" t="s">
        <v>945</v>
      </c>
      <c r="B97" s="60">
        <v>0</v>
      </c>
      <c r="C97" s="60">
        <v>0</v>
      </c>
      <c r="D97" s="61">
        <v>0</v>
      </c>
      <c r="G97" s="47"/>
      <c r="H97" s="47"/>
      <c r="I97" s="47"/>
      <c r="J97" s="47"/>
      <c r="K97" s="47"/>
      <c r="L97" s="47"/>
      <c r="M97" s="47"/>
    </row>
    <row r="98" spans="1:13">
      <c r="A98" s="123" t="s">
        <v>70</v>
      </c>
      <c r="B98" s="60">
        <v>0</v>
      </c>
      <c r="C98" s="60">
        <v>0</v>
      </c>
      <c r="D98" s="61">
        <v>0</v>
      </c>
    </row>
    <row r="100" spans="1:13">
      <c r="A100" s="14" t="s">
        <v>946</v>
      </c>
      <c r="B100" s="46" t="s">
        <v>947</v>
      </c>
      <c r="C100" s="46" t="s">
        <v>948</v>
      </c>
      <c r="D100" s="46" t="s">
        <v>949</v>
      </c>
      <c r="E100" s="46" t="s">
        <v>950</v>
      </c>
      <c r="G100" s="46"/>
    </row>
    <row r="101" spans="1:13">
      <c r="B101" s="63" t="e">
        <f>VLOOKUP($A101,Inputs!$A$5:$M$98,MATCH(B$4,Inputs!$B$5:$M$5,0)+1,FALSE)</f>
        <v>#N/A</v>
      </c>
      <c r="C101" s="63" t="e">
        <f>VLOOKUP($A101,Inputs!$A$5:$M$98,MATCH(C$4,Inputs!$B$5:$M$5,0)+1,FALSE)</f>
        <v>#N/A</v>
      </c>
      <c r="D101" s="63" t="e">
        <f>VLOOKUP($A101,Inputs!$A$5:$M$98,MATCH(D$4,Inputs!$B$5:$M$5,0)+1,FALSE)</f>
        <v>#N/A</v>
      </c>
      <c r="E101" s="63" t="e">
        <f>VLOOKUP($A101,Inputs!$A$5:$M$98,MATCH(E$4,Inputs!$B$5:$M$5,0)+1,FALSE)</f>
        <v>#N/A</v>
      </c>
    </row>
    <row r="102" spans="1:13">
      <c r="B102" s="64"/>
      <c r="C102" s="64"/>
      <c r="D102" s="2"/>
      <c r="E102" s="64"/>
      <c r="F102" s="2"/>
    </row>
    <row r="103" spans="1:13">
      <c r="B103" s="64"/>
      <c r="C103" s="64"/>
      <c r="D103" s="2"/>
      <c r="E103" s="64"/>
      <c r="F103" s="2"/>
    </row>
    <row r="104" spans="1:13">
      <c r="B104" s="64"/>
      <c r="C104" s="64"/>
      <c r="D104" s="2"/>
      <c r="E104" s="64"/>
      <c r="F104" s="2"/>
    </row>
    <row r="105" spans="1:13">
      <c r="B105" s="64"/>
      <c r="C105" s="64"/>
      <c r="D105" s="2"/>
      <c r="E105" s="64"/>
      <c r="F105" s="2"/>
    </row>
    <row r="106" spans="1:13">
      <c r="B106" s="64"/>
      <c r="C106" s="64"/>
      <c r="D106" s="2"/>
      <c r="E106" s="64"/>
      <c r="F106" s="2"/>
    </row>
    <row r="107" spans="1:13">
      <c r="B107" s="64"/>
      <c r="C107" s="64"/>
      <c r="D107" s="2"/>
      <c r="E107" s="64"/>
      <c r="F107" s="2"/>
    </row>
    <row r="108" spans="1:13">
      <c r="B108" s="64"/>
      <c r="C108" s="64"/>
      <c r="D108" s="2"/>
      <c r="E108" s="64"/>
      <c r="F108" s="2"/>
    </row>
    <row r="109" spans="1:13">
      <c r="B109" s="64"/>
      <c r="C109" s="64"/>
      <c r="D109" s="2"/>
      <c r="E109" s="64"/>
      <c r="F109" s="2"/>
    </row>
  </sheetData>
  <mergeCells count="7">
    <mergeCell ref="A87:M87"/>
    <mergeCell ref="A1:M1"/>
    <mergeCell ref="A2:M2"/>
    <mergeCell ref="A3:M3"/>
    <mergeCell ref="A38:M38"/>
    <mergeCell ref="A57:M57"/>
    <mergeCell ref="A76:M76"/>
  </mergeCells>
  <pageMargins left="0.7" right="0.7" top="0.75" bottom="0.75" header="0.3" footer="0.3"/>
  <pageSetup paperSize="9" orientation="portrait" horizontalDpi="4294967293" verticalDpi="0"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A7115-0CBC-4ABB-BE5B-970F623C3B18}">
  <dimension ref="A1:EV100"/>
  <sheetViews>
    <sheetView topLeftCell="A26611" zoomScale="70" zoomScaleNormal="70" workbookViewId="0">
      <selection activeCell="O78" sqref="O78"/>
    </sheetView>
  </sheetViews>
  <sheetFormatPr defaultColWidth="10.42578125" defaultRowHeight="13.9"/>
  <cols>
    <col min="1" max="1" width="40.140625" style="23" bestFit="1" customWidth="1"/>
    <col min="2" max="2" width="13.85546875" style="23" bestFit="1" customWidth="1"/>
    <col min="3" max="5" width="13.42578125" style="23" customWidth="1"/>
    <col min="6" max="6" width="13.140625" style="23" customWidth="1"/>
    <col min="7" max="9" width="13.85546875" style="23" customWidth="1"/>
    <col min="10" max="10" width="14.140625" style="23" customWidth="1"/>
    <col min="11" max="11" width="15.140625" style="25" customWidth="1"/>
    <col min="12" max="12" width="17" style="25" customWidth="1"/>
    <col min="13" max="13" width="14.140625" style="23" customWidth="1"/>
    <col min="14" max="14" width="21.42578125" style="23" bestFit="1" customWidth="1"/>
    <col min="15" max="15" width="32.140625" style="23" customWidth="1"/>
    <col min="16" max="16" width="11.42578125" style="23" customWidth="1"/>
    <col min="17" max="23" width="0" style="23" hidden="1" customWidth="1"/>
    <col min="24" max="24" width="15.42578125" style="23" bestFit="1" customWidth="1"/>
    <col min="25" max="25" width="17.42578125" style="23" bestFit="1" customWidth="1"/>
    <col min="26" max="33" width="0" style="23" hidden="1" customWidth="1"/>
    <col min="34" max="16384" width="10.42578125" style="23"/>
  </cols>
  <sheetData>
    <row r="1" spans="1:33">
      <c r="B1" s="51"/>
      <c r="C1" s="51"/>
      <c r="D1" s="51"/>
      <c r="E1" s="51"/>
      <c r="F1" s="51"/>
      <c r="G1" s="51"/>
      <c r="H1" s="51"/>
      <c r="I1" s="51"/>
      <c r="J1" s="51"/>
      <c r="K1" s="51"/>
      <c r="L1" s="51"/>
      <c r="M1" s="51"/>
      <c r="N1"/>
      <c r="O1"/>
    </row>
    <row r="2" spans="1:33">
      <c r="G2" s="1302" t="s">
        <v>951</v>
      </c>
      <c r="H2" s="1302"/>
      <c r="I2" s="1302"/>
      <c r="J2" s="1302"/>
      <c r="K2" s="26"/>
      <c r="L2" s="26"/>
      <c r="M2" s="26"/>
      <c r="N2" s="26"/>
      <c r="O2" s="26"/>
    </row>
    <row r="3" spans="1:33">
      <c r="G3" s="23" t="s">
        <v>952</v>
      </c>
      <c r="H3" s="23" t="e" vm="1">
        <v>#VALUE!</v>
      </c>
      <c r="M3"/>
      <c r="N3"/>
      <c r="O3"/>
    </row>
    <row r="4" spans="1:33">
      <c r="D4" s="1302" t="s">
        <v>953</v>
      </c>
      <c r="E4" s="1302"/>
      <c r="F4" s="1302"/>
      <c r="G4" s="1302"/>
      <c r="H4" s="1302"/>
      <c r="I4" s="1302"/>
      <c r="J4" s="1302"/>
      <c r="K4" s="1302"/>
      <c r="L4" s="1302"/>
      <c r="M4" s="1302"/>
      <c r="N4"/>
      <c r="O4"/>
    </row>
    <row r="5" spans="1:33">
      <c r="A5" s="51" t="s">
        <v>954</v>
      </c>
      <c r="B5" s="368">
        <v>2023</v>
      </c>
      <c r="C5" s="368">
        <f>B5-1</f>
        <v>2022</v>
      </c>
      <c r="D5" s="368">
        <f t="shared" ref="D5:M5" si="0">C5-1</f>
        <v>2021</v>
      </c>
      <c r="E5" s="368">
        <f t="shared" si="0"/>
        <v>2020</v>
      </c>
      <c r="F5" s="368">
        <f t="shared" si="0"/>
        <v>2019</v>
      </c>
      <c r="G5" s="368">
        <f t="shared" si="0"/>
        <v>2018</v>
      </c>
      <c r="H5" s="368">
        <f t="shared" si="0"/>
        <v>2017</v>
      </c>
      <c r="I5" s="368">
        <f t="shared" si="0"/>
        <v>2016</v>
      </c>
      <c r="J5" s="368">
        <f t="shared" si="0"/>
        <v>2015</v>
      </c>
      <c r="K5" s="368">
        <f t="shared" si="0"/>
        <v>2014</v>
      </c>
      <c r="L5" s="368">
        <f t="shared" si="0"/>
        <v>2013</v>
      </c>
      <c r="M5" s="368">
        <f t="shared" si="0"/>
        <v>2012</v>
      </c>
      <c r="N5"/>
      <c r="O5"/>
      <c r="Q5" s="10" t="s">
        <v>955</v>
      </c>
      <c r="R5" s="1303" t="s">
        <v>956</v>
      </c>
      <c r="S5" s="1303"/>
      <c r="T5" s="23" t="s">
        <v>957</v>
      </c>
      <c r="Z5" s="51">
        <v>2016</v>
      </c>
      <c r="AA5" s="51">
        <v>2015</v>
      </c>
      <c r="AB5" s="51">
        <v>2014</v>
      </c>
      <c r="AC5" s="51">
        <v>2013</v>
      </c>
      <c r="AD5" s="51">
        <v>2012</v>
      </c>
      <c r="AE5" s="51">
        <v>2011</v>
      </c>
      <c r="AF5" s="51">
        <v>2010</v>
      </c>
      <c r="AG5" s="51">
        <v>2009</v>
      </c>
    </row>
    <row r="6" spans="1:33">
      <c r="A6" s="27" t="s">
        <v>122</v>
      </c>
      <c r="B6" s="278">
        <v>36016</v>
      </c>
      <c r="C6" s="278">
        <v>31496</v>
      </c>
      <c r="D6" s="278">
        <v>28720</v>
      </c>
      <c r="E6" s="278">
        <v>26581</v>
      </c>
      <c r="F6" s="278">
        <v>25868</v>
      </c>
      <c r="G6" s="278">
        <v>25938</v>
      </c>
      <c r="H6" s="278">
        <v>25896</v>
      </c>
      <c r="I6" s="278">
        <v>25923</v>
      </c>
      <c r="J6" s="278">
        <v>29636</v>
      </c>
      <c r="K6" s="278">
        <v>34244</v>
      </c>
      <c r="L6" s="278"/>
      <c r="M6" s="278"/>
      <c r="N6" s="29" t="s">
        <v>958</v>
      </c>
      <c r="O6" t="s">
        <v>959</v>
      </c>
      <c r="P6"/>
      <c r="Q6" s="23" t="s">
        <v>960</v>
      </c>
      <c r="R6" s="23" t="s">
        <v>960</v>
      </c>
      <c r="X6" s="30"/>
      <c r="Y6" s="30"/>
      <c r="Z6" s="28">
        <v>38537</v>
      </c>
      <c r="AA6" s="28">
        <v>47011</v>
      </c>
      <c r="AB6" s="28">
        <v>55184</v>
      </c>
      <c r="AC6" s="28">
        <v>55656</v>
      </c>
      <c r="AD6" s="28">
        <v>65875</v>
      </c>
      <c r="AE6" s="28">
        <v>60138</v>
      </c>
      <c r="AF6" s="28">
        <v>42588</v>
      </c>
      <c r="AG6" s="28">
        <v>32396</v>
      </c>
    </row>
    <row r="7" spans="1:33">
      <c r="A7" s="27" t="s">
        <v>894</v>
      </c>
      <c r="B7" s="278">
        <v>13764</v>
      </c>
      <c r="C7" s="278">
        <v>11312</v>
      </c>
      <c r="D7" s="278">
        <v>11254</v>
      </c>
      <c r="E7" s="278">
        <v>10446</v>
      </c>
      <c r="F7" s="278">
        <v>10337</v>
      </c>
      <c r="G7" s="278">
        <v>10352</v>
      </c>
      <c r="H7" s="278">
        <v>10065</v>
      </c>
      <c r="I7" s="278">
        <v>10128</v>
      </c>
      <c r="J7" s="278">
        <v>11512</v>
      </c>
      <c r="K7" s="278">
        <v>12597</v>
      </c>
      <c r="L7" s="278"/>
      <c r="M7" s="278"/>
      <c r="N7" s="29" t="s">
        <v>958</v>
      </c>
      <c r="O7" t="str">
        <f>+A7</f>
        <v>Gross Profit</v>
      </c>
      <c r="P7"/>
      <c r="Q7" s="23" t="s">
        <v>960</v>
      </c>
      <c r="R7" s="23" t="s">
        <v>961</v>
      </c>
      <c r="Z7" s="32">
        <f>Z6-28044</f>
        <v>10493</v>
      </c>
      <c r="AA7" s="32">
        <f>AA6-33546</f>
        <v>13465</v>
      </c>
      <c r="AB7" s="32">
        <f>AB6-40718</f>
        <v>14466</v>
      </c>
      <c r="AC7" s="32">
        <f>AC6-40727</f>
        <v>14929</v>
      </c>
      <c r="AD7" s="33">
        <f>+AD6-47055</f>
        <v>18820</v>
      </c>
      <c r="AE7" s="33">
        <f>+AE6-43578</f>
        <v>16560</v>
      </c>
      <c r="AF7" s="33">
        <f>+AF6-30367</f>
        <v>12221</v>
      </c>
      <c r="AG7" s="33">
        <f>+AG6-23886</f>
        <v>8510</v>
      </c>
    </row>
    <row r="8" spans="1:33">
      <c r="A8" s="27" t="s">
        <v>285</v>
      </c>
      <c r="B8" s="278">
        <v>5501</v>
      </c>
      <c r="C8" s="278">
        <v>3405</v>
      </c>
      <c r="D8" s="278">
        <v>4516</v>
      </c>
      <c r="E8" s="278">
        <v>3668</v>
      </c>
      <c r="F8" s="278">
        <v>3843</v>
      </c>
      <c r="G8" s="278">
        <v>3172</v>
      </c>
      <c r="H8" s="278">
        <v>3495</v>
      </c>
      <c r="I8" s="278">
        <v>2142</v>
      </c>
      <c r="J8" s="278">
        <v>8897</v>
      </c>
      <c r="K8" s="278">
        <v>2747</v>
      </c>
      <c r="L8" s="370"/>
      <c r="M8" s="370"/>
      <c r="N8" s="29" t="s">
        <v>958</v>
      </c>
      <c r="O8" t="s">
        <v>285</v>
      </c>
      <c r="P8"/>
      <c r="Q8" s="23" t="s">
        <v>960</v>
      </c>
      <c r="R8" s="34" t="s">
        <v>962</v>
      </c>
      <c r="Z8" s="32">
        <f>Z7-4383</f>
        <v>6110</v>
      </c>
      <c r="AA8" s="32">
        <f>AA7-4951</f>
        <v>8514</v>
      </c>
      <c r="AB8" s="32">
        <f>AB7-6529</f>
        <v>7937</v>
      </c>
      <c r="AC8" s="32">
        <f>AC7-5547</f>
        <v>9382</v>
      </c>
      <c r="AD8" s="33">
        <f>AD7-5919-2466-797-580-485</f>
        <v>8573</v>
      </c>
      <c r="AE8" s="33">
        <f>+AE7-5203-2297-826-1081</f>
        <v>7153</v>
      </c>
      <c r="AF8" s="33">
        <f>+AF7-4248-1905-914-1191</f>
        <v>3963</v>
      </c>
      <c r="AG8" s="33">
        <f>+AG7-3645-1421-1045-1822</f>
        <v>577</v>
      </c>
    </row>
    <row r="9" spans="1:33">
      <c r="A9" s="27" t="s">
        <v>903</v>
      </c>
      <c r="B9" s="278">
        <v>939</v>
      </c>
      <c r="C9" s="278">
        <v>605</v>
      </c>
      <c r="D9" s="278">
        <v>1339</v>
      </c>
      <c r="E9" s="278">
        <v>1637</v>
      </c>
      <c r="F9" s="278">
        <f>527-5</f>
        <v>522</v>
      </c>
      <c r="G9" s="278">
        <f>1340-19</f>
        <v>1321</v>
      </c>
      <c r="H9" s="278">
        <f>500+59</f>
        <v>559</v>
      </c>
      <c r="I9" s="278">
        <v>226</v>
      </c>
      <c r="J9" s="278">
        <v>-24</v>
      </c>
      <c r="K9" s="278">
        <v>-60</v>
      </c>
      <c r="L9" s="278"/>
      <c r="M9" s="278"/>
      <c r="N9" s="29" t="s">
        <v>958</v>
      </c>
      <c r="O9" t="s">
        <v>963</v>
      </c>
      <c r="P9"/>
      <c r="Q9" s="23" t="s">
        <v>960</v>
      </c>
      <c r="R9" s="23" t="s">
        <v>964</v>
      </c>
      <c r="S9" s="23" t="s">
        <v>965</v>
      </c>
      <c r="T9" s="23" t="s">
        <v>966</v>
      </c>
      <c r="U9" s="23" t="s">
        <v>967</v>
      </c>
      <c r="V9" s="23" t="s">
        <v>968</v>
      </c>
      <c r="Z9" s="32">
        <f>1853+596+595+1904+6+8</f>
        <v>4962</v>
      </c>
      <c r="AA9" s="32">
        <f>2119+587+2023+11</f>
        <v>4740</v>
      </c>
      <c r="AB9" s="32">
        <f>2380+624+1619-8+16</f>
        <v>4631</v>
      </c>
      <c r="AC9" s="32">
        <f>2046+727+981+6+14</f>
        <v>3774</v>
      </c>
      <c r="AD9" s="33">
        <f>-14+41</f>
        <v>27</v>
      </c>
      <c r="AE9" s="32">
        <v>53</v>
      </c>
      <c r="AF9" s="32">
        <f>58+24</f>
        <v>82</v>
      </c>
      <c r="AG9" s="32">
        <f>12-68</f>
        <v>-56</v>
      </c>
    </row>
    <row r="10" spans="1:33">
      <c r="A10" s="27" t="s">
        <v>286</v>
      </c>
      <c r="B10" s="278">
        <v>56</v>
      </c>
      <c r="C10" s="278">
        <v>-428</v>
      </c>
      <c r="D10" s="278">
        <v>-365</v>
      </c>
      <c r="E10" s="278">
        <v>-526</v>
      </c>
      <c r="F10" s="278">
        <v>-498</v>
      </c>
      <c r="G10" s="278">
        <v>-358</v>
      </c>
      <c r="H10" s="278">
        <v>-385</v>
      </c>
      <c r="I10" s="278">
        <v>-580</v>
      </c>
      <c r="J10" s="278">
        <v>-1013</v>
      </c>
      <c r="K10" s="278">
        <v>-150</v>
      </c>
      <c r="L10" s="278"/>
      <c r="M10" s="278"/>
      <c r="N10" s="29" t="s">
        <v>958</v>
      </c>
      <c r="O10" t="s">
        <v>969</v>
      </c>
      <c r="P10"/>
      <c r="Q10" s="23" t="s">
        <v>960</v>
      </c>
      <c r="R10" s="23" t="s">
        <v>970</v>
      </c>
      <c r="Z10" s="32">
        <f>505+518</f>
        <v>1023</v>
      </c>
      <c r="AA10" s="32">
        <f>507-161</f>
        <v>346</v>
      </c>
      <c r="AB10" s="32">
        <f>484-322</f>
        <v>162</v>
      </c>
      <c r="AC10" s="32">
        <f>465+35</f>
        <v>500</v>
      </c>
      <c r="AD10" s="33">
        <f>467-130</f>
        <v>337</v>
      </c>
      <c r="AE10" s="32">
        <f>396+32</f>
        <v>428</v>
      </c>
      <c r="AF10" s="32">
        <f>343-130</f>
        <v>213</v>
      </c>
      <c r="AG10" s="32">
        <f>389-381</f>
        <v>8</v>
      </c>
    </row>
    <row r="11" spans="1:33">
      <c r="A11" s="27" t="s">
        <v>287</v>
      </c>
      <c r="B11" s="278">
        <v>-1537</v>
      </c>
      <c r="C11" s="278">
        <v>-865</v>
      </c>
      <c r="D11" s="278">
        <v>-1190</v>
      </c>
      <c r="E11" s="278">
        <v>-1224</v>
      </c>
      <c r="F11" s="278">
        <v>3</v>
      </c>
      <c r="G11" s="278">
        <v>-754</v>
      </c>
      <c r="H11" s="278">
        <v>-747</v>
      </c>
      <c r="I11" s="278">
        <v>-129</v>
      </c>
      <c r="J11" s="278">
        <v>-593</v>
      </c>
      <c r="K11" s="278">
        <v>-353</v>
      </c>
      <c r="L11" s="278"/>
      <c r="M11" s="278"/>
      <c r="N11" s="29" t="s">
        <v>958</v>
      </c>
      <c r="O11" t="s">
        <v>287</v>
      </c>
      <c r="P11"/>
      <c r="Q11" s="23" t="s">
        <v>960</v>
      </c>
      <c r="R11" s="23" t="s">
        <v>971</v>
      </c>
      <c r="Z11" s="28">
        <v>192</v>
      </c>
      <c r="AA11" s="28">
        <v>916</v>
      </c>
      <c r="AB11" s="28">
        <v>692</v>
      </c>
      <c r="AC11" s="28">
        <v>1319</v>
      </c>
      <c r="AD11" s="31">
        <f>2528</f>
        <v>2528</v>
      </c>
      <c r="AE11" s="28">
        <f>1720</f>
        <v>1720</v>
      </c>
      <c r="AF11" s="28">
        <f>968</f>
        <v>968</v>
      </c>
      <c r="AG11" s="28">
        <f>-270</f>
        <v>-270</v>
      </c>
    </row>
    <row r="12" spans="1:33">
      <c r="A12" s="27" t="s">
        <v>65</v>
      </c>
      <c r="B12" s="278">
        <v>4959</v>
      </c>
      <c r="C12" s="278">
        <v>2717</v>
      </c>
      <c r="D12" s="278">
        <v>4300</v>
      </c>
      <c r="E12" s="278">
        <v>3555</v>
      </c>
      <c r="F12" s="278">
        <v>3870</v>
      </c>
      <c r="G12" s="278">
        <v>3381</v>
      </c>
      <c r="H12" s="278">
        <v>2922</v>
      </c>
      <c r="I12" s="278">
        <v>1659</v>
      </c>
      <c r="J12" s="278">
        <v>7267</v>
      </c>
      <c r="K12" s="278">
        <v>2184</v>
      </c>
      <c r="L12" s="278"/>
      <c r="M12" s="278"/>
      <c r="N12" s="29" t="s">
        <v>958</v>
      </c>
      <c r="O12" t="s">
        <v>65</v>
      </c>
      <c r="P12"/>
      <c r="Q12" s="23" t="s">
        <v>972</v>
      </c>
      <c r="R12" s="23" t="s">
        <v>973</v>
      </c>
      <c r="Z12" s="28">
        <v>-67</v>
      </c>
      <c r="AA12" s="28">
        <v>2512</v>
      </c>
      <c r="AB12" s="28">
        <v>2452</v>
      </c>
      <c r="AC12" s="28">
        <v>3789</v>
      </c>
      <c r="AD12" s="28">
        <v>5681</v>
      </c>
      <c r="AE12" s="28">
        <f>4928+24</f>
        <v>4952</v>
      </c>
      <c r="AF12" s="28">
        <v>2700</v>
      </c>
      <c r="AG12" s="28">
        <v>895</v>
      </c>
    </row>
    <row r="13" spans="1:33">
      <c r="B13" s="371">
        <f>SUM(B8:B11)</f>
        <v>4959</v>
      </c>
      <c r="C13" s="371">
        <f t="shared" ref="C13:M13" si="1">SUM(C8:C11)</f>
        <v>2717</v>
      </c>
      <c r="D13" s="371">
        <f t="shared" si="1"/>
        <v>4300</v>
      </c>
      <c r="E13" s="371">
        <f t="shared" si="1"/>
        <v>3555</v>
      </c>
      <c r="F13" s="371">
        <f t="shared" si="1"/>
        <v>3870</v>
      </c>
      <c r="G13" s="371">
        <f t="shared" si="1"/>
        <v>3381</v>
      </c>
      <c r="H13" s="371">
        <f t="shared" si="1"/>
        <v>2922</v>
      </c>
      <c r="I13" s="371">
        <f t="shared" si="1"/>
        <v>1659</v>
      </c>
      <c r="J13" s="371">
        <f t="shared" si="1"/>
        <v>7267</v>
      </c>
      <c r="K13" s="371">
        <f t="shared" si="1"/>
        <v>2184</v>
      </c>
      <c r="L13" s="371">
        <f t="shared" si="1"/>
        <v>0</v>
      </c>
      <c r="M13" s="371">
        <f t="shared" si="1"/>
        <v>0</v>
      </c>
      <c r="N13"/>
      <c r="O13"/>
      <c r="P13"/>
      <c r="Z13" s="25">
        <f t="shared" ref="Z13:AG13" si="2">Z8-Z10-Z9-Z11</f>
        <v>-67</v>
      </c>
      <c r="AA13" s="25">
        <f t="shared" si="2"/>
        <v>2512</v>
      </c>
      <c r="AB13" s="25">
        <f t="shared" si="2"/>
        <v>2452</v>
      </c>
      <c r="AC13" s="25">
        <f t="shared" si="2"/>
        <v>3789</v>
      </c>
      <c r="AD13" s="25">
        <f t="shared" si="2"/>
        <v>5681</v>
      </c>
      <c r="AE13" s="25">
        <f t="shared" si="2"/>
        <v>4952</v>
      </c>
      <c r="AF13" s="25">
        <f t="shared" si="2"/>
        <v>2700</v>
      </c>
      <c r="AG13" s="25">
        <f t="shared" si="2"/>
        <v>895</v>
      </c>
    </row>
    <row r="14" spans="1:33">
      <c r="A14" s="51" t="s">
        <v>974</v>
      </c>
      <c r="B14" s="372">
        <f>B12-B13</f>
        <v>0</v>
      </c>
      <c r="C14" s="372">
        <f t="shared" ref="C14:M14" si="3">C12-C13</f>
        <v>0</v>
      </c>
      <c r="D14" s="372">
        <f t="shared" si="3"/>
        <v>0</v>
      </c>
      <c r="E14" s="372">
        <f t="shared" si="3"/>
        <v>0</v>
      </c>
      <c r="F14" s="372">
        <f t="shared" si="3"/>
        <v>0</v>
      </c>
      <c r="G14" s="372">
        <f t="shared" si="3"/>
        <v>0</v>
      </c>
      <c r="H14" s="372">
        <f t="shared" si="3"/>
        <v>0</v>
      </c>
      <c r="I14" s="372">
        <f t="shared" si="3"/>
        <v>0</v>
      </c>
      <c r="J14" s="372">
        <f t="shared" si="3"/>
        <v>0</v>
      </c>
      <c r="K14" s="372">
        <f t="shared" si="3"/>
        <v>0</v>
      </c>
      <c r="L14" s="372">
        <f t="shared" si="3"/>
        <v>0</v>
      </c>
      <c r="M14" s="372">
        <f t="shared" si="3"/>
        <v>0</v>
      </c>
      <c r="N14"/>
      <c r="O14"/>
      <c r="P14"/>
      <c r="Z14" s="36">
        <f t="shared" ref="Z14:AG14" si="4">Z12-Z13</f>
        <v>0</v>
      </c>
      <c r="AA14" s="36">
        <f t="shared" si="4"/>
        <v>0</v>
      </c>
      <c r="AB14" s="36">
        <f t="shared" si="4"/>
        <v>0</v>
      </c>
      <c r="AC14" s="36">
        <f t="shared" si="4"/>
        <v>0</v>
      </c>
      <c r="AD14" s="36">
        <f t="shared" si="4"/>
        <v>0</v>
      </c>
      <c r="AE14" s="36">
        <f t="shared" si="4"/>
        <v>0</v>
      </c>
      <c r="AF14" s="36">
        <f t="shared" si="4"/>
        <v>0</v>
      </c>
      <c r="AG14" s="36">
        <f t="shared" si="4"/>
        <v>0</v>
      </c>
    </row>
    <row r="15" spans="1:33">
      <c r="A15"/>
      <c r="B15" s="375"/>
      <c r="C15" s="375"/>
      <c r="D15" s="375"/>
      <c r="E15" s="375"/>
      <c r="F15" s="375"/>
      <c r="G15" s="375"/>
      <c r="H15" s="375"/>
      <c r="I15" s="375"/>
      <c r="J15" s="375"/>
      <c r="K15" s="375"/>
      <c r="L15" s="375"/>
      <c r="M15" s="375"/>
      <c r="N15"/>
      <c r="O15"/>
      <c r="P15"/>
      <c r="Z15" s="28"/>
      <c r="AA15" s="28"/>
      <c r="AB15" s="28"/>
      <c r="AC15" s="28"/>
      <c r="AD15" s="28"/>
      <c r="AE15" s="28"/>
      <c r="AF15" s="28"/>
      <c r="AG15" s="28"/>
    </row>
    <row r="16" spans="1:33">
      <c r="A16" s="27" t="s">
        <v>975</v>
      </c>
      <c r="B16" s="373">
        <v>1363</v>
      </c>
      <c r="C16" s="373">
        <v>1378</v>
      </c>
      <c r="D16" s="373">
        <v>1403</v>
      </c>
      <c r="E16" s="373">
        <v>1431</v>
      </c>
      <c r="F16" s="373">
        <v>1445</v>
      </c>
      <c r="G16" s="373">
        <v>1472</v>
      </c>
      <c r="H16" s="373">
        <v>1513</v>
      </c>
      <c r="I16" s="373">
        <v>1556</v>
      </c>
      <c r="J16" s="373">
        <v>1618</v>
      </c>
      <c r="K16" s="373">
        <v>1691</v>
      </c>
      <c r="L16" s="373"/>
      <c r="M16" s="373"/>
      <c r="N16" s="29"/>
      <c r="O16"/>
      <c r="P16"/>
      <c r="Z16" s="28"/>
      <c r="AA16" s="28"/>
      <c r="AB16" s="28"/>
      <c r="AC16" s="28"/>
      <c r="AD16" s="28"/>
      <c r="AE16" s="28"/>
      <c r="AF16" s="28"/>
      <c r="AG16" s="28"/>
    </row>
    <row r="17" spans="1:152">
      <c r="A17" s="27" t="s">
        <v>976</v>
      </c>
      <c r="B17" s="373">
        <v>1370</v>
      </c>
      <c r="C17" s="373">
        <v>1385</v>
      </c>
      <c r="D17" s="373">
        <v>1413</v>
      </c>
      <c r="E17" s="373">
        <v>1441</v>
      </c>
      <c r="F17" s="373">
        <v>1458</v>
      </c>
      <c r="G17" s="373">
        <v>1486</v>
      </c>
      <c r="H17" s="373">
        <v>1531</v>
      </c>
      <c r="I17" s="373">
        <v>1573</v>
      </c>
      <c r="J17" s="373">
        <v>1637</v>
      </c>
      <c r="K17" s="373">
        <v>1709</v>
      </c>
      <c r="L17" s="373"/>
      <c r="M17" s="373"/>
      <c r="N17" s="29"/>
      <c r="O17"/>
      <c r="P17"/>
      <c r="Z17" s="28"/>
      <c r="AA17" s="28"/>
      <c r="AB17" s="28"/>
      <c r="AC17" s="28"/>
      <c r="AD17" s="28"/>
      <c r="AE17" s="28"/>
      <c r="AF17" s="28"/>
      <c r="AG17" s="28"/>
    </row>
    <row r="18" spans="1:152" customFormat="1" ht="13.15">
      <c r="B18" s="375"/>
      <c r="C18" s="375"/>
      <c r="D18" s="375"/>
      <c r="E18" s="375"/>
      <c r="F18" s="375"/>
      <c r="G18" s="375"/>
      <c r="H18" s="375"/>
      <c r="I18" s="375"/>
      <c r="J18" s="375"/>
      <c r="K18" s="375"/>
      <c r="L18" s="375"/>
      <c r="M18" s="375"/>
    </row>
    <row r="19" spans="1:152">
      <c r="A19" s="27" t="s">
        <v>977</v>
      </c>
      <c r="B19" s="278">
        <v>-32</v>
      </c>
      <c r="C19" s="278">
        <v>-169</v>
      </c>
      <c r="D19" s="278">
        <v>-143</v>
      </c>
      <c r="E19" s="278">
        <v>73</v>
      </c>
      <c r="F19" s="278">
        <v>10</v>
      </c>
      <c r="G19" s="278">
        <v>-56</v>
      </c>
      <c r="H19" s="369">
        <v>89</v>
      </c>
      <c r="I19" s="278">
        <v>-76</v>
      </c>
      <c r="J19" s="278">
        <v>-255</v>
      </c>
      <c r="K19" s="278">
        <v>-223</v>
      </c>
      <c r="L19" s="278"/>
      <c r="M19" s="278"/>
      <c r="N19" s="29"/>
      <c r="O19"/>
      <c r="P19"/>
      <c r="Z19" s="28"/>
      <c r="AA19" s="28"/>
      <c r="AB19" s="28"/>
      <c r="AC19" s="28"/>
      <c r="AD19" s="28"/>
      <c r="AE19" s="28"/>
      <c r="AF19" s="28"/>
      <c r="AG19" s="28"/>
    </row>
    <row r="20" spans="1:152">
      <c r="A20" s="10" t="s">
        <v>978</v>
      </c>
      <c r="B20" s="278"/>
      <c r="C20" s="278">
        <v>-337</v>
      </c>
      <c r="D20" s="278">
        <v>50</v>
      </c>
      <c r="E20" s="278">
        <v>-423</v>
      </c>
      <c r="F20" s="278">
        <v>388</v>
      </c>
      <c r="G20" s="278">
        <v>-635</v>
      </c>
      <c r="H20" s="369">
        <v>1149</v>
      </c>
      <c r="I20" s="278">
        <v>-1153</v>
      </c>
      <c r="J20" s="278">
        <v>-2964</v>
      </c>
      <c r="K20" s="278"/>
      <c r="L20" s="278"/>
      <c r="M20" s="278"/>
      <c r="N20" s="29"/>
      <c r="O20"/>
      <c r="P20"/>
      <c r="Z20" s="28"/>
      <c r="AA20" s="28"/>
      <c r="AB20" s="28"/>
      <c r="AC20" s="28"/>
      <c r="AD20" s="28"/>
      <c r="AE20" s="28"/>
      <c r="AF20" s="28"/>
      <c r="AG20" s="28"/>
    </row>
    <row r="21" spans="1:152" customFormat="1" ht="13.15">
      <c r="B21" s="375"/>
      <c r="C21" s="375"/>
      <c r="D21" s="375"/>
      <c r="E21" s="375"/>
      <c r="F21" s="375"/>
      <c r="G21" s="375"/>
      <c r="H21" s="375"/>
      <c r="I21" s="375"/>
      <c r="J21" s="375"/>
      <c r="K21" s="375"/>
      <c r="L21" s="375"/>
      <c r="M21" s="375"/>
    </row>
    <row r="22" spans="1:152">
      <c r="A22" s="23" t="s">
        <v>907</v>
      </c>
      <c r="B22" s="371">
        <f>B23-C23</f>
        <v>-557</v>
      </c>
      <c r="C22" s="371">
        <f t="shared" ref="C22:J22" si="5">C23-D23</f>
        <v>-1351</v>
      </c>
      <c r="D22" s="371">
        <f>D23-E23</f>
        <v>1587</v>
      </c>
      <c r="E22" s="371">
        <f t="shared" si="5"/>
        <v>184</v>
      </c>
      <c r="F22" s="371">
        <f t="shared" si="5"/>
        <v>1250</v>
      </c>
      <c r="G22" s="371">
        <f t="shared" si="5"/>
        <v>-1199</v>
      </c>
      <c r="H22" s="371">
        <f t="shared" si="5"/>
        <v>-1356</v>
      </c>
      <c r="I22" s="371">
        <f>I23-J23</f>
        <v>-3844</v>
      </c>
      <c r="J22" s="371">
        <f t="shared" si="5"/>
        <v>54</v>
      </c>
      <c r="K22" s="371">
        <f>K23-L23</f>
        <v>-3888</v>
      </c>
      <c r="L22" s="371">
        <f>L23-M23</f>
        <v>0</v>
      </c>
      <c r="M22" s="371">
        <f>M23-N23</f>
        <v>0</v>
      </c>
      <c r="N22" s="35" t="s">
        <v>979</v>
      </c>
      <c r="O22" t="s">
        <v>980</v>
      </c>
      <c r="P22"/>
      <c r="Q22" s="23" t="s">
        <v>972</v>
      </c>
      <c r="Z22" s="28"/>
      <c r="AA22" s="28"/>
      <c r="AB22" s="28"/>
      <c r="AC22" s="28"/>
      <c r="AD22" s="31"/>
      <c r="AE22" s="28"/>
      <c r="AF22" s="28"/>
      <c r="AG22" s="28"/>
    </row>
    <row r="23" spans="1:152">
      <c r="A23" s="27" t="s">
        <v>981</v>
      </c>
      <c r="B23" s="278">
        <f t="shared" ref="B23" si="6">B27-B42-B28</f>
        <v>-9120</v>
      </c>
      <c r="C23" s="278">
        <f t="shared" ref="C23:M23" si="7">C27-C42-C28</f>
        <v>-8563</v>
      </c>
      <c r="D23" s="278">
        <f t="shared" si="7"/>
        <v>-7212</v>
      </c>
      <c r="E23" s="278">
        <f t="shared" si="7"/>
        <v>-8799</v>
      </c>
      <c r="F23" s="278">
        <f t="shared" si="7"/>
        <v>-8983</v>
      </c>
      <c r="G23" s="278">
        <f t="shared" si="7"/>
        <v>-10233</v>
      </c>
      <c r="H23" s="278">
        <f t="shared" si="7"/>
        <v>-9034</v>
      </c>
      <c r="I23" s="278">
        <f t="shared" si="7"/>
        <v>-7678</v>
      </c>
      <c r="J23" s="278">
        <f t="shared" si="7"/>
        <v>-3834</v>
      </c>
      <c r="K23" s="278">
        <f t="shared" si="7"/>
        <v>-3888</v>
      </c>
      <c r="L23" s="278">
        <f t="shared" si="7"/>
        <v>0</v>
      </c>
      <c r="M23" s="278">
        <f t="shared" si="7"/>
        <v>0</v>
      </c>
      <c r="N23" s="35"/>
      <c r="O23"/>
      <c r="P23"/>
      <c r="Z23" s="28"/>
      <c r="AA23" s="28"/>
      <c r="AB23" s="28"/>
      <c r="AC23" s="28"/>
      <c r="AD23" s="31"/>
      <c r="AE23" s="28"/>
      <c r="AF23" s="28"/>
      <c r="AG23" s="28"/>
    </row>
    <row r="24" spans="1:152">
      <c r="A24" s="7">
        <v>2625</v>
      </c>
      <c r="B24" s="376">
        <v>2625</v>
      </c>
      <c r="C24" s="376">
        <v>2625</v>
      </c>
      <c r="D24" s="376">
        <v>2625</v>
      </c>
      <c r="E24" s="376">
        <v>2625</v>
      </c>
      <c r="F24" s="376">
        <v>2625</v>
      </c>
      <c r="G24" s="376">
        <v>2625</v>
      </c>
      <c r="H24" s="376">
        <v>2625</v>
      </c>
      <c r="I24" s="376">
        <v>2625</v>
      </c>
      <c r="J24" s="376">
        <v>2625</v>
      </c>
      <c r="K24" s="376">
        <v>2625</v>
      </c>
      <c r="L24" s="376">
        <v>2625</v>
      </c>
      <c r="M24" s="376">
        <v>2625</v>
      </c>
      <c r="N24" s="7">
        <v>2625</v>
      </c>
      <c r="O24"/>
      <c r="P24"/>
      <c r="Q24" s="23" t="s">
        <v>972</v>
      </c>
      <c r="R24" s="23" t="s">
        <v>982</v>
      </c>
      <c r="T24" s="23" t="s">
        <v>983</v>
      </c>
      <c r="Z24" s="28">
        <v>1799</v>
      </c>
      <c r="AA24" s="28">
        <v>1757</v>
      </c>
      <c r="AB24" s="28">
        <v>1620</v>
      </c>
      <c r="AC24" s="28">
        <v>1111</v>
      </c>
      <c r="AD24" s="28">
        <v>1617</v>
      </c>
      <c r="AE24" s="28">
        <v>1159</v>
      </c>
      <c r="AF24" s="28">
        <v>1084</v>
      </c>
      <c r="AG24" s="28">
        <v>1029</v>
      </c>
    </row>
    <row r="25" spans="1:152">
      <c r="A25" s="51" t="s">
        <v>690</v>
      </c>
      <c r="B25" s="376">
        <v>2625</v>
      </c>
      <c r="C25" s="376">
        <v>2625</v>
      </c>
      <c r="D25" s="376">
        <v>2625</v>
      </c>
      <c r="E25" s="376">
        <v>2625</v>
      </c>
      <c r="F25" s="376">
        <v>2625</v>
      </c>
      <c r="G25" s="376">
        <v>2625</v>
      </c>
      <c r="H25" s="376">
        <v>2625</v>
      </c>
      <c r="I25" s="376">
        <v>2625</v>
      </c>
      <c r="J25" s="376">
        <v>2625</v>
      </c>
      <c r="K25" s="376">
        <v>2625</v>
      </c>
      <c r="L25" s="376">
        <v>2625</v>
      </c>
      <c r="M25" s="376">
        <v>2625</v>
      </c>
      <c r="N25" s="7">
        <v>2625</v>
      </c>
      <c r="O25"/>
      <c r="P25"/>
      <c r="Q25" s="23" t="s">
        <v>972</v>
      </c>
      <c r="R25" s="23" t="s">
        <v>984</v>
      </c>
      <c r="S25" s="23" t="s">
        <v>985</v>
      </c>
      <c r="T25" s="23" t="s">
        <v>986</v>
      </c>
      <c r="Z25" s="28">
        <v>23</v>
      </c>
      <c r="AA25" s="28">
        <f>-33+2025</f>
        <v>1992</v>
      </c>
      <c r="AB25" s="28">
        <v>3817</v>
      </c>
      <c r="AC25" s="28">
        <v>1776</v>
      </c>
      <c r="AD25" s="28">
        <v>-244</v>
      </c>
      <c r="AE25" s="28">
        <v>-312</v>
      </c>
      <c r="AF25" s="28">
        <v>-449</v>
      </c>
      <c r="AG25" s="28">
        <v>-110</v>
      </c>
    </row>
    <row r="26" spans="1:152">
      <c r="A26" s="105" t="s">
        <v>987</v>
      </c>
      <c r="B26" s="438"/>
      <c r="C26" s="438"/>
      <c r="D26" s="438"/>
      <c r="E26" s="438"/>
      <c r="F26" s="438"/>
      <c r="G26" s="438"/>
      <c r="H26" s="438"/>
      <c r="I26" s="438"/>
      <c r="J26" s="438"/>
      <c r="K26" s="438"/>
      <c r="L26" s="438"/>
      <c r="M26" s="438"/>
      <c r="N26" s="7">
        <v>1922</v>
      </c>
      <c r="O26" s="7">
        <v>2625</v>
      </c>
      <c r="P26"/>
      <c r="Z26" s="28"/>
      <c r="AA26" s="28"/>
      <c r="AB26" s="28"/>
      <c r="AC26" s="28"/>
      <c r="AD26" s="28"/>
      <c r="AE26" s="28"/>
      <c r="AF26" s="28"/>
      <c r="AG26" s="28"/>
    </row>
    <row r="27" spans="1:152">
      <c r="A27" s="10" t="s">
        <v>988</v>
      </c>
      <c r="B27" s="277">
        <v>11703</v>
      </c>
      <c r="C27" s="277">
        <v>10091</v>
      </c>
      <c r="D27" s="277">
        <v>10342</v>
      </c>
      <c r="E27" s="277">
        <v>9979</v>
      </c>
      <c r="F27" s="277">
        <v>7630</v>
      </c>
      <c r="G27" s="277">
        <v>7604</v>
      </c>
      <c r="H27" s="277">
        <v>7520</v>
      </c>
      <c r="I27" s="277">
        <v>8480</v>
      </c>
      <c r="J27" s="277">
        <v>8958</v>
      </c>
      <c r="K27" s="277">
        <v>11750</v>
      </c>
      <c r="L27" s="277"/>
      <c r="M27" s="277"/>
      <c r="N27" s="7"/>
      <c r="O27" s="7"/>
      <c r="P27"/>
      <c r="Z27" s="28"/>
      <c r="AA27" s="28"/>
      <c r="AB27" s="28"/>
      <c r="AC27" s="28"/>
      <c r="AD27" s="28"/>
      <c r="AE27" s="28"/>
      <c r="AF27" s="28"/>
      <c r="AG27" s="28"/>
    </row>
    <row r="28" spans="1:152">
      <c r="A28" s="102" t="s">
        <v>290</v>
      </c>
      <c r="B28" s="278">
        <v>1810</v>
      </c>
      <c r="C28" s="278">
        <v>1923</v>
      </c>
      <c r="D28" s="278">
        <v>3546</v>
      </c>
      <c r="E28" s="278">
        <v>3619</v>
      </c>
      <c r="F28" s="278">
        <v>1291</v>
      </c>
      <c r="G28" s="278">
        <v>1100</v>
      </c>
      <c r="H28" s="278">
        <v>761</v>
      </c>
      <c r="I28" s="278">
        <v>1741</v>
      </c>
      <c r="J28" s="278">
        <v>1870</v>
      </c>
      <c r="K28" s="278">
        <v>1631</v>
      </c>
      <c r="L28" s="278"/>
      <c r="M28" s="278"/>
      <c r="N28" s="38" t="s">
        <v>989</v>
      </c>
      <c r="O28" t="s">
        <v>290</v>
      </c>
      <c r="P28"/>
      <c r="Z28" s="37"/>
      <c r="AA28" s="37"/>
      <c r="AB28" s="37"/>
      <c r="AC28" s="37"/>
      <c r="AD28" s="37"/>
      <c r="AE28" s="36"/>
      <c r="AF28" s="36"/>
      <c r="AG28" s="36"/>
    </row>
    <row r="29" spans="1:152">
      <c r="A29" s="103" t="s">
        <v>920</v>
      </c>
      <c r="B29" s="278">
        <v>3634</v>
      </c>
      <c r="C29" s="278">
        <v>3088</v>
      </c>
      <c r="D29" s="278">
        <v>2337</v>
      </c>
      <c r="E29" s="278">
        <v>2297</v>
      </c>
      <c r="F29" s="278">
        <v>2212</v>
      </c>
      <c r="G29" s="278">
        <v>2262</v>
      </c>
      <c r="H29" s="278">
        <v>2691</v>
      </c>
      <c r="I29" s="278">
        <v>2611</v>
      </c>
      <c r="J29" s="278">
        <v>2634</v>
      </c>
      <c r="K29" s="278">
        <v>3802</v>
      </c>
      <c r="L29" s="278"/>
      <c r="M29" s="278"/>
      <c r="N29" s="38" t="s">
        <v>989</v>
      </c>
      <c r="O29" t="s">
        <v>920</v>
      </c>
      <c r="P29"/>
      <c r="Z29" s="37"/>
      <c r="AA29" s="37"/>
      <c r="AB29" s="37"/>
      <c r="AC29" s="37"/>
      <c r="AD29" s="37"/>
      <c r="AE29" s="36"/>
      <c r="AF29" s="36"/>
      <c r="AG29" s="36"/>
    </row>
    <row r="30" spans="1:152">
      <c r="A30" s="102" t="s">
        <v>292</v>
      </c>
      <c r="B30" s="278">
        <v>3615</v>
      </c>
      <c r="C30" s="278">
        <v>3381</v>
      </c>
      <c r="D30" s="278">
        <v>2708</v>
      </c>
      <c r="E30" s="278">
        <v>2647</v>
      </c>
      <c r="F30" s="278">
        <v>2546</v>
      </c>
      <c r="G30" s="278">
        <v>2592</v>
      </c>
      <c r="H30" s="278">
        <v>2557</v>
      </c>
      <c r="I30" s="278">
        <v>2469</v>
      </c>
      <c r="J30" s="278">
        <v>2609</v>
      </c>
      <c r="K30" s="278">
        <v>3480</v>
      </c>
      <c r="L30" s="278"/>
      <c r="M30" s="278"/>
      <c r="N30" s="38" t="s">
        <v>989</v>
      </c>
      <c r="O30" t="s">
        <v>292</v>
      </c>
      <c r="P30"/>
      <c r="Q30" s="23" t="s">
        <v>990</v>
      </c>
      <c r="R30" s="23" t="s">
        <v>991</v>
      </c>
      <c r="Z30" s="28">
        <v>7168</v>
      </c>
      <c r="AA30" s="28">
        <v>6460</v>
      </c>
      <c r="AB30" s="28">
        <v>7341</v>
      </c>
      <c r="AC30" s="28">
        <v>6081</v>
      </c>
      <c r="AD30" s="28">
        <v>5490</v>
      </c>
      <c r="AE30" s="28">
        <v>3057</v>
      </c>
      <c r="AF30" s="28">
        <v>3592</v>
      </c>
      <c r="AG30" s="28">
        <v>4867</v>
      </c>
    </row>
    <row r="31" spans="1:152" s="24" customFormat="1">
      <c r="A31" s="102" t="s">
        <v>992</v>
      </c>
      <c r="B31" s="278">
        <f t="shared" ref="B31" si="8">B27-SUM(B28:B30)</f>
        <v>2644</v>
      </c>
      <c r="C31" s="278">
        <f t="shared" ref="C31:M31" si="9">C27-SUM(C28:C30)</f>
        <v>1699</v>
      </c>
      <c r="D31" s="278">
        <f t="shared" si="9"/>
        <v>1751</v>
      </c>
      <c r="E31" s="278">
        <f t="shared" si="9"/>
        <v>1416</v>
      </c>
      <c r="F31" s="278">
        <f t="shared" si="9"/>
        <v>1581</v>
      </c>
      <c r="G31" s="278">
        <f t="shared" si="9"/>
        <v>1650</v>
      </c>
      <c r="H31" s="278">
        <f t="shared" si="9"/>
        <v>1511</v>
      </c>
      <c r="I31" s="278">
        <f t="shared" si="9"/>
        <v>1659</v>
      </c>
      <c r="J31" s="278">
        <f t="shared" si="9"/>
        <v>1845</v>
      </c>
      <c r="K31" s="278">
        <f t="shared" si="9"/>
        <v>2837</v>
      </c>
      <c r="L31" s="278">
        <f t="shared" si="9"/>
        <v>0</v>
      </c>
      <c r="M31" s="278">
        <f t="shared" si="9"/>
        <v>0</v>
      </c>
      <c r="N31" s="38" t="s">
        <v>989</v>
      </c>
      <c r="O31" t="s">
        <v>292</v>
      </c>
      <c r="P31"/>
      <c r="Q31" s="23" t="s">
        <v>990</v>
      </c>
      <c r="R31" s="23" t="s">
        <v>993</v>
      </c>
      <c r="S31" s="23" t="s">
        <v>994</v>
      </c>
      <c r="T31" s="23" t="s">
        <v>995</v>
      </c>
      <c r="U31" s="23"/>
      <c r="V31" s="23"/>
      <c r="W31" s="23"/>
      <c r="X31" s="23"/>
      <c r="Y31" s="23"/>
      <c r="Z31" s="32">
        <f>5981+8522+1029+13556</f>
        <v>29088</v>
      </c>
      <c r="AA31" s="32">
        <f>6695+8991+1170+13651</f>
        <v>30507</v>
      </c>
      <c r="AB31" s="32">
        <f>7737+9027+1364+14644</f>
        <v>32772</v>
      </c>
      <c r="AC31" s="32">
        <v>33499</v>
      </c>
      <c r="AD31" s="32">
        <v>33911</v>
      </c>
      <c r="AE31" s="32">
        <v>31031</v>
      </c>
      <c r="AF31" s="32">
        <v>28849</v>
      </c>
      <c r="AG31" s="32">
        <v>27162</v>
      </c>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c r="BI31" s="23"/>
      <c r="BJ31" s="23"/>
      <c r="BK31" s="23"/>
      <c r="BL31" s="23"/>
      <c r="BM31" s="23"/>
      <c r="BN31" s="23"/>
      <c r="BO31" s="23"/>
      <c r="BP31" s="23"/>
      <c r="BQ31" s="23"/>
      <c r="BR31" s="23"/>
      <c r="BS31" s="23"/>
      <c r="BT31" s="23"/>
      <c r="BU31" s="23"/>
      <c r="BV31" s="23"/>
      <c r="BW31" s="23"/>
      <c r="BX31" s="23"/>
      <c r="BY31" s="23"/>
      <c r="BZ31" s="23"/>
      <c r="CA31" s="23"/>
      <c r="CB31" s="23"/>
      <c r="CC31" s="23"/>
      <c r="CD31" s="23"/>
      <c r="CE31" s="23"/>
      <c r="CF31" s="23"/>
      <c r="CG31" s="23"/>
      <c r="CH31" s="23"/>
      <c r="CI31" s="23"/>
      <c r="CJ31" s="23"/>
      <c r="CK31" s="23"/>
      <c r="CL31" s="23"/>
      <c r="CM31" s="23"/>
      <c r="CN31" s="23"/>
      <c r="CO31" s="23"/>
      <c r="CP31" s="23"/>
      <c r="CQ31" s="23"/>
      <c r="CR31" s="23"/>
      <c r="CS31" s="23"/>
      <c r="CT31" s="23"/>
      <c r="CU31" s="23"/>
      <c r="CV31" s="23"/>
      <c r="CW31" s="23"/>
      <c r="CX31" s="23"/>
      <c r="CY31" s="23"/>
      <c r="CZ31" s="23"/>
      <c r="DA31" s="23"/>
      <c r="DB31" s="23"/>
      <c r="DC31" s="23"/>
      <c r="DD31" s="23"/>
      <c r="DE31" s="23"/>
      <c r="DF31" s="23"/>
      <c r="DG31" s="23"/>
      <c r="DH31" s="23"/>
      <c r="DI31" s="23"/>
      <c r="DJ31" s="23"/>
      <c r="DK31" s="23"/>
      <c r="DL31" s="23"/>
      <c r="DM31" s="23"/>
      <c r="DN31" s="23"/>
      <c r="DO31" s="23"/>
      <c r="DP31" s="23"/>
      <c r="DQ31" s="23"/>
      <c r="DR31" s="23"/>
      <c r="DS31" s="23"/>
      <c r="DT31" s="23"/>
      <c r="DU31" s="23"/>
      <c r="DV31" s="23"/>
      <c r="DW31" s="23"/>
      <c r="DX31" s="23"/>
      <c r="DY31" s="23"/>
      <c r="DZ31" s="23"/>
      <c r="EA31" s="23"/>
      <c r="EB31" s="23"/>
      <c r="EC31" s="23"/>
      <c r="ED31" s="23"/>
      <c r="EE31" s="23"/>
      <c r="EF31" s="23"/>
      <c r="EG31" s="23"/>
      <c r="EH31" s="23"/>
      <c r="EI31" s="23"/>
      <c r="EJ31" s="23"/>
      <c r="EK31" s="23"/>
      <c r="EL31" s="23"/>
      <c r="EM31" s="23"/>
      <c r="EN31" s="23"/>
      <c r="EO31" s="23"/>
      <c r="EP31" s="23"/>
      <c r="EQ31" s="23"/>
      <c r="ER31" s="23"/>
      <c r="ES31" s="23"/>
      <c r="ET31" s="23"/>
      <c r="EU31" s="23"/>
      <c r="EV31" s="23"/>
    </row>
    <row r="32" spans="1:152" s="24" customFormat="1">
      <c r="A32" s="10" t="s">
        <v>996</v>
      </c>
      <c r="B32" s="277">
        <f>B38-B27</f>
        <v>59688</v>
      </c>
      <c r="C32" s="277">
        <f t="shared" ref="C32:M32" si="10">C38-C27</f>
        <v>61070</v>
      </c>
      <c r="D32" s="277">
        <f t="shared" si="10"/>
        <v>56750</v>
      </c>
      <c r="E32" s="277">
        <f t="shared" si="10"/>
        <v>57831</v>
      </c>
      <c r="F32" s="277">
        <f t="shared" si="10"/>
        <v>56919</v>
      </c>
      <c r="G32" s="277">
        <f t="shared" si="10"/>
        <v>55125</v>
      </c>
      <c r="H32" s="277">
        <f t="shared" si="10"/>
        <v>55589</v>
      </c>
      <c r="I32" s="277">
        <f t="shared" si="10"/>
        <v>53058</v>
      </c>
      <c r="J32" s="277">
        <f t="shared" si="10"/>
        <v>53885</v>
      </c>
      <c r="K32" s="277">
        <f t="shared" si="10"/>
        <v>55065</v>
      </c>
      <c r="L32" s="277">
        <f t="shared" si="10"/>
        <v>0</v>
      </c>
      <c r="M32" s="277">
        <f t="shared" si="10"/>
        <v>0</v>
      </c>
      <c r="N32" s="38"/>
      <c r="O32"/>
      <c r="P32"/>
      <c r="Q32" s="23"/>
      <c r="R32" s="23"/>
      <c r="S32" s="23"/>
      <c r="T32" s="23"/>
      <c r="U32" s="23"/>
      <c r="V32" s="23"/>
      <c r="W32" s="23"/>
      <c r="X32" s="23"/>
      <c r="Y32" s="23"/>
      <c r="Z32" s="32"/>
      <c r="AA32" s="32"/>
      <c r="AB32" s="32"/>
      <c r="AC32" s="32"/>
      <c r="AD32" s="32"/>
      <c r="AE32" s="32"/>
      <c r="AF32" s="32"/>
      <c r="AG32" s="32"/>
      <c r="AH32" s="23"/>
      <c r="AI32" s="23"/>
      <c r="AJ32" s="23"/>
      <c r="AK32" s="23"/>
      <c r="AL32" s="23"/>
      <c r="AM32" s="23"/>
      <c r="AN32" s="23"/>
      <c r="AO32" s="23"/>
      <c r="AP32" s="23"/>
      <c r="AQ32" s="23"/>
      <c r="AR32" s="23"/>
      <c r="AS32" s="23"/>
      <c r="AT32" s="23"/>
      <c r="AU32" s="23"/>
      <c r="AV32" s="23"/>
      <c r="AW32" s="23"/>
      <c r="AX32" s="23"/>
      <c r="AY32" s="23"/>
      <c r="AZ32" s="23"/>
      <c r="BA32" s="23"/>
      <c r="BB32" s="23"/>
      <c r="BC32" s="23"/>
      <c r="BD32" s="23"/>
      <c r="BE32" s="23"/>
      <c r="BF32" s="23"/>
      <c r="BG32" s="23"/>
      <c r="BH32" s="23"/>
      <c r="BI32" s="23"/>
      <c r="BJ32" s="23"/>
      <c r="BK32" s="23"/>
      <c r="BL32" s="23"/>
      <c r="BM32" s="23"/>
      <c r="BN32" s="23"/>
      <c r="BO32" s="23"/>
      <c r="BP32" s="23"/>
      <c r="BQ32" s="23"/>
      <c r="BR32" s="23"/>
      <c r="BS32" s="23"/>
      <c r="BT32" s="23"/>
      <c r="BU32" s="23"/>
      <c r="BV32" s="23"/>
      <c r="BW32" s="23"/>
      <c r="BX32" s="23"/>
      <c r="BY32" s="23"/>
      <c r="BZ32" s="23"/>
      <c r="CA32" s="23"/>
      <c r="CB32" s="23"/>
      <c r="CC32" s="23"/>
      <c r="CD32" s="23"/>
      <c r="CE32" s="23"/>
      <c r="CF32" s="23"/>
      <c r="CG32" s="23"/>
      <c r="CH32" s="23"/>
      <c r="CI32" s="23"/>
      <c r="CJ32" s="23"/>
      <c r="CK32" s="23"/>
      <c r="CL32" s="23"/>
      <c r="CM32" s="23"/>
      <c r="CN32" s="23"/>
      <c r="CO32" s="23"/>
      <c r="CP32" s="23"/>
      <c r="CQ32" s="23"/>
      <c r="CR32" s="23"/>
      <c r="CS32" s="23"/>
      <c r="CT32" s="23"/>
      <c r="CU32" s="23"/>
      <c r="CV32" s="23"/>
      <c r="CW32" s="23"/>
      <c r="CX32" s="23"/>
      <c r="CY32" s="23"/>
      <c r="CZ32" s="23"/>
      <c r="DA32" s="23"/>
      <c r="DB32" s="23"/>
      <c r="DC32" s="23"/>
      <c r="DD32" s="23"/>
      <c r="DE32" s="23"/>
      <c r="DF32" s="23"/>
      <c r="DG32" s="23"/>
      <c r="DH32" s="23"/>
      <c r="DI32" s="23"/>
      <c r="DJ32" s="23"/>
      <c r="DK32" s="23"/>
      <c r="DL32" s="23"/>
      <c r="DM32" s="23"/>
      <c r="DN32" s="23"/>
      <c r="DO32" s="23"/>
      <c r="DP32" s="23"/>
      <c r="DQ32" s="23"/>
      <c r="DR32" s="23"/>
      <c r="DS32" s="23"/>
      <c r="DT32" s="23"/>
      <c r="DU32" s="23"/>
      <c r="DV32" s="23"/>
      <c r="DW32" s="23"/>
      <c r="DX32" s="23"/>
      <c r="DY32" s="23"/>
      <c r="DZ32" s="23"/>
      <c r="EA32" s="23"/>
      <c r="EB32" s="23"/>
      <c r="EC32" s="23"/>
      <c r="ED32" s="23"/>
      <c r="EE32" s="23"/>
      <c r="EF32" s="23"/>
      <c r="EG32" s="23"/>
      <c r="EH32" s="23"/>
      <c r="EI32" s="23"/>
      <c r="EJ32" s="23"/>
      <c r="EK32" s="23"/>
      <c r="EL32" s="23"/>
      <c r="EM32" s="23"/>
      <c r="EN32" s="23"/>
      <c r="EO32" s="23"/>
      <c r="EP32" s="23"/>
      <c r="EQ32" s="23"/>
      <c r="ER32" s="23"/>
      <c r="ES32" s="23"/>
      <c r="ET32" s="23"/>
      <c r="EU32" s="23"/>
      <c r="EV32" s="23"/>
    </row>
    <row r="33" spans="1:33">
      <c r="A33" s="104" t="s">
        <v>921</v>
      </c>
      <c r="B33" s="278">
        <v>10377</v>
      </c>
      <c r="C33" s="278">
        <v>9680</v>
      </c>
      <c r="D33" s="278">
        <v>9271</v>
      </c>
      <c r="E33" s="278">
        <v>9664</v>
      </c>
      <c r="F33" s="278">
        <v>9301</v>
      </c>
      <c r="G33" s="278">
        <v>8482</v>
      </c>
      <c r="H33" s="278">
        <v>8677</v>
      </c>
      <c r="I33" s="278">
        <v>8229</v>
      </c>
      <c r="J33" s="278">
        <v>8362</v>
      </c>
      <c r="K33" s="278">
        <v>9827</v>
      </c>
      <c r="L33" s="278"/>
      <c r="M33" s="278"/>
      <c r="N33" s="38"/>
      <c r="O33"/>
      <c r="P33"/>
      <c r="Q33" s="23" t="s">
        <v>990</v>
      </c>
      <c r="R33" s="23" t="s">
        <v>997</v>
      </c>
      <c r="Z33" s="28">
        <v>8614</v>
      </c>
      <c r="AA33" s="28">
        <v>9700</v>
      </c>
      <c r="AB33" s="28">
        <v>12205</v>
      </c>
      <c r="AC33" s="28">
        <v>12625</v>
      </c>
      <c r="AD33" s="28">
        <v>15547</v>
      </c>
      <c r="AE33" s="28">
        <v>14544</v>
      </c>
      <c r="AF33" s="28">
        <v>9587</v>
      </c>
      <c r="AG33" s="28">
        <v>6360</v>
      </c>
    </row>
    <row r="34" spans="1:33">
      <c r="A34" s="104" t="s">
        <v>998</v>
      </c>
      <c r="B34" s="278">
        <v>702</v>
      </c>
      <c r="C34" s="278">
        <v>680</v>
      </c>
      <c r="D34" s="278">
        <v>633</v>
      </c>
      <c r="E34" s="278">
        <v>660</v>
      </c>
      <c r="F34" s="278">
        <v>581</v>
      </c>
      <c r="G34" s="278">
        <v>780</v>
      </c>
      <c r="H34" s="278">
        <v>920</v>
      </c>
      <c r="I34" s="278">
        <v>921</v>
      </c>
      <c r="J34" s="278">
        <v>994</v>
      </c>
      <c r="K34" s="278">
        <v>1080</v>
      </c>
      <c r="L34" s="278"/>
      <c r="M34" s="278"/>
      <c r="N34" s="38"/>
      <c r="O34"/>
      <c r="P34"/>
      <c r="Z34" s="28"/>
      <c r="AA34" s="28"/>
      <c r="AB34" s="28"/>
      <c r="AC34" s="28"/>
      <c r="AD34" s="28"/>
      <c r="AE34" s="28"/>
      <c r="AF34" s="28"/>
      <c r="AG34" s="28"/>
    </row>
    <row r="35" spans="1:33">
      <c r="A35" s="104" t="s">
        <v>999</v>
      </c>
      <c r="B35" s="278">
        <v>3242</v>
      </c>
      <c r="C35" s="278">
        <v>4879</v>
      </c>
      <c r="D35" s="278">
        <v>5289</v>
      </c>
      <c r="E35" s="278">
        <v>6036</v>
      </c>
      <c r="F35" s="278">
        <v>7212</v>
      </c>
      <c r="G35" s="278">
        <v>7123</v>
      </c>
      <c r="H35" s="278">
        <v>6345</v>
      </c>
      <c r="I35" s="278">
        <v>5585</v>
      </c>
      <c r="J35" s="278">
        <v>5387</v>
      </c>
      <c r="K35" s="278" t="s">
        <v>717</v>
      </c>
      <c r="L35" s="278"/>
      <c r="M35" s="278"/>
      <c r="N35" s="38"/>
      <c r="O35"/>
      <c r="P35"/>
      <c r="Z35" s="28"/>
      <c r="AA35" s="28"/>
      <c r="AB35" s="28"/>
      <c r="AC35" s="28"/>
      <c r="AD35" s="28"/>
      <c r="AE35" s="28"/>
      <c r="AF35" s="28"/>
      <c r="AG35" s="28"/>
    </row>
    <row r="36" spans="1:33">
      <c r="A36" s="104" t="s">
        <v>1000</v>
      </c>
      <c r="B36" s="278">
        <f>B32-SUM(B33:B35)</f>
        <v>45367</v>
      </c>
      <c r="C36" s="278">
        <f t="shared" ref="C36" si="11">C32-SUM(C33:C35)</f>
        <v>45831</v>
      </c>
      <c r="D36" s="278">
        <f t="shared" ref="D36" si="12">D32-SUM(D33:D35)</f>
        <v>41557</v>
      </c>
      <c r="E36" s="278">
        <f>E32-SUM(E33:E35)</f>
        <v>41471</v>
      </c>
      <c r="F36" s="278">
        <f t="shared" ref="F36" si="13">F32-SUM(F33:F35)</f>
        <v>39825</v>
      </c>
      <c r="G36" s="278">
        <f t="shared" ref="G36" si="14">G32-SUM(G33:G35)</f>
        <v>38740</v>
      </c>
      <c r="H36" s="278">
        <f t="shared" ref="H36" si="15">H32-SUM(H33:H35)</f>
        <v>39647</v>
      </c>
      <c r="I36" s="278">
        <f t="shared" ref="I36" si="16">I32-SUM(I33:I35)</f>
        <v>38323</v>
      </c>
      <c r="J36" s="278">
        <f t="shared" ref="J36" si="17">J32-SUM(J33:J35)</f>
        <v>39142</v>
      </c>
      <c r="K36" s="278">
        <f t="shared" ref="K36" si="18">K32-SUM(K33:K35)</f>
        <v>44158</v>
      </c>
      <c r="L36" s="278">
        <f t="shared" ref="L36" si="19">L32-SUM(L33:L35)</f>
        <v>0</v>
      </c>
      <c r="M36" s="278">
        <f t="shared" ref="M36" si="20">M32-SUM(M33:M35)</f>
        <v>0</v>
      </c>
      <c r="N36" s="38" t="s">
        <v>989</v>
      </c>
      <c r="O36" t="s">
        <v>921</v>
      </c>
      <c r="P36"/>
      <c r="Z36" s="28"/>
      <c r="AA36" s="28"/>
      <c r="AB36" s="28"/>
      <c r="AC36" s="28"/>
      <c r="AD36" s="28"/>
      <c r="AE36" s="28"/>
      <c r="AF36" s="28"/>
      <c r="AG36" s="28"/>
    </row>
    <row r="37" spans="1:33">
      <c r="A37" s="23" t="s">
        <v>922</v>
      </c>
      <c r="B37" s="371">
        <f>B31+B36</f>
        <v>48011</v>
      </c>
      <c r="C37" s="371">
        <f>C31+C36</f>
        <v>47530</v>
      </c>
      <c r="D37" s="371">
        <f t="shared" ref="D37:M37" si="21">D31+D36</f>
        <v>43308</v>
      </c>
      <c r="E37" s="371">
        <f t="shared" si="21"/>
        <v>42887</v>
      </c>
      <c r="F37" s="371">
        <f t="shared" si="21"/>
        <v>41406</v>
      </c>
      <c r="G37" s="371">
        <f t="shared" si="21"/>
        <v>40390</v>
      </c>
      <c r="H37" s="371">
        <f t="shared" si="21"/>
        <v>41158</v>
      </c>
      <c r="I37" s="371">
        <f t="shared" si="21"/>
        <v>39982</v>
      </c>
      <c r="J37" s="371">
        <f t="shared" si="21"/>
        <v>40987</v>
      </c>
      <c r="K37" s="371">
        <f t="shared" si="21"/>
        <v>46995</v>
      </c>
      <c r="L37" s="371">
        <f t="shared" si="21"/>
        <v>0</v>
      </c>
      <c r="M37" s="371">
        <f t="shared" si="21"/>
        <v>0</v>
      </c>
      <c r="N37" s="38" t="s">
        <v>989</v>
      </c>
      <c r="O37"/>
      <c r="P37"/>
      <c r="Z37" s="28"/>
      <c r="AA37" s="28"/>
      <c r="AB37" s="28"/>
      <c r="AC37" s="28"/>
      <c r="AD37" s="28"/>
      <c r="AE37" s="28"/>
      <c r="AF37" s="28"/>
      <c r="AG37" s="28"/>
    </row>
    <row r="38" spans="1:33">
      <c r="A38" s="10" t="s">
        <v>38</v>
      </c>
      <c r="B38" s="277">
        <v>71391</v>
      </c>
      <c r="C38" s="277">
        <v>71161</v>
      </c>
      <c r="D38" s="277">
        <v>67092</v>
      </c>
      <c r="E38" s="277">
        <v>67810</v>
      </c>
      <c r="F38" s="277">
        <v>64549</v>
      </c>
      <c r="G38" s="277">
        <v>62729</v>
      </c>
      <c r="H38" s="277">
        <v>63109</v>
      </c>
      <c r="I38" s="277">
        <v>61538</v>
      </c>
      <c r="J38" s="277">
        <v>62843</v>
      </c>
      <c r="K38" s="277">
        <v>66815</v>
      </c>
      <c r="L38" s="277"/>
      <c r="M38" s="277"/>
      <c r="N38" s="38" t="s">
        <v>989</v>
      </c>
      <c r="O38" t="s">
        <v>38</v>
      </c>
      <c r="P38"/>
      <c r="Q38" s="23" t="s">
        <v>990</v>
      </c>
      <c r="R38" s="23" t="s">
        <v>1001</v>
      </c>
      <c r="Z38" s="28">
        <v>15322</v>
      </c>
      <c r="AA38" s="28">
        <v>16090</v>
      </c>
      <c r="AB38" s="28">
        <f>16577</f>
        <v>16577</v>
      </c>
      <c r="AC38" s="28">
        <v>17075</v>
      </c>
      <c r="AD38" s="28">
        <v>16461</v>
      </c>
      <c r="AE38" s="28">
        <v>14395</v>
      </c>
      <c r="AF38" s="28">
        <v>12539</v>
      </c>
      <c r="AG38" s="28">
        <v>12386</v>
      </c>
    </row>
    <row r="39" spans="1:33">
      <c r="B39" s="277"/>
      <c r="C39" s="277"/>
      <c r="D39" s="277"/>
      <c r="E39" s="277"/>
      <c r="F39" s="277"/>
      <c r="G39" s="277"/>
      <c r="H39" s="277"/>
      <c r="I39" s="277"/>
      <c r="J39" s="277"/>
      <c r="K39" s="277"/>
      <c r="L39" s="371"/>
      <c r="M39" s="371"/>
      <c r="N39" s="38" t="s">
        <v>989</v>
      </c>
      <c r="O39"/>
      <c r="P39"/>
      <c r="Z39" s="25">
        <f t="shared" ref="Z39:AG39" si="22">Z40-SUM(Z30:Z38)</f>
        <v>14512</v>
      </c>
      <c r="AA39" s="25">
        <f t="shared" si="22"/>
        <v>15585</v>
      </c>
      <c r="AB39" s="25">
        <f t="shared" si="22"/>
        <v>15786</v>
      </c>
      <c r="AC39" s="25">
        <f t="shared" si="22"/>
        <v>15616</v>
      </c>
      <c r="AD39" s="25">
        <f t="shared" si="22"/>
        <v>17947</v>
      </c>
      <c r="AE39" s="25">
        <f t="shared" si="22"/>
        <v>18419</v>
      </c>
      <c r="AF39" s="25">
        <f t="shared" si="22"/>
        <v>9453</v>
      </c>
      <c r="AG39" s="25">
        <f t="shared" si="22"/>
        <v>9263</v>
      </c>
    </row>
    <row r="40" spans="1:33">
      <c r="B40" s="371"/>
      <c r="C40" s="371"/>
      <c r="D40" s="371"/>
      <c r="E40" s="371"/>
      <c r="F40" s="371"/>
      <c r="G40" s="371"/>
      <c r="H40" s="371"/>
      <c r="I40" s="371"/>
      <c r="J40" s="371"/>
      <c r="K40" s="371"/>
      <c r="L40" s="371"/>
      <c r="M40" s="371"/>
      <c r="N40" s="38" t="s">
        <v>989</v>
      </c>
      <c r="O40"/>
      <c r="P40"/>
      <c r="Q40" s="23" t="s">
        <v>990</v>
      </c>
      <c r="R40" s="23" t="s">
        <v>1002</v>
      </c>
      <c r="Z40" s="39">
        <v>74704</v>
      </c>
      <c r="AA40" s="39">
        <v>78342</v>
      </c>
      <c r="AB40" s="39">
        <v>84681</v>
      </c>
      <c r="AC40" s="39">
        <v>84896</v>
      </c>
      <c r="AD40" s="39">
        <v>89356</v>
      </c>
      <c r="AE40" s="39">
        <v>81446</v>
      </c>
      <c r="AF40" s="39">
        <v>64020</v>
      </c>
      <c r="AG40" s="39">
        <v>60038</v>
      </c>
    </row>
    <row r="41" spans="1:33">
      <c r="A41" s="105" t="s">
        <v>1003</v>
      </c>
      <c r="B41" s="277"/>
      <c r="C41" s="277"/>
      <c r="D41" s="277"/>
      <c r="E41" s="277"/>
      <c r="F41" s="277"/>
      <c r="G41" s="277"/>
      <c r="H41" s="277"/>
      <c r="I41" s="277"/>
      <c r="J41" s="277"/>
      <c r="K41" s="277"/>
      <c r="L41" s="277"/>
      <c r="M41" s="277"/>
      <c r="N41" s="38" t="s">
        <v>989</v>
      </c>
      <c r="O41"/>
      <c r="P41"/>
      <c r="Z41" s="30"/>
      <c r="AA41" s="30"/>
      <c r="AB41" s="30"/>
      <c r="AC41" s="30"/>
      <c r="AD41" s="30"/>
      <c r="AE41" s="30"/>
      <c r="AF41" s="30"/>
      <c r="AG41" s="30"/>
    </row>
    <row r="42" spans="1:33">
      <c r="A42" s="10" t="s">
        <v>296</v>
      </c>
      <c r="B42" s="277">
        <v>19013</v>
      </c>
      <c r="C42" s="277">
        <v>16731</v>
      </c>
      <c r="D42" s="277">
        <v>14008</v>
      </c>
      <c r="E42" s="277">
        <v>15159</v>
      </c>
      <c r="F42" s="277">
        <v>15322</v>
      </c>
      <c r="G42" s="277">
        <v>16737</v>
      </c>
      <c r="H42" s="277">
        <v>15793</v>
      </c>
      <c r="I42" s="277">
        <v>14417</v>
      </c>
      <c r="J42" s="277">
        <v>10922</v>
      </c>
      <c r="K42" s="277">
        <v>14007</v>
      </c>
      <c r="L42" s="277"/>
      <c r="M42" s="277"/>
      <c r="N42" s="38" t="s">
        <v>989</v>
      </c>
      <c r="O42" t="s">
        <v>296</v>
      </c>
      <c r="P42"/>
      <c r="Z42" s="30"/>
      <c r="AA42" s="30"/>
      <c r="AB42" s="30"/>
      <c r="AC42" s="30"/>
      <c r="AD42" s="30"/>
      <c r="AE42" s="30"/>
      <c r="AF42" s="30"/>
      <c r="AG42" s="30"/>
    </row>
    <row r="43" spans="1:33">
      <c r="A43" s="102" t="s">
        <v>1004</v>
      </c>
      <c r="B43" s="278">
        <v>8321</v>
      </c>
      <c r="C43" s="278">
        <v>7562</v>
      </c>
      <c r="D43" s="278">
        <v>6730</v>
      </c>
      <c r="E43" s="278">
        <v>6209</v>
      </c>
      <c r="F43" s="278">
        <v>5853</v>
      </c>
      <c r="G43" s="278">
        <v>5794</v>
      </c>
      <c r="H43" s="278">
        <v>5705</v>
      </c>
      <c r="I43" s="278">
        <v>5318</v>
      </c>
      <c r="J43" s="278">
        <v>4890</v>
      </c>
      <c r="K43" s="278">
        <v>5299</v>
      </c>
      <c r="L43" s="278"/>
      <c r="M43" s="278"/>
      <c r="N43" s="38"/>
      <c r="O43"/>
      <c r="P43"/>
      <c r="Z43" s="37"/>
      <c r="AA43" s="37"/>
      <c r="AB43" s="37"/>
      <c r="AC43" s="37"/>
      <c r="AD43" s="37"/>
      <c r="AE43" s="36"/>
      <c r="AF43" s="36"/>
      <c r="AG43" s="36"/>
    </row>
    <row r="44" spans="1:33" s="10" customFormat="1">
      <c r="A44" s="27" t="s">
        <v>928</v>
      </c>
      <c r="B44" s="278">
        <v>420</v>
      </c>
      <c r="C44" s="278">
        <v>2299</v>
      </c>
      <c r="D44" s="278">
        <v>216</v>
      </c>
      <c r="E44" s="278">
        <v>29</v>
      </c>
      <c r="F44" s="278">
        <v>2638</v>
      </c>
      <c r="G44" s="278">
        <v>3192</v>
      </c>
      <c r="H44" s="278">
        <v>3517</v>
      </c>
      <c r="I44" s="278">
        <v>2531</v>
      </c>
      <c r="J44" s="278">
        <v>236</v>
      </c>
      <c r="K44" s="278">
        <v>1305</v>
      </c>
      <c r="L44" s="278"/>
      <c r="M44" s="278"/>
      <c r="N44" s="38" t="s">
        <v>989</v>
      </c>
      <c r="O44" t="s">
        <v>1005</v>
      </c>
      <c r="P44"/>
      <c r="Q44" s="23" t="s">
        <v>990</v>
      </c>
      <c r="R44" s="10" t="s">
        <v>1006</v>
      </c>
      <c r="Z44" s="39">
        <v>26132</v>
      </c>
      <c r="AA44" s="39">
        <v>26242</v>
      </c>
      <c r="AB44" s="39">
        <v>27877</v>
      </c>
      <c r="AC44" s="39">
        <v>27297</v>
      </c>
      <c r="AD44" s="39">
        <v>29415</v>
      </c>
      <c r="AE44" s="39">
        <f>93+3895+8161+3386+2410+2691+298+1967+558+5102</f>
        <v>28561</v>
      </c>
      <c r="AF44" s="39">
        <f>204+3852+5856+2880+1670+1831+281+1521+495+3430</f>
        <v>22020</v>
      </c>
      <c r="AG44" s="39">
        <f>433+3650+2993+3351+797+1217+262+888+302+5399</f>
        <v>19292</v>
      </c>
    </row>
    <row r="45" spans="1:33" s="10" customFormat="1">
      <c r="A45" s="27" t="s">
        <v>929</v>
      </c>
      <c r="B45" s="278">
        <v>2101</v>
      </c>
      <c r="C45" s="278">
        <v>383</v>
      </c>
      <c r="D45" s="278">
        <v>1746</v>
      </c>
      <c r="E45" s="278">
        <v>2741</v>
      </c>
      <c r="F45" s="278">
        <v>1613</v>
      </c>
      <c r="G45" s="278">
        <v>2648</v>
      </c>
      <c r="H45" s="278">
        <v>1163</v>
      </c>
      <c r="I45" s="278">
        <v>1451</v>
      </c>
      <c r="J45" s="278">
        <v>605</v>
      </c>
      <c r="K45" s="278">
        <v>1530</v>
      </c>
      <c r="L45" s="278"/>
      <c r="M45" s="278"/>
      <c r="N45" s="38"/>
      <c r="O45"/>
      <c r="P45"/>
      <c r="Q45" s="23"/>
      <c r="Z45" s="39"/>
      <c r="AA45" s="39"/>
      <c r="AB45" s="39"/>
      <c r="AC45" s="39"/>
      <c r="AD45" s="39"/>
      <c r="AE45" s="39"/>
      <c r="AF45" s="39"/>
      <c r="AG45" s="39"/>
    </row>
    <row r="46" spans="1:33">
      <c r="A46" s="102" t="s">
        <v>930</v>
      </c>
      <c r="B46" s="278">
        <f t="shared" ref="B46" si="23">B42-SUM(B43:B45)</f>
        <v>8171</v>
      </c>
      <c r="C46" s="278">
        <f t="shared" ref="C46:M46" si="24">C42-SUM(C43:C45)</f>
        <v>6487</v>
      </c>
      <c r="D46" s="278">
        <f t="shared" si="24"/>
        <v>5316</v>
      </c>
      <c r="E46" s="278">
        <f t="shared" si="24"/>
        <v>6180</v>
      </c>
      <c r="F46" s="278">
        <f>F42-SUM(F43:F45)</f>
        <v>5218</v>
      </c>
      <c r="G46" s="278">
        <f t="shared" si="24"/>
        <v>5103</v>
      </c>
      <c r="H46" s="278">
        <f t="shared" si="24"/>
        <v>5408</v>
      </c>
      <c r="I46" s="278">
        <f t="shared" si="24"/>
        <v>5117</v>
      </c>
      <c r="J46" s="278">
        <f t="shared" si="24"/>
        <v>5191</v>
      </c>
      <c r="K46" s="278">
        <f t="shared" si="24"/>
        <v>5873</v>
      </c>
      <c r="L46" s="278">
        <f t="shared" si="24"/>
        <v>0</v>
      </c>
      <c r="M46" s="278">
        <f t="shared" si="24"/>
        <v>0</v>
      </c>
      <c r="N46" s="38" t="s">
        <v>989</v>
      </c>
      <c r="O46"/>
      <c r="P46"/>
      <c r="R46" s="23" t="s">
        <v>1007</v>
      </c>
      <c r="Z46" s="32">
        <v>7303</v>
      </c>
      <c r="AA46" s="32">
        <v>6967</v>
      </c>
      <c r="AB46" s="32">
        <v>4708</v>
      </c>
      <c r="AC46" s="32">
        <v>3679</v>
      </c>
      <c r="AD46" s="32">
        <v>5287</v>
      </c>
      <c r="AE46" s="32">
        <v>5660</v>
      </c>
      <c r="AF46" s="32">
        <v>3925</v>
      </c>
      <c r="AG46" s="32">
        <v>5701</v>
      </c>
    </row>
    <row r="47" spans="1:33">
      <c r="A47" s="10" t="s">
        <v>931</v>
      </c>
      <c r="B47" s="277">
        <f t="shared" ref="B47:M47" si="25">B51-B42</f>
        <v>24046</v>
      </c>
      <c r="C47" s="277">
        <f t="shared" si="25"/>
        <v>27547</v>
      </c>
      <c r="D47" s="277">
        <f t="shared" si="25"/>
        <v>24815</v>
      </c>
      <c r="E47" s="277">
        <f t="shared" si="25"/>
        <v>25073</v>
      </c>
      <c r="F47" s="277">
        <f t="shared" si="25"/>
        <v>21952</v>
      </c>
      <c r="G47" s="277">
        <f t="shared" si="25"/>
        <v>20355</v>
      </c>
      <c r="H47" s="277">
        <f t="shared" si="25"/>
        <v>21205</v>
      </c>
      <c r="I47" s="277">
        <f t="shared" si="25"/>
        <v>21960</v>
      </c>
      <c r="J47" s="277">
        <f t="shared" si="25"/>
        <v>23909</v>
      </c>
      <c r="K47" s="277">
        <f t="shared" si="25"/>
        <v>25058</v>
      </c>
      <c r="L47" s="277">
        <f t="shared" si="25"/>
        <v>0</v>
      </c>
      <c r="M47" s="277">
        <f t="shared" si="25"/>
        <v>0</v>
      </c>
      <c r="N47" s="38" t="s">
        <v>989</v>
      </c>
      <c r="O47" t="s">
        <v>1008</v>
      </c>
      <c r="P47"/>
      <c r="Z47" s="32"/>
      <c r="AA47" s="32"/>
      <c r="AB47" s="32"/>
      <c r="AC47" s="32"/>
      <c r="AD47" s="32"/>
      <c r="AE47" s="32"/>
      <c r="AF47" s="32"/>
      <c r="AG47" s="32"/>
    </row>
    <row r="48" spans="1:33">
      <c r="A48" s="27" t="s">
        <v>932</v>
      </c>
      <c r="B48" s="278">
        <v>16673</v>
      </c>
      <c r="C48" s="278">
        <v>20053</v>
      </c>
      <c r="D48" s="278">
        <v>17393</v>
      </c>
      <c r="E48" s="278">
        <v>17094</v>
      </c>
      <c r="F48" s="278">
        <v>14207</v>
      </c>
      <c r="G48" s="278">
        <v>12532</v>
      </c>
      <c r="H48" s="278">
        <v>12970</v>
      </c>
      <c r="I48" s="278">
        <v>13212</v>
      </c>
      <c r="J48" s="278">
        <v>14557</v>
      </c>
      <c r="K48" s="278">
        <v>13858</v>
      </c>
      <c r="L48" s="278"/>
      <c r="M48" s="278"/>
      <c r="N48" s="38" t="s">
        <v>989</v>
      </c>
      <c r="O48" t="s">
        <v>642</v>
      </c>
      <c r="P48"/>
      <c r="Z48" s="25">
        <f t="shared" ref="Z48:AG48" si="26">Z44-Z46</f>
        <v>18829</v>
      </c>
      <c r="AA48" s="25">
        <f t="shared" si="26"/>
        <v>19275</v>
      </c>
      <c r="AB48" s="25">
        <f t="shared" si="26"/>
        <v>23169</v>
      </c>
      <c r="AC48" s="25">
        <f t="shared" si="26"/>
        <v>23618</v>
      </c>
      <c r="AD48" s="25">
        <f t="shared" si="26"/>
        <v>24128</v>
      </c>
      <c r="AE48" s="25">
        <f t="shared" si="26"/>
        <v>22901</v>
      </c>
      <c r="AF48" s="25">
        <f t="shared" si="26"/>
        <v>18095</v>
      </c>
      <c r="AG48" s="25">
        <f t="shared" si="26"/>
        <v>13591</v>
      </c>
    </row>
    <row r="49" spans="1:33" s="10" customFormat="1">
      <c r="A49" s="27" t="s">
        <v>933</v>
      </c>
      <c r="B49" s="278">
        <v>214</v>
      </c>
      <c r="C49" s="278">
        <v>198</v>
      </c>
      <c r="D49" s="278">
        <v>157</v>
      </c>
      <c r="E49" s="278">
        <v>182</v>
      </c>
      <c r="F49" s="278">
        <v>91</v>
      </c>
      <c r="G49" s="278">
        <v>0</v>
      </c>
      <c r="H49" s="278">
        <v>2</v>
      </c>
      <c r="I49" s="278">
        <v>5</v>
      </c>
      <c r="J49" s="278">
        <v>0</v>
      </c>
      <c r="K49" s="278">
        <v>7</v>
      </c>
      <c r="L49" s="278"/>
      <c r="M49" s="278"/>
      <c r="N49" s="38"/>
      <c r="O49"/>
      <c r="P49"/>
      <c r="Q49" s="23" t="s">
        <v>990</v>
      </c>
      <c r="R49" s="10" t="s">
        <v>1009</v>
      </c>
      <c r="Z49" s="39">
        <f>61491-Z44</f>
        <v>35359</v>
      </c>
      <c r="AA49" s="39">
        <f>63457-AA44</f>
        <v>37215</v>
      </c>
      <c r="AB49" s="39">
        <f>67855-AB44</f>
        <v>39978</v>
      </c>
      <c r="AC49" s="39">
        <v>36721</v>
      </c>
      <c r="AD49" s="39">
        <v>41973</v>
      </c>
      <c r="AE49" s="39">
        <f>8415+16529+10956+3583</f>
        <v>39483</v>
      </c>
      <c r="AF49" s="39">
        <f>4505+15932+7584+2654</f>
        <v>30675</v>
      </c>
      <c r="AG49" s="39">
        <f>5652+16195+7420+2179</f>
        <v>31446</v>
      </c>
    </row>
    <row r="50" spans="1:33">
      <c r="A50" s="102" t="s">
        <v>934</v>
      </c>
      <c r="B50" s="278">
        <f t="shared" ref="B50" si="27">B47-SUM(B48:B49)</f>
        <v>7159</v>
      </c>
      <c r="C50" s="278">
        <f t="shared" ref="C50:M50" si="28">C47-SUM(C48:C49)</f>
        <v>7296</v>
      </c>
      <c r="D50" s="278">
        <f t="shared" si="28"/>
        <v>7265</v>
      </c>
      <c r="E50" s="278">
        <f t="shared" si="28"/>
        <v>7797</v>
      </c>
      <c r="F50" s="278">
        <f t="shared" si="28"/>
        <v>7654</v>
      </c>
      <c r="G50" s="278">
        <f t="shared" si="28"/>
        <v>7823</v>
      </c>
      <c r="H50" s="278">
        <f t="shared" si="28"/>
        <v>8233</v>
      </c>
      <c r="I50" s="278">
        <f t="shared" si="28"/>
        <v>8743</v>
      </c>
      <c r="J50" s="278">
        <f t="shared" si="28"/>
        <v>9352</v>
      </c>
      <c r="K50" s="278">
        <f>K47-SUM(K48:K49)</f>
        <v>11193</v>
      </c>
      <c r="L50" s="278">
        <f t="shared" si="28"/>
        <v>0</v>
      </c>
      <c r="M50" s="278">
        <f t="shared" si="28"/>
        <v>0</v>
      </c>
      <c r="N50" s="38" t="s">
        <v>989</v>
      </c>
      <c r="O50" t="s">
        <v>1010</v>
      </c>
      <c r="P50"/>
      <c r="R50" s="23" t="s">
        <v>1011</v>
      </c>
      <c r="Z50" s="28">
        <v>22818</v>
      </c>
      <c r="AA50" s="28">
        <v>25169</v>
      </c>
      <c r="AB50" s="28">
        <v>27784</v>
      </c>
      <c r="AC50" s="28">
        <v>26719</v>
      </c>
      <c r="AD50" s="28">
        <v>27752</v>
      </c>
      <c r="AE50" s="28">
        <v>24944</v>
      </c>
      <c r="AF50" s="28">
        <v>20437</v>
      </c>
      <c r="AG50" s="28">
        <v>21847</v>
      </c>
    </row>
    <row r="51" spans="1:33">
      <c r="A51" s="10" t="s">
        <v>45</v>
      </c>
      <c r="B51" s="277">
        <v>43059</v>
      </c>
      <c r="C51" s="277">
        <v>44278</v>
      </c>
      <c r="D51" s="277">
        <v>38823</v>
      </c>
      <c r="E51" s="277">
        <v>40232</v>
      </c>
      <c r="F51" s="277">
        <v>37274</v>
      </c>
      <c r="G51" s="277">
        <v>37092</v>
      </c>
      <c r="H51" s="277">
        <v>36998</v>
      </c>
      <c r="I51" s="277">
        <v>36377</v>
      </c>
      <c r="J51" s="277">
        <v>34831</v>
      </c>
      <c r="K51" s="277">
        <v>39065</v>
      </c>
      <c r="L51" s="277"/>
      <c r="M51" s="277"/>
      <c r="N51" s="38" t="s">
        <v>989</v>
      </c>
      <c r="O51" t="s">
        <v>45</v>
      </c>
      <c r="P51"/>
      <c r="Z51" s="28"/>
      <c r="AA51" s="28"/>
      <c r="AB51" s="28"/>
      <c r="AC51" s="28"/>
      <c r="AD51" s="28"/>
      <c r="AE51" s="28"/>
      <c r="AF51" s="28"/>
      <c r="AG51" s="28"/>
    </row>
    <row r="52" spans="1:33">
      <c r="B52" s="371"/>
      <c r="C52" s="371"/>
      <c r="D52" s="371"/>
      <c r="E52" s="371"/>
      <c r="F52" s="371"/>
      <c r="G52" s="371"/>
      <c r="H52" s="371"/>
      <c r="I52" s="371"/>
      <c r="J52" s="371"/>
      <c r="K52" s="371"/>
      <c r="L52" s="371"/>
      <c r="M52" s="371"/>
      <c r="N52" s="38" t="s">
        <v>989</v>
      </c>
      <c r="O52"/>
      <c r="P52"/>
      <c r="Z52" s="25">
        <f t="shared" ref="Z52:AG52" si="29">Z49-Z50</f>
        <v>12541</v>
      </c>
      <c r="AA52" s="25">
        <f t="shared" si="29"/>
        <v>12046</v>
      </c>
      <c r="AB52" s="25">
        <f t="shared" si="29"/>
        <v>12194</v>
      </c>
      <c r="AC52" s="25">
        <f t="shared" si="29"/>
        <v>10002</v>
      </c>
      <c r="AD52" s="25">
        <f t="shared" si="29"/>
        <v>14221</v>
      </c>
      <c r="AE52" s="25">
        <f t="shared" si="29"/>
        <v>14539</v>
      </c>
      <c r="AF52" s="25">
        <f t="shared" si="29"/>
        <v>10238</v>
      </c>
      <c r="AG52" s="25">
        <f t="shared" si="29"/>
        <v>9599</v>
      </c>
    </row>
    <row r="53" spans="1:33" s="10" customFormat="1">
      <c r="A53" s="23"/>
      <c r="B53" s="371"/>
      <c r="C53" s="371"/>
      <c r="D53" s="371"/>
      <c r="E53" s="371"/>
      <c r="F53" s="371"/>
      <c r="G53" s="371"/>
      <c r="H53" s="371"/>
      <c r="I53" s="371"/>
      <c r="J53" s="371"/>
      <c r="K53" s="371"/>
      <c r="L53" s="371"/>
      <c r="M53" s="371"/>
      <c r="N53" s="38" t="s">
        <v>989</v>
      </c>
      <c r="O53"/>
      <c r="P53"/>
      <c r="Z53" s="36">
        <f>+Z49+Z44</f>
        <v>61491</v>
      </c>
      <c r="AA53" s="36">
        <f>+AA49+AA44</f>
        <v>63457</v>
      </c>
      <c r="AB53" s="36">
        <f>+AB49+AB44</f>
        <v>67855</v>
      </c>
      <c r="AC53" s="36">
        <f>AC44+AC49</f>
        <v>64018</v>
      </c>
      <c r="AD53" s="36">
        <f>AD49+AD44</f>
        <v>71388</v>
      </c>
      <c r="AE53" s="36">
        <f>AE49+AE44</f>
        <v>68044</v>
      </c>
      <c r="AF53" s="36">
        <f>AF49+AF44</f>
        <v>52695</v>
      </c>
      <c r="AG53" s="36">
        <f>AG49+AG44</f>
        <v>50738</v>
      </c>
    </row>
    <row r="54" spans="1:33">
      <c r="A54" s="40" t="s">
        <v>936</v>
      </c>
      <c r="B54" s="374">
        <v>34</v>
      </c>
      <c r="C54" s="374">
        <v>37</v>
      </c>
      <c r="D54" s="374">
        <v>54</v>
      </c>
      <c r="E54" s="374">
        <v>76</v>
      </c>
      <c r="F54" s="374">
        <v>76</v>
      </c>
      <c r="G54" s="374">
        <v>76</v>
      </c>
      <c r="H54" s="374">
        <v>80</v>
      </c>
      <c r="I54" s="374">
        <v>54</v>
      </c>
      <c r="J54" s="374">
        <v>88</v>
      </c>
      <c r="K54" s="374">
        <v>103</v>
      </c>
      <c r="L54" s="374"/>
      <c r="M54" s="374"/>
      <c r="N54" s="38" t="s">
        <v>989</v>
      </c>
      <c r="O54" t="s">
        <v>936</v>
      </c>
      <c r="P54"/>
    </row>
    <row r="55" spans="1:33">
      <c r="B55" s="371"/>
      <c r="C55" s="371"/>
      <c r="D55" s="371"/>
      <c r="E55" s="371"/>
      <c r="F55" s="371"/>
      <c r="G55" s="371"/>
      <c r="H55" s="371"/>
      <c r="I55" s="371"/>
      <c r="J55" s="371"/>
      <c r="K55" s="371"/>
      <c r="L55" s="371"/>
      <c r="M55" s="371"/>
      <c r="N55" s="38" t="s">
        <v>989</v>
      </c>
      <c r="O55"/>
      <c r="P55"/>
    </row>
    <row r="56" spans="1:33" s="10" customFormat="1">
      <c r="A56" s="10" t="s">
        <v>937</v>
      </c>
      <c r="B56" s="277">
        <f t="shared" ref="B56" si="30">B38-B51-B54</f>
        <v>28298</v>
      </c>
      <c r="C56" s="277">
        <f t="shared" ref="C56:M56" si="31">C38-C51-C54</f>
        <v>26846</v>
      </c>
      <c r="D56" s="277">
        <f t="shared" si="31"/>
        <v>28215</v>
      </c>
      <c r="E56" s="277">
        <f>E38-E51-E54</f>
        <v>27502</v>
      </c>
      <c r="F56" s="277">
        <f t="shared" si="31"/>
        <v>27199</v>
      </c>
      <c r="G56" s="277">
        <f t="shared" si="31"/>
        <v>25561</v>
      </c>
      <c r="H56" s="277">
        <f t="shared" si="31"/>
        <v>26031</v>
      </c>
      <c r="I56" s="277">
        <f t="shared" si="31"/>
        <v>25107</v>
      </c>
      <c r="J56" s="277">
        <f>J38-J51-J54</f>
        <v>27924</v>
      </c>
      <c r="K56" s="277">
        <f>K38-K51-K54</f>
        <v>27647</v>
      </c>
      <c r="L56" s="277">
        <f t="shared" si="31"/>
        <v>0</v>
      </c>
      <c r="M56" s="277">
        <f t="shared" si="31"/>
        <v>0</v>
      </c>
      <c r="N56" s="38" t="s">
        <v>989</v>
      </c>
      <c r="O56"/>
      <c r="P56"/>
      <c r="Q56" s="23" t="s">
        <v>990</v>
      </c>
      <c r="R56" s="10" t="s">
        <v>1012</v>
      </c>
    </row>
    <row r="57" spans="1:33">
      <c r="A57" s="10"/>
      <c r="B57" s="277"/>
      <c r="C57" s="277"/>
      <c r="D57" s="277"/>
      <c r="E57" s="277"/>
      <c r="F57" s="277"/>
      <c r="G57" s="277"/>
      <c r="H57" s="277"/>
      <c r="I57" s="277"/>
      <c r="J57" s="277"/>
      <c r="K57" s="277"/>
      <c r="L57" s="277"/>
      <c r="M57" s="277"/>
      <c r="N57" s="38"/>
      <c r="O57"/>
      <c r="P57"/>
    </row>
    <row r="58" spans="1:33">
      <c r="A58" s="51" t="s">
        <v>1013</v>
      </c>
      <c r="B58" s="277"/>
      <c r="C58" s="277"/>
      <c r="D58" s="277"/>
      <c r="E58" s="277"/>
      <c r="F58" s="277"/>
      <c r="G58" s="277"/>
      <c r="H58" s="277"/>
      <c r="I58" s="277"/>
      <c r="J58" s="277"/>
      <c r="K58" s="277"/>
      <c r="L58" s="277"/>
      <c r="M58" s="277"/>
      <c r="N58" s="38"/>
      <c r="O58"/>
      <c r="P58"/>
    </row>
    <row r="59" spans="1:33">
      <c r="A59" s="10" t="s">
        <v>128</v>
      </c>
      <c r="B59" s="277">
        <v>4714</v>
      </c>
      <c r="C59" s="277">
        <v>3908</v>
      </c>
      <c r="D59" s="277">
        <v>4141</v>
      </c>
      <c r="E59" s="277">
        <v>3964</v>
      </c>
      <c r="F59" s="277">
        <v>3965</v>
      </c>
      <c r="G59" s="277">
        <v>3948</v>
      </c>
      <c r="H59" s="277">
        <v>2593</v>
      </c>
      <c r="I59" s="277">
        <v>2838</v>
      </c>
      <c r="J59" s="277">
        <v>3728</v>
      </c>
      <c r="K59" s="277">
        <v>3562</v>
      </c>
      <c r="L59" s="277"/>
      <c r="M59" s="277"/>
      <c r="N59" s="38"/>
      <c r="O59"/>
      <c r="P59"/>
    </row>
    <row r="60" spans="1:33">
      <c r="A60" s="27" t="s">
        <v>65</v>
      </c>
      <c r="B60" s="278">
        <f t="shared" ref="B60:M60" si="32">B12</f>
        <v>4959</v>
      </c>
      <c r="C60" s="278">
        <f t="shared" si="32"/>
        <v>2717</v>
      </c>
      <c r="D60" s="278">
        <f t="shared" si="32"/>
        <v>4300</v>
      </c>
      <c r="E60" s="278">
        <f t="shared" si="32"/>
        <v>3555</v>
      </c>
      <c r="F60" s="278">
        <f t="shared" si="32"/>
        <v>3870</v>
      </c>
      <c r="G60" s="278">
        <f t="shared" si="32"/>
        <v>3381</v>
      </c>
      <c r="H60" s="278">
        <f t="shared" si="32"/>
        <v>2922</v>
      </c>
      <c r="I60" s="278">
        <f t="shared" si="32"/>
        <v>1659</v>
      </c>
      <c r="J60" s="278">
        <f t="shared" si="32"/>
        <v>7267</v>
      </c>
      <c r="K60" s="278">
        <f t="shared" si="32"/>
        <v>2184</v>
      </c>
      <c r="L60" s="278">
        <f t="shared" si="32"/>
        <v>0</v>
      </c>
      <c r="M60" s="278">
        <f t="shared" si="32"/>
        <v>0</v>
      </c>
      <c r="N60" s="38"/>
      <c r="O60"/>
      <c r="P60"/>
    </row>
    <row r="61" spans="1:33">
      <c r="A61" s="102" t="s">
        <v>56</v>
      </c>
      <c r="B61" s="278">
        <v>1215</v>
      </c>
      <c r="C61" s="278">
        <v>1107</v>
      </c>
      <c r="D61" s="278">
        <v>1113</v>
      </c>
      <c r="E61" s="278">
        <v>1116</v>
      </c>
      <c r="F61" s="278">
        <v>1047</v>
      </c>
      <c r="G61" s="278">
        <v>811</v>
      </c>
      <c r="H61" s="278">
        <v>816</v>
      </c>
      <c r="I61" s="278">
        <v>823</v>
      </c>
      <c r="J61" s="278">
        <v>894</v>
      </c>
      <c r="K61" s="278">
        <v>1059</v>
      </c>
      <c r="L61" s="278"/>
      <c r="M61" s="278"/>
      <c r="N61" s="38"/>
      <c r="O61"/>
      <c r="P61"/>
    </row>
    <row r="62" spans="1:33">
      <c r="A62" s="102" t="s">
        <v>1014</v>
      </c>
      <c r="B62" s="278">
        <v>-487</v>
      </c>
      <c r="C62" s="278">
        <v>-521</v>
      </c>
      <c r="D62" s="278">
        <v>-649</v>
      </c>
      <c r="E62" s="278">
        <v>-177</v>
      </c>
      <c r="F62" s="278">
        <v>-448</v>
      </c>
      <c r="G62" s="278">
        <v>-97</v>
      </c>
      <c r="H62" s="278">
        <v>-993</v>
      </c>
      <c r="I62" s="278">
        <v>-206</v>
      </c>
      <c r="J62" s="278">
        <v>187</v>
      </c>
      <c r="K62" s="278">
        <v>426</v>
      </c>
      <c r="L62" s="278"/>
      <c r="M62" s="278"/>
      <c r="N62" s="38"/>
      <c r="O62"/>
      <c r="P62"/>
    </row>
    <row r="63" spans="1:33">
      <c r="A63" s="102" t="s">
        <v>1015</v>
      </c>
      <c r="B63" s="278">
        <f t="shared" ref="B63" si="33">B59-B60-B61-B62</f>
        <v>-973</v>
      </c>
      <c r="C63" s="278">
        <f t="shared" ref="C63" si="34">C59-C60-C61-C62</f>
        <v>605</v>
      </c>
      <c r="D63" s="278">
        <f>D59-D60-D61-D62</f>
        <v>-623</v>
      </c>
      <c r="E63" s="278">
        <f t="shared" ref="E63:M63" si="35">E59-E60-E61-E62</f>
        <v>-530</v>
      </c>
      <c r="F63" s="278">
        <f t="shared" si="35"/>
        <v>-504</v>
      </c>
      <c r="G63" s="278">
        <f t="shared" si="35"/>
        <v>-147</v>
      </c>
      <c r="H63" s="278">
        <f t="shared" si="35"/>
        <v>-152</v>
      </c>
      <c r="I63" s="278">
        <f t="shared" si="35"/>
        <v>562</v>
      </c>
      <c r="J63" s="278">
        <f t="shared" si="35"/>
        <v>-4620</v>
      </c>
      <c r="K63" s="278">
        <f t="shared" si="35"/>
        <v>-107</v>
      </c>
      <c r="L63" s="278">
        <f t="shared" si="35"/>
        <v>0</v>
      </c>
      <c r="M63" s="278">
        <f t="shared" si="35"/>
        <v>0</v>
      </c>
      <c r="N63" s="38"/>
      <c r="O63"/>
      <c r="P63"/>
    </row>
    <row r="64" spans="1:33">
      <c r="A64" s="10" t="s">
        <v>129</v>
      </c>
      <c r="B64" s="277">
        <v>2812</v>
      </c>
      <c r="C64" s="277">
        <v>-4888</v>
      </c>
      <c r="D64" s="277">
        <v>-26</v>
      </c>
      <c r="E64" s="277">
        <v>500</v>
      </c>
      <c r="F64" s="277">
        <v>-960</v>
      </c>
      <c r="G64" s="277">
        <v>-1224</v>
      </c>
      <c r="H64" s="277">
        <v>-301</v>
      </c>
      <c r="I64" s="277">
        <v>-1029</v>
      </c>
      <c r="J64" s="277">
        <v>2649</v>
      </c>
      <c r="K64" s="277">
        <v>-1642</v>
      </c>
      <c r="L64" s="277"/>
      <c r="M64" s="277"/>
      <c r="N64" s="38"/>
      <c r="O64"/>
      <c r="P64"/>
    </row>
    <row r="65" spans="1:16">
      <c r="A65" s="102" t="s">
        <v>130</v>
      </c>
      <c r="B65" s="278">
        <v>-1112</v>
      </c>
      <c r="C65" s="278">
        <v>-906</v>
      </c>
      <c r="D65" s="278">
        <v>-965</v>
      </c>
      <c r="E65" s="278">
        <v>-863</v>
      </c>
      <c r="F65" s="278">
        <v>-925</v>
      </c>
      <c r="G65" s="278">
        <v>-1095</v>
      </c>
      <c r="H65" s="278">
        <v>-1014</v>
      </c>
      <c r="I65" s="278">
        <v>-1224</v>
      </c>
      <c r="J65" s="278">
        <v>-1514</v>
      </c>
      <c r="K65" s="278">
        <v>-1642</v>
      </c>
      <c r="L65" s="278"/>
      <c r="M65" s="278"/>
      <c r="N65" s="38"/>
      <c r="O65"/>
      <c r="P65"/>
    </row>
    <row r="66" spans="1:16">
      <c r="A66" s="102" t="s">
        <v>131</v>
      </c>
      <c r="B66" s="278">
        <v>3924</v>
      </c>
      <c r="C66" s="278">
        <v>-3982</v>
      </c>
      <c r="D66" s="278">
        <v>939</v>
      </c>
      <c r="E66" s="278">
        <v>1363</v>
      </c>
      <c r="F66" s="278">
        <v>-35</v>
      </c>
      <c r="G66" s="278">
        <v>-129</v>
      </c>
      <c r="H66" s="278">
        <v>713</v>
      </c>
      <c r="I66" s="278">
        <v>195</v>
      </c>
      <c r="J66" s="278">
        <v>4163</v>
      </c>
      <c r="K66" s="278">
        <v>0</v>
      </c>
      <c r="L66" s="278"/>
      <c r="M66" s="278"/>
      <c r="N66" s="38"/>
      <c r="O66"/>
      <c r="P66"/>
    </row>
    <row r="67" spans="1:16">
      <c r="A67" s="102" t="s">
        <v>1016</v>
      </c>
      <c r="B67" s="278">
        <f>B64-B65-B66</f>
        <v>0</v>
      </c>
      <c r="C67" s="278">
        <f>C64-C65-C66</f>
        <v>0</v>
      </c>
      <c r="D67" s="278">
        <f>D64-D65-D66</f>
        <v>0</v>
      </c>
      <c r="E67" s="278">
        <f t="shared" ref="E67" si="36">E64-E65-E66</f>
        <v>0</v>
      </c>
      <c r="F67" s="278">
        <f t="shared" ref="F67:M67" si="37">F64-F65-F66</f>
        <v>0</v>
      </c>
      <c r="G67" s="278">
        <f t="shared" si="37"/>
        <v>0</v>
      </c>
      <c r="H67" s="278">
        <f t="shared" si="37"/>
        <v>0</v>
      </c>
      <c r="I67" s="278">
        <f t="shared" si="37"/>
        <v>0</v>
      </c>
      <c r="J67" s="278">
        <f t="shared" si="37"/>
        <v>0</v>
      </c>
      <c r="K67" s="278">
        <f t="shared" si="37"/>
        <v>0</v>
      </c>
      <c r="L67" s="278">
        <f t="shared" si="37"/>
        <v>0</v>
      </c>
      <c r="M67" s="278">
        <f t="shared" si="37"/>
        <v>0</v>
      </c>
      <c r="N67" s="38"/>
      <c r="O67"/>
      <c r="P67"/>
    </row>
    <row r="68" spans="1:16">
      <c r="A68" s="10" t="s">
        <v>132</v>
      </c>
      <c r="B68" s="277">
        <v>-7558</v>
      </c>
      <c r="C68" s="277">
        <v>-456</v>
      </c>
      <c r="D68" s="277">
        <v>-4069</v>
      </c>
      <c r="E68" s="277">
        <v>-2215</v>
      </c>
      <c r="F68" s="277">
        <v>-2787</v>
      </c>
      <c r="G68" s="277">
        <v>-2329</v>
      </c>
      <c r="H68" s="277">
        <v>-3361</v>
      </c>
      <c r="I68" s="277">
        <v>-1862</v>
      </c>
      <c r="J68" s="277">
        <v>-5883</v>
      </c>
      <c r="K68" s="277">
        <v>-2688</v>
      </c>
      <c r="L68" s="277"/>
      <c r="M68" s="277"/>
      <c r="N68" s="38"/>
      <c r="O68"/>
      <c r="P68"/>
    </row>
    <row r="69" spans="1:16">
      <c r="A69" s="102" t="s">
        <v>1017</v>
      </c>
      <c r="B69" s="278">
        <v>344</v>
      </c>
      <c r="C69" s="278">
        <v>4490</v>
      </c>
      <c r="D69" s="278">
        <v>5921</v>
      </c>
      <c r="E69" s="278">
        <v>7890</v>
      </c>
      <c r="F69" s="278">
        <v>4442</v>
      </c>
      <c r="G69" s="278">
        <v>6929</v>
      </c>
      <c r="H69" s="278">
        <v>2158</v>
      </c>
      <c r="I69" s="278">
        <v>7180</v>
      </c>
      <c r="J69" s="278">
        <v>5237</v>
      </c>
      <c r="K69" s="278">
        <v>5114</v>
      </c>
      <c r="L69" s="278"/>
      <c r="M69" s="278"/>
      <c r="N69" s="38"/>
      <c r="O69"/>
      <c r="P69"/>
    </row>
    <row r="70" spans="1:16">
      <c r="A70" s="102" t="s">
        <v>1018</v>
      </c>
      <c r="B70" s="278">
        <v>-2499</v>
      </c>
      <c r="C70" s="278">
        <v>-3032</v>
      </c>
      <c r="D70" s="278">
        <v>-6247</v>
      </c>
      <c r="E70" s="278">
        <v>-5052</v>
      </c>
      <c r="F70" s="278">
        <v>-5044</v>
      </c>
      <c r="G70" s="278">
        <v>-4677</v>
      </c>
      <c r="H70" s="278">
        <v>-3381</v>
      </c>
      <c r="I70" s="278">
        <v>-7217</v>
      </c>
      <c r="J70" s="278">
        <v>-5685</v>
      </c>
      <c r="K70" s="278">
        <v>-5730</v>
      </c>
      <c r="L70" s="278"/>
      <c r="M70" s="278"/>
      <c r="N70" s="38"/>
      <c r="O70"/>
      <c r="P70"/>
    </row>
    <row r="71" spans="1:16">
      <c r="A71" s="102" t="s">
        <v>1019</v>
      </c>
      <c r="B71" s="278">
        <v>163</v>
      </c>
      <c r="C71" s="278">
        <v>148</v>
      </c>
      <c r="D71" s="278">
        <v>76</v>
      </c>
      <c r="E71" s="278">
        <v>180</v>
      </c>
      <c r="F71" s="278">
        <v>99</v>
      </c>
      <c r="G71" s="278"/>
      <c r="H71" s="278"/>
      <c r="I71" s="278"/>
      <c r="J71" s="278"/>
      <c r="K71" s="278"/>
      <c r="L71" s="278"/>
      <c r="M71" s="278"/>
      <c r="N71" s="38"/>
      <c r="O71"/>
      <c r="P71"/>
    </row>
    <row r="72" spans="1:16">
      <c r="A72" s="102" t="s">
        <v>1020</v>
      </c>
      <c r="B72" s="278">
        <v>-125</v>
      </c>
      <c r="C72" s="278">
        <v>-95</v>
      </c>
      <c r="D72" s="278">
        <v>-88</v>
      </c>
      <c r="E72" s="278">
        <v>-56</v>
      </c>
      <c r="F72" s="278">
        <v>-27</v>
      </c>
      <c r="G72" s="278">
        <v>0</v>
      </c>
      <c r="H72" s="278">
        <v>0</v>
      </c>
      <c r="I72" s="278">
        <v>0</v>
      </c>
      <c r="J72" s="278">
        <v>0</v>
      </c>
      <c r="K72" s="278">
        <v>0</v>
      </c>
      <c r="L72" s="278"/>
      <c r="M72" s="278"/>
      <c r="N72" s="38"/>
      <c r="O72"/>
      <c r="P72"/>
    </row>
    <row r="73" spans="1:16">
      <c r="A73" s="102" t="s">
        <v>133</v>
      </c>
      <c r="B73" s="278">
        <v>-2160</v>
      </c>
      <c r="C73" s="278">
        <v>-1985</v>
      </c>
      <c r="D73" s="278">
        <v>-1826</v>
      </c>
      <c r="E73" s="278">
        <v>-1678</v>
      </c>
      <c r="F73" s="278">
        <v>-1542</v>
      </c>
      <c r="G73" s="278">
        <v>-1359</v>
      </c>
      <c r="H73" s="278">
        <v>-1198</v>
      </c>
      <c r="I73" s="278">
        <v>-1094</v>
      </c>
      <c r="J73" s="278">
        <v>-1008</v>
      </c>
      <c r="K73" s="278">
        <v>-964</v>
      </c>
      <c r="L73" s="278"/>
      <c r="M73" s="278"/>
      <c r="N73" s="35" t="s">
        <v>1021</v>
      </c>
      <c r="O73" t="s">
        <v>1022</v>
      </c>
      <c r="P73"/>
    </row>
    <row r="74" spans="1:16">
      <c r="A74" s="102" t="s">
        <v>915</v>
      </c>
      <c r="B74" s="278">
        <v>-1547</v>
      </c>
      <c r="C74" s="278">
        <v>-2017</v>
      </c>
      <c r="D74" s="278">
        <v>-2110</v>
      </c>
      <c r="E74" s="278">
        <v>-1390</v>
      </c>
      <c r="F74" s="278">
        <v>-1480</v>
      </c>
      <c r="G74" s="278">
        <v>-2020</v>
      </c>
      <c r="H74" s="278">
        <v>-2174</v>
      </c>
      <c r="I74" s="278">
        <v>-2601</v>
      </c>
      <c r="J74" s="278">
        <v>-3622</v>
      </c>
      <c r="K74" s="278">
        <v>-1700</v>
      </c>
      <c r="L74" s="278"/>
      <c r="M74" s="278"/>
      <c r="N74" s="35" t="s">
        <v>1021</v>
      </c>
      <c r="O74" t="str">
        <f>+A74</f>
        <v>Share buyback</v>
      </c>
      <c r="P74"/>
    </row>
    <row r="75" spans="1:16">
      <c r="A75" s="102" t="s">
        <v>1016</v>
      </c>
      <c r="B75" s="278">
        <f t="shared" ref="B75" si="38">B68-B69-B70-B71-B72-B73-B74</f>
        <v>-1734</v>
      </c>
      <c r="C75" s="278">
        <f t="shared" ref="C75:M75" si="39">C68-C69-C70-C71-C72-C73-C74</f>
        <v>2035</v>
      </c>
      <c r="D75" s="278">
        <f t="shared" si="39"/>
        <v>205</v>
      </c>
      <c r="E75" s="278">
        <f t="shared" si="39"/>
        <v>-2109</v>
      </c>
      <c r="F75" s="278">
        <f t="shared" si="39"/>
        <v>765</v>
      </c>
      <c r="G75" s="278">
        <f t="shared" si="39"/>
        <v>-1202</v>
      </c>
      <c r="H75" s="278">
        <f t="shared" si="39"/>
        <v>1234</v>
      </c>
      <c r="I75" s="278">
        <f t="shared" si="39"/>
        <v>1870</v>
      </c>
      <c r="J75" s="278">
        <f t="shared" si="39"/>
        <v>-805</v>
      </c>
      <c r="K75" s="278">
        <f t="shared" si="39"/>
        <v>592</v>
      </c>
      <c r="L75" s="278">
        <f t="shared" si="39"/>
        <v>0</v>
      </c>
      <c r="M75" s="278">
        <f t="shared" si="39"/>
        <v>0</v>
      </c>
      <c r="N75" s="38"/>
      <c r="O75"/>
      <c r="P75"/>
    </row>
    <row r="76" spans="1:16">
      <c r="A76" s="10" t="s">
        <v>136</v>
      </c>
      <c r="B76" s="277">
        <v>-32</v>
      </c>
      <c r="C76" s="277">
        <v>-169</v>
      </c>
      <c r="D76" s="277">
        <v>-143</v>
      </c>
      <c r="E76" s="277">
        <v>73</v>
      </c>
      <c r="F76" s="277">
        <v>10</v>
      </c>
      <c r="G76" s="277">
        <v>-56</v>
      </c>
      <c r="H76" s="277">
        <v>89</v>
      </c>
      <c r="I76" s="277">
        <v>-76</v>
      </c>
      <c r="J76" s="277">
        <v>-255</v>
      </c>
      <c r="K76" s="277">
        <v>-223</v>
      </c>
      <c r="L76" s="277"/>
      <c r="M76" s="277"/>
      <c r="N76" s="38"/>
      <c r="O76"/>
      <c r="P76"/>
    </row>
    <row r="77" spans="1:16">
      <c r="A77" s="10" t="s">
        <v>938</v>
      </c>
      <c r="B77" s="277">
        <f t="shared" ref="B77" si="40">B59+B64+B68+B76</f>
        <v>-64</v>
      </c>
      <c r="C77" s="277">
        <f t="shared" ref="C77:M77" si="41">C59+C64+C68+C76</f>
        <v>-1605</v>
      </c>
      <c r="D77" s="277">
        <f t="shared" si="41"/>
        <v>-97</v>
      </c>
      <c r="E77" s="277">
        <f t="shared" si="41"/>
        <v>2322</v>
      </c>
      <c r="F77" s="277">
        <f t="shared" si="41"/>
        <v>228</v>
      </c>
      <c r="G77" s="277">
        <f t="shared" si="41"/>
        <v>339</v>
      </c>
      <c r="H77" s="277">
        <f t="shared" si="41"/>
        <v>-980</v>
      </c>
      <c r="I77" s="277">
        <f t="shared" si="41"/>
        <v>-129</v>
      </c>
      <c r="J77" s="277">
        <f t="shared" si="41"/>
        <v>239</v>
      </c>
      <c r="K77" s="277">
        <f t="shared" si="41"/>
        <v>-991</v>
      </c>
      <c r="L77" s="277">
        <f t="shared" si="41"/>
        <v>0</v>
      </c>
      <c r="M77" s="277">
        <f t="shared" si="41"/>
        <v>0</v>
      </c>
      <c r="N77" s="38"/>
      <c r="O77"/>
      <c r="P77"/>
    </row>
    <row r="78" spans="1:16">
      <c r="M78" s="25"/>
      <c r="N78"/>
      <c r="O78" t="s">
        <v>1023</v>
      </c>
      <c r="P78"/>
    </row>
    <row r="79" spans="1:16">
      <c r="A79" s="51" t="s">
        <v>1024</v>
      </c>
      <c r="B79" s="51"/>
      <c r="C79" s="51"/>
      <c r="D79" s="51"/>
      <c r="E79" s="1303" t="s">
        <v>946</v>
      </c>
      <c r="F79" s="1303"/>
      <c r="G79" s="1303"/>
      <c r="H79" s="1303" t="s">
        <v>1025</v>
      </c>
      <c r="I79" s="1303"/>
      <c r="J79" s="51" t="s">
        <v>948</v>
      </c>
      <c r="K79" s="51" t="s">
        <v>949</v>
      </c>
      <c r="L79" s="51" t="s">
        <v>950</v>
      </c>
      <c r="M79" s="36"/>
      <c r="N79"/>
      <c r="O79"/>
      <c r="P79"/>
    </row>
    <row r="80" spans="1:16">
      <c r="A80" s="27" t="s">
        <v>1026</v>
      </c>
      <c r="B80" s="28">
        <v>91000</v>
      </c>
      <c r="C80" s="41" t="s">
        <v>1027</v>
      </c>
      <c r="D80" s="25"/>
      <c r="E80" s="1304"/>
      <c r="F80" s="1304"/>
      <c r="G80" s="1304"/>
      <c r="H80" s="1305"/>
      <c r="I80" s="1305"/>
      <c r="J80" s="66"/>
      <c r="K80" s="65"/>
      <c r="L80" s="65"/>
      <c r="M80" s="25"/>
      <c r="N80" s="41" t="s">
        <v>1028</v>
      </c>
      <c r="O80"/>
      <c r="P80"/>
    </row>
    <row r="81" spans="1:16">
      <c r="A81" s="27" t="s">
        <v>1029</v>
      </c>
      <c r="B81" s="28">
        <v>1350000000</v>
      </c>
      <c r="C81" s="41" t="s">
        <v>1030</v>
      </c>
      <c r="D81" s="25"/>
      <c r="E81" s="1304"/>
      <c r="F81" s="1304"/>
      <c r="G81" s="1304"/>
      <c r="H81" s="1305"/>
      <c r="I81" s="1305"/>
      <c r="J81" s="66"/>
      <c r="K81" s="65"/>
      <c r="L81" s="65"/>
      <c r="M81" s="25"/>
      <c r="N81" s="41" t="s">
        <v>1028</v>
      </c>
      <c r="O81"/>
      <c r="P81"/>
    </row>
    <row r="82" spans="1:16">
      <c r="A82" s="27" t="s">
        <v>42</v>
      </c>
      <c r="B82" s="664">
        <f>1.34/1.35</f>
        <v>0.99259259259259258</v>
      </c>
      <c r="C82" s="41" t="s">
        <v>1030</v>
      </c>
      <c r="D82" s="67"/>
      <c r="E82" s="1304"/>
      <c r="F82" s="1304"/>
      <c r="G82" s="1304"/>
      <c r="H82" s="1305"/>
      <c r="I82" s="1305"/>
      <c r="J82" s="66"/>
      <c r="K82" s="65"/>
      <c r="L82" s="65"/>
      <c r="M82" s="69"/>
      <c r="N82" s="41" t="s">
        <v>1028</v>
      </c>
      <c r="O82"/>
      <c r="P82"/>
    </row>
    <row r="83" spans="1:16">
      <c r="A83" s="27" t="s">
        <v>47</v>
      </c>
      <c r="B83" s="665">
        <v>1.9E-3</v>
      </c>
      <c r="C83" s="41" t="s">
        <v>1030</v>
      </c>
      <c r="D83" s="68"/>
      <c r="E83" s="1304"/>
      <c r="F83" s="1304"/>
      <c r="G83" s="1304"/>
      <c r="H83" s="1305"/>
      <c r="I83" s="1305"/>
      <c r="J83" s="66"/>
      <c r="K83" s="65"/>
      <c r="L83" s="65"/>
      <c r="M83" s="69"/>
      <c r="N83" s="41" t="s">
        <v>1028</v>
      </c>
      <c r="O83"/>
      <c r="P83"/>
    </row>
    <row r="84" spans="1:16">
      <c r="A84" s="27" t="s">
        <v>942</v>
      </c>
      <c r="B84" s="28" t="s">
        <v>58</v>
      </c>
      <c r="C84" s="41" t="s">
        <v>1027</v>
      </c>
      <c r="D84" s="25"/>
      <c r="E84" s="1304"/>
      <c r="F84" s="1304"/>
      <c r="G84" s="1304"/>
      <c r="H84" s="1305"/>
      <c r="I84" s="1305"/>
      <c r="J84" s="66"/>
      <c r="K84" s="65"/>
      <c r="L84" s="65"/>
      <c r="M84" s="25"/>
      <c r="N84" s="41" t="s">
        <v>1028</v>
      </c>
      <c r="O84"/>
      <c r="P84"/>
    </row>
    <row r="85" spans="1:16">
      <c r="A85" s="27" t="s">
        <v>1031</v>
      </c>
      <c r="B85" s="666">
        <v>2.4E-2</v>
      </c>
      <c r="C85" s="41" t="s">
        <v>1030</v>
      </c>
      <c r="D85" s="25"/>
      <c r="E85" s="1304"/>
      <c r="F85" s="1304"/>
      <c r="G85" s="1304"/>
      <c r="H85" s="1305"/>
      <c r="I85" s="1305"/>
      <c r="J85" s="65"/>
      <c r="K85" s="65"/>
      <c r="L85" s="65"/>
      <c r="M85" s="25"/>
      <c r="N85" s="41" t="s">
        <v>1028</v>
      </c>
      <c r="O85"/>
    </row>
    <row r="86" spans="1:16">
      <c r="A86" s="27" t="s">
        <v>944</v>
      </c>
      <c r="B86" s="28">
        <v>7017831</v>
      </c>
      <c r="C86" s="41" t="s">
        <v>1032</v>
      </c>
      <c r="D86" s="25"/>
      <c r="E86" s="1304"/>
      <c r="F86" s="1304"/>
      <c r="G86" s="1304"/>
      <c r="H86" s="1305"/>
      <c r="I86" s="1305"/>
      <c r="J86" s="65"/>
      <c r="K86" s="65"/>
      <c r="L86" s="65"/>
      <c r="M86" s="25"/>
      <c r="N86" s="41" t="s">
        <v>1028</v>
      </c>
    </row>
    <row r="87" spans="1:16">
      <c r="B87" s="51">
        <f>B5</f>
        <v>2023</v>
      </c>
      <c r="C87" s="51">
        <f t="shared" ref="C87:D87" si="42">C5</f>
        <v>2022</v>
      </c>
      <c r="D87" s="51">
        <f t="shared" si="42"/>
        <v>2021</v>
      </c>
      <c r="E87" s="42"/>
      <c r="G87" s="42"/>
      <c r="H87" s="42"/>
      <c r="I87" s="42"/>
      <c r="J87" s="42"/>
      <c r="K87" s="42"/>
      <c r="L87" s="42"/>
      <c r="M87" s="42"/>
      <c r="N87"/>
    </row>
    <row r="88" spans="1:16">
      <c r="A88" s="27" t="s">
        <v>945</v>
      </c>
      <c r="B88" s="699">
        <v>1.2500000000000001E-2</v>
      </c>
      <c r="E88" s="41" t="s">
        <v>1032</v>
      </c>
      <c r="K88" s="23"/>
      <c r="L88" s="23"/>
      <c r="O88"/>
      <c r="P88"/>
    </row>
    <row r="89" spans="1:16">
      <c r="A89" s="27" t="s">
        <v>70</v>
      </c>
      <c r="B89" s="27">
        <v>3.64</v>
      </c>
      <c r="C89" s="27">
        <v>1.97</v>
      </c>
      <c r="D89" s="27">
        <v>3.06</v>
      </c>
      <c r="E89" s="41" t="s">
        <v>1032</v>
      </c>
      <c r="K89" s="23"/>
      <c r="L89" s="23"/>
      <c r="O89" s="51"/>
    </row>
    <row r="90" spans="1:16">
      <c r="M90"/>
      <c r="N90" s="101"/>
      <c r="O90" s="51"/>
    </row>
    <row r="91" spans="1:16">
      <c r="J91" s="25"/>
      <c r="L91"/>
      <c r="M91"/>
      <c r="N91"/>
    </row>
    <row r="92" spans="1:16">
      <c r="J92" s="25"/>
      <c r="L92"/>
      <c r="M92"/>
      <c r="N92"/>
    </row>
    <row r="93" spans="1:16">
      <c r="J93" s="25"/>
      <c r="L93"/>
      <c r="M93"/>
      <c r="N93"/>
    </row>
    <row r="94" spans="1:16">
      <c r="J94" s="25"/>
      <c r="L94"/>
      <c r="M94"/>
      <c r="N94"/>
    </row>
    <row r="95" spans="1:16">
      <c r="J95" s="25"/>
      <c r="L95"/>
      <c r="M95"/>
      <c r="N95"/>
    </row>
    <row r="96" spans="1:16">
      <c r="J96" s="25"/>
      <c r="L96"/>
      <c r="M96"/>
      <c r="N96"/>
      <c r="O96"/>
    </row>
    <row r="97" spans="1:14">
      <c r="J97" s="25"/>
      <c r="L97"/>
      <c r="M97"/>
      <c r="N97"/>
    </row>
    <row r="98" spans="1:14">
      <c r="G98"/>
      <c r="M98"/>
      <c r="N98"/>
    </row>
    <row r="99" spans="1:14">
      <c r="A99"/>
      <c r="B99"/>
      <c r="C99"/>
      <c r="D99"/>
      <c r="E99"/>
      <c r="F99"/>
      <c r="G99"/>
    </row>
    <row r="100" spans="1:14">
      <c r="A100"/>
      <c r="B100"/>
      <c r="C100"/>
      <c r="D100"/>
      <c r="E100"/>
      <c r="F100"/>
      <c r="G100"/>
    </row>
  </sheetData>
  <mergeCells count="19">
    <mergeCell ref="E85:G85"/>
    <mergeCell ref="E86:G86"/>
    <mergeCell ref="H80:I80"/>
    <mergeCell ref="H81:I81"/>
    <mergeCell ref="H82:I82"/>
    <mergeCell ref="H83:I83"/>
    <mergeCell ref="H84:I84"/>
    <mergeCell ref="H85:I85"/>
    <mergeCell ref="H86:I86"/>
    <mergeCell ref="E80:G80"/>
    <mergeCell ref="E81:G81"/>
    <mergeCell ref="E82:G82"/>
    <mergeCell ref="E83:G83"/>
    <mergeCell ref="E84:G84"/>
    <mergeCell ref="G2:J2"/>
    <mergeCell ref="D4:M4"/>
    <mergeCell ref="R5:S5"/>
    <mergeCell ref="H79:I79"/>
    <mergeCell ref="E79:G79"/>
  </mergeCells>
  <pageMargins left="0.75" right="0.75" top="1" bottom="1" header="0" footer="0"/>
  <pageSetup orientation="portrait" horizontalDpi="4294967292" r:id="rId1"/>
  <headerFooter alignWithMargins="0"/>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6ba73c8a-1af7-4183-b158-1cd1291da2b6">
      <Terms xmlns="http://schemas.microsoft.com/office/infopath/2007/PartnerControls"/>
    </lcf76f155ced4ddcb4097134ff3c332f>
    <TaxCatchAll xmlns="8c89d0e4-a8d9-42ba-a773-c59a56f7723e"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162ABDA6886CF6498653E646AB2571ED" ma:contentTypeVersion="16" ma:contentTypeDescription="Create a new document." ma:contentTypeScope="" ma:versionID="0a55209b67e2c3a7f46b591ce13950e9">
  <xsd:schema xmlns:xsd="http://www.w3.org/2001/XMLSchema" xmlns:xs="http://www.w3.org/2001/XMLSchema" xmlns:p="http://schemas.microsoft.com/office/2006/metadata/properties" xmlns:ns2="6ba73c8a-1af7-4183-b158-1cd1291da2b6" xmlns:ns3="8c89d0e4-a8d9-42ba-a773-c59a56f7723e" targetNamespace="http://schemas.microsoft.com/office/2006/metadata/properties" ma:root="true" ma:fieldsID="c49ccb1ab76a2e6c178c18d1b3ea34b2" ns2:_="" ns3:_="">
    <xsd:import namespace="6ba73c8a-1af7-4183-b158-1cd1291da2b6"/>
    <xsd:import namespace="8c89d0e4-a8d9-42ba-a773-c59a56f7723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LengthInSeconds" minOccurs="0"/>
                <xsd:element ref="ns3:SharedWithUsers" minOccurs="0"/>
                <xsd:element ref="ns3:SharedWithDetails" minOccurs="0"/>
                <xsd:element ref="ns2:MediaServiceSearchPropertie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a73c8a-1af7-4183-b158-1cd1291da2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Length (seconds)" ma:internalName="MediaLengthInSeconds" ma:readOnly="true">
      <xsd:simpleType>
        <xsd:restriction base="dms:Unknown"/>
      </xsd:simpleType>
    </xsd:element>
    <xsd:element name="MediaServiceSearchProperties" ma:index="16" nillable="true" ma:displayName="MediaServiceSearchProperties" ma:hidden="true" ma:internalName="MediaServiceSearchProperties" ma:readOnly="true">
      <xsd:simpleType>
        <xsd:restriction base="dms:Note"/>
      </xsd:simpleType>
    </xsd:element>
    <xsd:element name="lcf76f155ced4ddcb4097134ff3c332f" ma:index="18" nillable="true" ma:taxonomy="true" ma:internalName="lcf76f155ced4ddcb4097134ff3c332f" ma:taxonomyFieldName="MediaServiceImageTags" ma:displayName="Image Tags" ma:readOnly="false" ma:fieldId="{5cf76f15-5ced-4ddc-b409-7134ff3c332f}" ma:taxonomyMulti="true" ma:sspId="a48f9566-069b-479b-843d-4f6c74a4a3f0" ma:termSetId="09814cd3-568e-fe90-9814-8d621ff8fb84" ma:anchorId="fba54fb3-c3e1-fe81-a776-ca4b69148c4d" ma:open="true" ma:isKeyword="false">
      <xsd:complexType>
        <xsd:sequence>
          <xsd:element ref="pc:Terms" minOccurs="0" maxOccurs="1"/>
        </xsd:sequence>
      </xsd:complexType>
    </xsd:element>
    <xsd:element name="MediaServiceOCR" ma:index="20" nillable="true" ma:displayName="Extracted Text" ma:internalName="MediaServiceOCR" ma:readOnly="true">
      <xsd:simpleType>
        <xsd:restriction base="dms:Note">
          <xsd:maxLength value="255"/>
        </xsd:restriction>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c89d0e4-a8d9-42ba-a773-c59a56f7723e"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19" nillable="true" ma:displayName="Taxonomy Catch All Column" ma:hidden="true" ma:list="{b20a6b64-fbb8-4bf5-b941-ddf64427d44d}" ma:internalName="TaxCatchAll" ma:showField="CatchAllData" ma:web="8c89d0e4-a8d9-42ba-a773-c59a56f7723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4E33FEE-1117-4802-A5BB-FA073D1C6E04}"/>
</file>

<file path=customXml/itemProps2.xml><?xml version="1.0" encoding="utf-8"?>
<ds:datastoreItem xmlns:ds="http://schemas.openxmlformats.org/officeDocument/2006/customXml" ds:itemID="{A881089C-6E2A-4FD7-A402-55E9C86C97B5}"/>
</file>

<file path=customXml/itemProps3.xml><?xml version="1.0" encoding="utf-8"?>
<ds:datastoreItem xmlns:ds="http://schemas.openxmlformats.org/officeDocument/2006/customXml" ds:itemID="{7A47D889-DF70-4F1C-864D-2150302C0CB0}"/>
</file>

<file path=docProps/app.xml><?xml version="1.0" encoding="utf-8"?>
<Properties xmlns="http://schemas.openxmlformats.org/officeDocument/2006/extended-properties" xmlns:vt="http://schemas.openxmlformats.org/officeDocument/2006/docPropsVTypes">
  <Application>Microsoft Excel Online</Application>
  <Manager/>
  <Company>HIL CONSULTORES, S.C.</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ABRAHAM E. HERNANDEZ P.</dc:creator>
  <cp:keywords/>
  <dc:description/>
  <cp:lastModifiedBy>Mariana Raquel dos Santos Carvalho</cp:lastModifiedBy>
  <cp:revision/>
  <dcterms:created xsi:type="dcterms:W3CDTF">2000-04-19T14:51:26Z</dcterms:created>
  <dcterms:modified xsi:type="dcterms:W3CDTF">2024-09-22T20:24:44Z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0x010100162ABDA6886CF6498653E646AB2571ED</vt:lpwstr>
  </property>
  <property fmtid="{D5CDD505-2E9C-101B-9397-08002B2CF9AE}" pid="3" name="Order">
    <vt:r8>7100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y fmtid="{D5CDD505-2E9C-101B-9397-08002B2CF9AE}" pid="9" name="TriggerFlowInfo">
    <vt:lpwstr/>
  </property>
  <property fmtid="{D5CDD505-2E9C-101B-9397-08002B2CF9AE}" pid="10" name="MediaServiceImageTags">
    <vt:lpwstr/>
  </property>
</Properties>
</file>