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Luxury 1 - TL Catarina Guimarães/Richemont/"/>
    </mc:Choice>
  </mc:AlternateContent>
  <xr:revisionPtr revIDLastSave="7651" documentId="11_E4DECC7E2C689B88A84CD31DE83063B399EE1EDA" xr6:coauthVersionLast="47" xr6:coauthVersionMax="47" xr10:uidLastSave="{545ABB45-8286-4274-80FC-3427CC0BF966}"/>
  <bookViews>
    <workbookView xWindow="-28920" yWindow="-4620" windowWidth="29040" windowHeight="17640" tabRatio="644" activeTab="5" xr2:uid="{00000000-000D-0000-FFFF-FFFF00000000}"/>
  </bookViews>
  <sheets>
    <sheet name="OP" sheetId="1" r:id="rId1"/>
    <sheet name="Segments" sheetId="3" r:id="rId2"/>
    <sheet name="Acuerdo" sheetId="11" state="hidden" r:id="rId3"/>
    <sheet name="Peers" sheetId="10" r:id="rId4"/>
    <sheet name="ESG" sheetId="19" r:id="rId5"/>
    <sheet name="DCF" sheetId="4" r:id="rId6"/>
    <sheet name="Assumptions" sheetId="22" r:id="rId7"/>
    <sheet name="Fin. Data" sheetId="16" r:id="rId8"/>
    <sheet name="Sector Impact" sheetId="18" state="hidden" r:id="rId9"/>
    <sheet name="Inputs" sheetId="17" r:id="rId10"/>
    <sheet name="Damodaran" sheetId="23" r:id="rId11"/>
  </sheets>
  <externalReferences>
    <externalReference r:id="rId12"/>
  </externalReferences>
  <definedNames>
    <definedName name="_xlnm.Print_Area" localSheetId="0">OP!$A$1:$M$88</definedName>
    <definedName name="_xlnm.Print_Area" localSheetId="1">Segments!#REF!</definedName>
    <definedName name="Sectors" localSheetId="6">'[1]Sector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3" i="19" l="1"/>
  <c r="D80" i="22"/>
  <c r="D7" i="10"/>
  <c r="B36" i="17"/>
  <c r="B95" i="16"/>
  <c r="C95" i="16"/>
  <c r="D95" i="16"/>
  <c r="D50" i="3"/>
  <c r="E13" i="10"/>
  <c r="F53" i="10"/>
  <c r="F54" i="10"/>
  <c r="F55" i="10"/>
  <c r="D19" i="4"/>
  <c r="E19" i="4"/>
  <c r="G19" i="4"/>
  <c r="D22" i="4"/>
  <c r="E22" i="4"/>
  <c r="F22" i="4"/>
  <c r="F19" i="4" s="1"/>
  <c r="F10" i="4"/>
  <c r="E10" i="4"/>
  <c r="D10" i="4"/>
  <c r="F9" i="4"/>
  <c r="E9" i="4"/>
  <c r="D9" i="4"/>
  <c r="C9" i="22"/>
  <c r="C119" i="22"/>
  <c r="C207" i="22"/>
  <c r="C151" i="22"/>
  <c r="C136" i="22"/>
  <c r="C120" i="22"/>
  <c r="O15" i="1"/>
  <c r="O14" i="1"/>
  <c r="M26" i="1"/>
  <c r="D58" i="4"/>
  <c r="E58" i="4"/>
  <c r="C18" i="22"/>
  <c r="C142" i="22"/>
  <c r="F50" i="4"/>
  <c r="C20" i="17"/>
  <c r="D20" i="17"/>
  <c r="E20" i="17"/>
  <c r="F20" i="17"/>
  <c r="G20" i="17"/>
  <c r="H20" i="17"/>
  <c r="I20" i="17"/>
  <c r="J20" i="17"/>
  <c r="K20" i="17"/>
  <c r="B20" i="17"/>
  <c r="K75" i="17"/>
  <c r="J75" i="17"/>
  <c r="I75" i="17"/>
  <c r="H75" i="17"/>
  <c r="G75" i="17"/>
  <c r="F75" i="17"/>
  <c r="E75" i="17"/>
  <c r="D75" i="17"/>
  <c r="C75" i="17"/>
  <c r="B75" i="17"/>
  <c r="C4" i="16"/>
  <c r="D18" i="16"/>
  <c r="E18" i="16"/>
  <c r="F18" i="16"/>
  <c r="G18" i="16"/>
  <c r="H18" i="16"/>
  <c r="I18" i="16"/>
  <c r="J18" i="16"/>
  <c r="K18" i="16"/>
  <c r="B18" i="16"/>
  <c r="C62" i="16"/>
  <c r="D62" i="16"/>
  <c r="E62" i="16"/>
  <c r="F62" i="16"/>
  <c r="G62" i="16"/>
  <c r="H62" i="16"/>
  <c r="I62" i="16"/>
  <c r="J62" i="16"/>
  <c r="K62" i="16"/>
  <c r="B62" i="16"/>
  <c r="G33" i="16"/>
  <c r="F14" i="16"/>
  <c r="G14" i="16"/>
  <c r="H14" i="16"/>
  <c r="I14" i="16"/>
  <c r="J14" i="16"/>
  <c r="B81" i="16"/>
  <c r="C50" i="4"/>
  <c r="C118" i="1" a="1"/>
  <c r="C118" i="1" s="1"/>
  <c r="AG42" i="4"/>
  <c r="P23" i="22"/>
  <c r="E59" i="4" s="1"/>
  <c r="O23" i="22"/>
  <c r="D59" i="4" s="1"/>
  <c r="F23" i="22"/>
  <c r="C24" i="22"/>
  <c r="P21" i="22"/>
  <c r="E57" i="4" s="1"/>
  <c r="O21" i="22"/>
  <c r="D57" i="4" s="1"/>
  <c r="F24" i="4"/>
  <c r="E24" i="4"/>
  <c r="B23" i="17"/>
  <c r="D214" i="22"/>
  <c r="E214" i="22"/>
  <c r="F214" i="22"/>
  <c r="G214" i="22"/>
  <c r="H214" i="22"/>
  <c r="I214" i="22"/>
  <c r="J214" i="22"/>
  <c r="K214" i="22"/>
  <c r="C214" i="22"/>
  <c r="F21" i="4"/>
  <c r="E21" i="4"/>
  <c r="D21" i="4"/>
  <c r="D287" i="22"/>
  <c r="E287" i="22" s="1"/>
  <c r="D263" i="22"/>
  <c r="E263" i="22"/>
  <c r="F263" i="22"/>
  <c r="G263" i="22"/>
  <c r="H263" i="22"/>
  <c r="I263" i="22"/>
  <c r="J263" i="22"/>
  <c r="K263" i="22"/>
  <c r="L263" i="22"/>
  <c r="C263" i="22"/>
  <c r="P25" i="22"/>
  <c r="O25" i="22"/>
  <c r="D246" i="22"/>
  <c r="E246" i="22"/>
  <c r="F246" i="22"/>
  <c r="G246" i="22"/>
  <c r="H246" i="22"/>
  <c r="I246" i="22"/>
  <c r="J246" i="22"/>
  <c r="K246" i="22"/>
  <c r="L246" i="22"/>
  <c r="C246" i="22"/>
  <c r="B32" i="16"/>
  <c r="I97" i="22"/>
  <c r="C10" i="22"/>
  <c r="Q74" i="1"/>
  <c r="S68" i="1"/>
  <c r="S69" i="1"/>
  <c r="R74" i="1"/>
  <c r="S74" i="1"/>
  <c r="T74" i="1"/>
  <c r="P24" i="22"/>
  <c r="O24" i="22"/>
  <c r="D229" i="22"/>
  <c r="E229" i="22"/>
  <c r="F229" i="22"/>
  <c r="G229" i="22"/>
  <c r="H229" i="22"/>
  <c r="I229" i="22"/>
  <c r="J229" i="22"/>
  <c r="K229" i="22"/>
  <c r="L229" i="22"/>
  <c r="C229" i="22"/>
  <c r="D230" i="22"/>
  <c r="E230" i="22"/>
  <c r="F230" i="22"/>
  <c r="G230" i="22"/>
  <c r="H230" i="22"/>
  <c r="I230" i="22"/>
  <c r="J230" i="22"/>
  <c r="K230" i="22"/>
  <c r="L230" i="22"/>
  <c r="C236" i="22"/>
  <c r="B56" i="17"/>
  <c r="B13" i="17"/>
  <c r="P26" i="22"/>
  <c r="E62" i="4" s="1"/>
  <c r="O26" i="22"/>
  <c r="D62" i="4" s="1"/>
  <c r="F20" i="4"/>
  <c r="F11" i="4" s="1"/>
  <c r="E20" i="4"/>
  <c r="E11" i="4" s="1"/>
  <c r="D20" i="4"/>
  <c r="D11" i="4" s="1"/>
  <c r="P19" i="22"/>
  <c r="O19" i="22"/>
  <c r="G7" i="4" a="1"/>
  <c r="G7" i="4"/>
  <c r="C19" i="22"/>
  <c r="C179" i="22" s="1"/>
  <c r="C56" i="17"/>
  <c r="D56" i="17"/>
  <c r="E56" i="17"/>
  <c r="F56" i="17"/>
  <c r="G56" i="17"/>
  <c r="H56" i="17"/>
  <c r="I56" i="17"/>
  <c r="J56" i="17"/>
  <c r="K56" i="17"/>
  <c r="P14" i="19"/>
  <c r="O14" i="19"/>
  <c r="N14" i="19"/>
  <c r="M14" i="19"/>
  <c r="P12" i="19"/>
  <c r="C23" i="17"/>
  <c r="M12" i="19"/>
  <c r="C25" i="22"/>
  <c r="K25" i="22"/>
  <c r="L25" i="22"/>
  <c r="D25" i="22"/>
  <c r="E25" i="22"/>
  <c r="F25" i="22"/>
  <c r="G25" i="22"/>
  <c r="H25" i="22"/>
  <c r="I25" i="22"/>
  <c r="J25" i="22"/>
  <c r="D24" i="22"/>
  <c r="E24" i="22"/>
  <c r="F24" i="22"/>
  <c r="G24" i="22"/>
  <c r="H24" i="22"/>
  <c r="I24" i="22"/>
  <c r="J24" i="22"/>
  <c r="K24" i="22"/>
  <c r="L24" i="22"/>
  <c r="F34" i="1"/>
  <c r="F27" i="1"/>
  <c r="F28" i="1"/>
  <c r="F29" i="1"/>
  <c r="F30" i="1"/>
  <c r="F31" i="1"/>
  <c r="F32" i="1"/>
  <c r="F33" i="1"/>
  <c r="F38" i="1"/>
  <c r="F37" i="1"/>
  <c r="M20" i="22"/>
  <c r="M22" i="22"/>
  <c r="M24" i="22"/>
  <c r="M25" i="22"/>
  <c r="L18" i="22"/>
  <c r="L142" i="22" s="1"/>
  <c r="L19" i="22"/>
  <c r="L179" i="22" s="1"/>
  <c r="C16" i="22"/>
  <c r="D8" i="22"/>
  <c r="D41" i="22"/>
  <c r="E41" i="22"/>
  <c r="F41" i="22"/>
  <c r="G41" i="22"/>
  <c r="H41" i="22"/>
  <c r="I41" i="22"/>
  <c r="J41" i="22"/>
  <c r="K41" i="22"/>
  <c r="L41" i="22"/>
  <c r="L17" i="22"/>
  <c r="L106" i="22" s="1"/>
  <c r="H43" i="22"/>
  <c r="H215" i="22" s="1"/>
  <c r="I43" i="22"/>
  <c r="I215" i="22" s="1"/>
  <c r="J43" i="22"/>
  <c r="J215" i="22" s="1"/>
  <c r="K43" i="22"/>
  <c r="K215" i="22" s="1"/>
  <c r="C28" i="16"/>
  <c r="E29" i="4" s="1"/>
  <c r="D28" i="16"/>
  <c r="E28" i="16"/>
  <c r="F28" i="16"/>
  <c r="G28" i="16"/>
  <c r="H28" i="16"/>
  <c r="I28" i="16"/>
  <c r="J28" i="16"/>
  <c r="K28" i="16"/>
  <c r="B28" i="16"/>
  <c r="K7" i="3"/>
  <c r="L7" i="3"/>
  <c r="M7" i="3"/>
  <c r="N7" i="3"/>
  <c r="O7" i="3"/>
  <c r="K8" i="3"/>
  <c r="L8" i="3"/>
  <c r="M8" i="3"/>
  <c r="N8" i="3"/>
  <c r="O8" i="3"/>
  <c r="K9" i="3"/>
  <c r="L9" i="3"/>
  <c r="M9" i="3"/>
  <c r="N9" i="3"/>
  <c r="O9" i="3"/>
  <c r="K18" i="22"/>
  <c r="K142" i="22" s="1"/>
  <c r="K19" i="22"/>
  <c r="K179" i="22" s="1"/>
  <c r="K44" i="22"/>
  <c r="L10" i="22"/>
  <c r="H18" i="22"/>
  <c r="H142" i="22" s="1"/>
  <c r="I18" i="22"/>
  <c r="I142" i="22" s="1"/>
  <c r="J18" i="22"/>
  <c r="J142" i="22" s="1"/>
  <c r="H19" i="22"/>
  <c r="H179" i="22" s="1"/>
  <c r="I19" i="22"/>
  <c r="I179" i="22" s="1"/>
  <c r="J19" i="22"/>
  <c r="J179" i="22" s="1"/>
  <c r="O23" i="3"/>
  <c r="L23" i="3"/>
  <c r="K23" i="3"/>
  <c r="K9" i="22"/>
  <c r="I10" i="22"/>
  <c r="J10" i="22"/>
  <c r="K10" i="22"/>
  <c r="I9" i="22"/>
  <c r="J9" i="22"/>
  <c r="D60" i="4"/>
  <c r="E60" i="4"/>
  <c r="D61" i="4"/>
  <c r="E61" i="4"/>
  <c r="D55" i="4"/>
  <c r="E55" i="4"/>
  <c r="D56" i="4"/>
  <c r="E56" i="4"/>
  <c r="B11" i="16"/>
  <c r="D28" i="4"/>
  <c r="E28" i="4"/>
  <c r="F28" i="4"/>
  <c r="D24" i="4"/>
  <c r="F6" i="4"/>
  <c r="E6" i="4"/>
  <c r="D6" i="4"/>
  <c r="I33" i="23"/>
  <c r="I32" i="23"/>
  <c r="I31" i="23"/>
  <c r="I30" i="23"/>
  <c r="I29" i="23" s="1"/>
  <c r="E61" i="22" s="1"/>
  <c r="I28" i="23"/>
  <c r="I27" i="23"/>
  <c r="I26" i="23"/>
  <c r="I25" i="23"/>
  <c r="I24" i="23"/>
  <c r="I23" i="23"/>
  <c r="I22" i="23"/>
  <c r="I20" i="23"/>
  <c r="I19" i="23"/>
  <c r="I17" i="23"/>
  <c r="E62" i="22" s="1"/>
  <c r="I16" i="23"/>
  <c r="I13" i="23"/>
  <c r="I11" i="23"/>
  <c r="I10" i="23"/>
  <c r="I9" i="23"/>
  <c r="I8" i="23"/>
  <c r="I7" i="23"/>
  <c r="I6" i="23"/>
  <c r="I21" i="23"/>
  <c r="I15" i="23"/>
  <c r="I14" i="23"/>
  <c r="I5" i="23"/>
  <c r="I4" i="23"/>
  <c r="I3" i="23" s="1"/>
  <c r="E60" i="22" s="1"/>
  <c r="C65" i="22"/>
  <c r="D64" i="22" s="1"/>
  <c r="C231" i="22" l="1"/>
  <c r="C240" i="22"/>
  <c r="D240" i="22" s="1"/>
  <c r="E240" i="22" s="1"/>
  <c r="F240" i="22" s="1"/>
  <c r="G240" i="22" s="1"/>
  <c r="H240" i="22" s="1"/>
  <c r="I240" i="22" s="1"/>
  <c r="J240" i="22" s="1"/>
  <c r="K240" i="22" s="1"/>
  <c r="L240" i="22" s="1"/>
  <c r="M240" i="22" s="1"/>
  <c r="N240" i="22" s="1"/>
  <c r="O240" i="22" s="1"/>
  <c r="P240" i="22" s="1"/>
  <c r="Q240" i="22" s="1"/>
  <c r="R240" i="22" s="1"/>
  <c r="S240" i="22" s="1"/>
  <c r="T240" i="22" s="1"/>
  <c r="U240" i="22" s="1"/>
  <c r="V240" i="22" s="1"/>
  <c r="W240" i="22" s="1"/>
  <c r="X240" i="22" s="1"/>
  <c r="Y240" i="22" s="1"/>
  <c r="Z240" i="22" s="1"/>
  <c r="AA240" i="22" s="1"/>
  <c r="AB240" i="22" s="1"/>
  <c r="C230" i="22"/>
  <c r="C233" i="22" s="1"/>
  <c r="K216" i="22"/>
  <c r="K23" i="22" s="1"/>
  <c r="J216" i="22"/>
  <c r="J23" i="22" s="1"/>
  <c r="I216" i="22"/>
  <c r="I23" i="22" s="1"/>
  <c r="H216" i="22"/>
  <c r="H23" i="22" s="1"/>
  <c r="K231" i="22"/>
  <c r="J231" i="22"/>
  <c r="I231" i="22"/>
  <c r="H231" i="22"/>
  <c r="G231" i="22"/>
  <c r="F231" i="22"/>
  <c r="E231" i="22"/>
  <c r="D231" i="22"/>
  <c r="C235" i="22"/>
  <c r="C234" i="22"/>
  <c r="C17" i="22"/>
  <c r="I12" i="23"/>
  <c r="E64" i="22" s="1"/>
  <c r="F64" i="22" s="1"/>
  <c r="I18" i="23"/>
  <c r="E63" i="22" s="1"/>
  <c r="D61" i="22"/>
  <c r="F61" i="22" s="1"/>
  <c r="D63" i="22"/>
  <c r="F63" i="22" s="1"/>
  <c r="D62" i="22"/>
  <c r="D60" i="22"/>
  <c r="D19" i="22"/>
  <c r="D179" i="22" s="1"/>
  <c r="D44" i="22"/>
  <c r="E44" i="22"/>
  <c r="F44" i="22"/>
  <c r="G44" i="22"/>
  <c r="H44" i="22"/>
  <c r="I44" i="22"/>
  <c r="J44" i="22"/>
  <c r="C44" i="22"/>
  <c r="D43" i="22"/>
  <c r="D215" i="22" s="1"/>
  <c r="D216" i="22" s="1"/>
  <c r="D23" i="22" s="1"/>
  <c r="E43" i="22"/>
  <c r="E215" i="22" s="1"/>
  <c r="E216" i="22" s="1"/>
  <c r="E23" i="22" s="1"/>
  <c r="F43" i="22"/>
  <c r="F215" i="22" s="1"/>
  <c r="G43" i="22"/>
  <c r="G215" i="22" s="1"/>
  <c r="G216" i="22" s="1"/>
  <c r="G23" i="22" s="1"/>
  <c r="C43" i="22"/>
  <c r="C215" i="22" s="1"/>
  <c r="C216" i="22" s="1"/>
  <c r="C41" i="22"/>
  <c r="E19" i="22"/>
  <c r="E179" i="22" s="1"/>
  <c r="F19" i="22"/>
  <c r="F179" i="22" s="1"/>
  <c r="G19" i="22"/>
  <c r="G179" i="22" s="1"/>
  <c r="C184" i="22" s="1"/>
  <c r="M19" i="22"/>
  <c r="D18" i="22"/>
  <c r="D142" i="22" s="1"/>
  <c r="E18" i="22"/>
  <c r="E142" i="22" s="1"/>
  <c r="F18" i="22"/>
  <c r="F142" i="22" s="1"/>
  <c r="G18" i="22"/>
  <c r="G142" i="22" s="1"/>
  <c r="C147" i="22" s="1"/>
  <c r="M18" i="22"/>
  <c r="D17" i="22"/>
  <c r="D106" i="22" s="1"/>
  <c r="E17" i="22"/>
  <c r="E106" i="22" s="1"/>
  <c r="F17" i="22"/>
  <c r="F106" i="22" s="1"/>
  <c r="G17" i="22"/>
  <c r="G106" i="22" s="1"/>
  <c r="H17" i="22"/>
  <c r="H106" i="22" s="1"/>
  <c r="I17" i="22"/>
  <c r="I106" i="22" s="1"/>
  <c r="J17" i="22"/>
  <c r="J106" i="22" s="1"/>
  <c r="K17" i="22"/>
  <c r="K106" i="22" s="1"/>
  <c r="E31" i="22"/>
  <c r="F31" i="22" s="1"/>
  <c r="G31" i="22" s="1"/>
  <c r="B14" i="17"/>
  <c r="B2" i="1"/>
  <c r="C67" i="16"/>
  <c r="D67" i="16"/>
  <c r="E67" i="16"/>
  <c r="F67" i="16"/>
  <c r="G67" i="16"/>
  <c r="H67" i="16"/>
  <c r="I67" i="16"/>
  <c r="J67" i="16"/>
  <c r="K67" i="16"/>
  <c r="C68" i="16"/>
  <c r="D68" i="16"/>
  <c r="E68" i="16"/>
  <c r="F68" i="16"/>
  <c r="G68" i="16"/>
  <c r="H68" i="16"/>
  <c r="I68" i="16"/>
  <c r="J68" i="16"/>
  <c r="K68" i="16"/>
  <c r="C69" i="16"/>
  <c r="D69" i="16"/>
  <c r="E69" i="16"/>
  <c r="F69" i="16"/>
  <c r="G69" i="16"/>
  <c r="H69" i="16"/>
  <c r="I69" i="16"/>
  <c r="J69" i="16"/>
  <c r="K69" i="16"/>
  <c r="C70" i="16"/>
  <c r="D70" i="16"/>
  <c r="E70" i="16"/>
  <c r="F70" i="16"/>
  <c r="G70" i="16"/>
  <c r="H70" i="16"/>
  <c r="I70" i="16"/>
  <c r="J70" i="16"/>
  <c r="K70" i="16"/>
  <c r="C71" i="16"/>
  <c r="D71" i="16"/>
  <c r="E71" i="16"/>
  <c r="F71" i="16"/>
  <c r="G71" i="16"/>
  <c r="H71" i="16"/>
  <c r="I71" i="16"/>
  <c r="J71" i="16"/>
  <c r="K71" i="16"/>
  <c r="C72" i="16"/>
  <c r="D72" i="16"/>
  <c r="E72" i="16"/>
  <c r="F72" i="16"/>
  <c r="G72" i="16"/>
  <c r="H72" i="16"/>
  <c r="I72" i="16"/>
  <c r="J72" i="16"/>
  <c r="K72" i="16"/>
  <c r="C73" i="16"/>
  <c r="D73" i="16"/>
  <c r="E73" i="16"/>
  <c r="F73" i="16"/>
  <c r="G73" i="16"/>
  <c r="H73" i="16"/>
  <c r="I73" i="16"/>
  <c r="J73" i="16"/>
  <c r="K73" i="16"/>
  <c r="C74" i="16"/>
  <c r="D74" i="16"/>
  <c r="E74" i="16"/>
  <c r="F74" i="16"/>
  <c r="G74" i="16"/>
  <c r="H74" i="16"/>
  <c r="I74" i="16"/>
  <c r="J74" i="16"/>
  <c r="K74" i="16"/>
  <c r="B74" i="16"/>
  <c r="B73" i="16"/>
  <c r="B72" i="16"/>
  <c r="B71" i="16"/>
  <c r="B70" i="16"/>
  <c r="B69" i="16"/>
  <c r="B68" i="16"/>
  <c r="B67" i="16"/>
  <c r="C48" i="16"/>
  <c r="D48" i="16"/>
  <c r="E48" i="16"/>
  <c r="F48" i="16"/>
  <c r="G48" i="16"/>
  <c r="H48" i="16"/>
  <c r="I48" i="16"/>
  <c r="J48" i="16"/>
  <c r="K48" i="16"/>
  <c r="C49" i="16"/>
  <c r="D49" i="16"/>
  <c r="E49" i="16"/>
  <c r="F49" i="16"/>
  <c r="G49" i="16"/>
  <c r="H49" i="16"/>
  <c r="I49" i="16"/>
  <c r="J49" i="16"/>
  <c r="K49" i="16"/>
  <c r="C50" i="16"/>
  <c r="D50" i="16"/>
  <c r="E50" i="16"/>
  <c r="F50" i="16"/>
  <c r="G50" i="16"/>
  <c r="H50" i="16"/>
  <c r="I50" i="16"/>
  <c r="J50" i="16"/>
  <c r="K50" i="16"/>
  <c r="C53" i="16"/>
  <c r="D53" i="16"/>
  <c r="E53" i="16"/>
  <c r="F53" i="16"/>
  <c r="G53" i="16"/>
  <c r="H53" i="16"/>
  <c r="I53" i="16"/>
  <c r="J53" i="16"/>
  <c r="K53" i="16"/>
  <c r="C54" i="16"/>
  <c r="D54" i="16"/>
  <c r="E54" i="16"/>
  <c r="F54" i="16"/>
  <c r="G54" i="16"/>
  <c r="H54" i="16"/>
  <c r="I54" i="16"/>
  <c r="J54" i="16"/>
  <c r="K54" i="16"/>
  <c r="C56" i="16"/>
  <c r="D56" i="16"/>
  <c r="E56" i="16"/>
  <c r="F56" i="16"/>
  <c r="G56" i="16"/>
  <c r="H56" i="16"/>
  <c r="I56" i="16"/>
  <c r="J56" i="16"/>
  <c r="K56" i="16"/>
  <c r="B56" i="16"/>
  <c r="B54" i="16"/>
  <c r="B53" i="16"/>
  <c r="B50" i="16"/>
  <c r="B49" i="16"/>
  <c r="B58" i="16" s="1"/>
  <c r="C72" i="10" s="1"/>
  <c r="B48" i="16"/>
  <c r="C32" i="16"/>
  <c r="D32" i="16"/>
  <c r="E32" i="16"/>
  <c r="F32" i="16"/>
  <c r="G32" i="16"/>
  <c r="H32" i="16"/>
  <c r="I32" i="16"/>
  <c r="J32" i="16"/>
  <c r="K32" i="16"/>
  <c r="C33" i="16"/>
  <c r="D33" i="16"/>
  <c r="E33" i="16"/>
  <c r="F33" i="16"/>
  <c r="H33" i="16"/>
  <c r="I33" i="16"/>
  <c r="J33" i="16"/>
  <c r="K33" i="16"/>
  <c r="B33" i="16"/>
  <c r="C39" i="16"/>
  <c r="D39" i="16"/>
  <c r="E39" i="16"/>
  <c r="F39" i="16"/>
  <c r="G39" i="16"/>
  <c r="H39" i="16"/>
  <c r="I39" i="16"/>
  <c r="J39" i="16"/>
  <c r="K39" i="16"/>
  <c r="K26" i="16" s="1"/>
  <c r="C40" i="16"/>
  <c r="D264" i="22" s="1"/>
  <c r="D40" i="16"/>
  <c r="E264" i="22" s="1"/>
  <c r="E40" i="16"/>
  <c r="F264" i="22" s="1"/>
  <c r="F40" i="16"/>
  <c r="G264" i="22" s="1"/>
  <c r="G40" i="16"/>
  <c r="H264" i="22" s="1"/>
  <c r="H40" i="16"/>
  <c r="I264" i="22" s="1"/>
  <c r="I40" i="16"/>
  <c r="J264" i="22" s="1"/>
  <c r="J40" i="16"/>
  <c r="K264" i="22" s="1"/>
  <c r="K40" i="16"/>
  <c r="L264" i="22" s="1"/>
  <c r="C41" i="16"/>
  <c r="D41" i="16"/>
  <c r="E41" i="16"/>
  <c r="F41" i="16"/>
  <c r="G41" i="16"/>
  <c r="H41" i="16"/>
  <c r="I41" i="16"/>
  <c r="J41" i="16"/>
  <c r="K41" i="16"/>
  <c r="C42" i="16"/>
  <c r="D42" i="16"/>
  <c r="E42" i="16"/>
  <c r="F42" i="16"/>
  <c r="G42" i="16"/>
  <c r="H42" i="16"/>
  <c r="I42" i="16"/>
  <c r="J42" i="16"/>
  <c r="K42" i="16"/>
  <c r="C44" i="16"/>
  <c r="D44" i="16"/>
  <c r="E44" i="16"/>
  <c r="F44" i="16"/>
  <c r="G44" i="16"/>
  <c r="H44" i="16"/>
  <c r="I44" i="16"/>
  <c r="J44" i="16"/>
  <c r="K44" i="16"/>
  <c r="B44" i="16"/>
  <c r="B42" i="16"/>
  <c r="B41" i="16"/>
  <c r="B40" i="16"/>
  <c r="C264" i="22" s="1"/>
  <c r="B39" i="16"/>
  <c r="B26" i="16"/>
  <c r="C27" i="16"/>
  <c r="D27" i="16"/>
  <c r="E27" i="16"/>
  <c r="F27" i="16"/>
  <c r="G27" i="16"/>
  <c r="H27" i="16"/>
  <c r="I27" i="16"/>
  <c r="J27" i="16"/>
  <c r="K27" i="16"/>
  <c r="B27" i="16"/>
  <c r="C23" i="16"/>
  <c r="D23" i="16"/>
  <c r="E247" i="22" s="1"/>
  <c r="E23" i="16"/>
  <c r="F247" i="22" s="1"/>
  <c r="F23" i="16"/>
  <c r="G247" i="22" s="1"/>
  <c r="G23" i="16"/>
  <c r="H247" i="22" s="1"/>
  <c r="H23" i="16"/>
  <c r="I247" i="22" s="1"/>
  <c r="I23" i="16"/>
  <c r="J247" i="22" s="1"/>
  <c r="J23" i="16"/>
  <c r="K247" i="22" s="1"/>
  <c r="K23" i="16"/>
  <c r="L247" i="22" s="1"/>
  <c r="B23" i="16"/>
  <c r="C247" i="22" s="1"/>
  <c r="C21" i="16"/>
  <c r="E16" i="4" s="1"/>
  <c r="D21" i="16"/>
  <c r="E21" i="16"/>
  <c r="F21" i="16"/>
  <c r="G21" i="16"/>
  <c r="H21" i="16"/>
  <c r="I21" i="16"/>
  <c r="J21" i="16"/>
  <c r="K21" i="16"/>
  <c r="B21" i="16"/>
  <c r="C17" i="16"/>
  <c r="D17" i="16"/>
  <c r="E17" i="16"/>
  <c r="F17" i="16"/>
  <c r="G17" i="16"/>
  <c r="H17" i="16"/>
  <c r="I17" i="16"/>
  <c r="J17" i="16"/>
  <c r="K17" i="16"/>
  <c r="C18" i="16"/>
  <c r="C15" i="16"/>
  <c r="D15" i="16"/>
  <c r="D14" i="4" s="1"/>
  <c r="E15" i="16"/>
  <c r="F15" i="16"/>
  <c r="G15" i="16"/>
  <c r="H15" i="16"/>
  <c r="I15" i="16"/>
  <c r="J15" i="16"/>
  <c r="K15" i="16"/>
  <c r="B17" i="16"/>
  <c r="B15" i="16"/>
  <c r="C14" i="16"/>
  <c r="D14" i="16"/>
  <c r="D13" i="4" s="1"/>
  <c r="E14" i="16"/>
  <c r="K14" i="16"/>
  <c r="B14" i="16"/>
  <c r="C11" i="16"/>
  <c r="D11" i="16"/>
  <c r="D8" i="4" s="1"/>
  <c r="E11" i="16"/>
  <c r="F11" i="16"/>
  <c r="G11" i="16"/>
  <c r="H11" i="16"/>
  <c r="I11" i="16"/>
  <c r="J11" i="16"/>
  <c r="K11" i="16"/>
  <c r="C7" i="16"/>
  <c r="D7" i="16"/>
  <c r="E7" i="16"/>
  <c r="F7" i="16"/>
  <c r="G7" i="16"/>
  <c r="H7" i="16"/>
  <c r="I7" i="16"/>
  <c r="J7" i="16"/>
  <c r="K7" i="16"/>
  <c r="B7" i="16"/>
  <c r="C5" i="16"/>
  <c r="D159" i="22" s="1"/>
  <c r="D5" i="16"/>
  <c r="E159" i="22" s="1"/>
  <c r="E5" i="16"/>
  <c r="F159" i="22" s="1"/>
  <c r="F5" i="16"/>
  <c r="G159" i="22" s="1"/>
  <c r="G5" i="16"/>
  <c r="H159" i="22" s="1"/>
  <c r="H5" i="16"/>
  <c r="I159" i="22" s="1"/>
  <c r="I5" i="16"/>
  <c r="J5" i="16"/>
  <c r="K159" i="22" s="1"/>
  <c r="K5" i="16"/>
  <c r="L159" i="22" s="1"/>
  <c r="B5" i="16"/>
  <c r="C159" i="22" s="1"/>
  <c r="B60" i="1"/>
  <c r="F57" i="10"/>
  <c r="D21" i="10"/>
  <c r="F72" i="10"/>
  <c r="F19" i="10" s="1"/>
  <c r="E72" i="10"/>
  <c r="D73" i="10"/>
  <c r="B64" i="16"/>
  <c r="D72" i="10"/>
  <c r="D10" i="10"/>
  <c r="M11" i="19" s="1"/>
  <c r="M6" i="19" s="1"/>
  <c r="E7" i="10"/>
  <c r="N4" i="19" s="1"/>
  <c r="C117" i="1" a="1"/>
  <c r="C117" i="1" s="1"/>
  <c r="B89" i="17"/>
  <c r="C64" i="16"/>
  <c r="D64" i="16"/>
  <c r="C13" i="17"/>
  <c r="D13" i="17"/>
  <c r="E13" i="17"/>
  <c r="F13" i="17"/>
  <c r="G13" i="17"/>
  <c r="H13" i="17"/>
  <c r="I13" i="17"/>
  <c r="J13" i="17"/>
  <c r="K13" i="17"/>
  <c r="B77" i="17"/>
  <c r="B75" i="16" s="1"/>
  <c r="B67" i="17"/>
  <c r="F25" i="4" s="1"/>
  <c r="F31" i="4"/>
  <c r="B60" i="17"/>
  <c r="B63" i="17"/>
  <c r="B46" i="17"/>
  <c r="B51" i="16" s="1"/>
  <c r="B47" i="17"/>
  <c r="B52" i="16" s="1"/>
  <c r="B50" i="17"/>
  <c r="B55" i="16" s="1"/>
  <c r="B32" i="17"/>
  <c r="B31" i="17"/>
  <c r="B37" i="17" s="1"/>
  <c r="B43" i="16" s="1"/>
  <c r="H47" i="10"/>
  <c r="O6" i="3"/>
  <c r="O10" i="3"/>
  <c r="O11" i="3"/>
  <c r="O12" i="3"/>
  <c r="N6" i="3"/>
  <c r="N10" i="3"/>
  <c r="N11" i="3"/>
  <c r="N12" i="3"/>
  <c r="M6" i="3"/>
  <c r="M10" i="3"/>
  <c r="M11" i="3"/>
  <c r="M12" i="3"/>
  <c r="L6" i="3"/>
  <c r="L10" i="3"/>
  <c r="L11" i="3"/>
  <c r="L12" i="3"/>
  <c r="K6" i="3"/>
  <c r="K10" i="3"/>
  <c r="K11" i="3"/>
  <c r="K12" i="3"/>
  <c r="D7" i="4" l="1"/>
  <c r="D18" i="4"/>
  <c r="D145" i="22"/>
  <c r="C193" i="22"/>
  <c r="C295" i="22"/>
  <c r="C296" i="22" s="1"/>
  <c r="C220" i="22"/>
  <c r="C23" i="22"/>
  <c r="D247" i="22"/>
  <c r="E17" i="4"/>
  <c r="B12" i="16"/>
  <c r="C251" i="22"/>
  <c r="C250" i="22"/>
  <c r="C268" i="22"/>
  <c r="C267" i="22"/>
  <c r="C269" i="22"/>
  <c r="C266" i="22"/>
  <c r="C252" i="22"/>
  <c r="C249" i="22"/>
  <c r="D12" i="4"/>
  <c r="C195" i="22"/>
  <c r="C194" i="22"/>
  <c r="C26" i="22" s="1"/>
  <c r="F14" i="4"/>
  <c r="J159" i="22"/>
  <c r="J47" i="22"/>
  <c r="C164" i="22"/>
  <c r="L105" i="22"/>
  <c r="L47" i="22"/>
  <c r="L127" i="22" s="1"/>
  <c r="K105" i="22"/>
  <c r="K47" i="22"/>
  <c r="K127" i="22" s="1"/>
  <c r="I105" i="22"/>
  <c r="I47" i="22"/>
  <c r="I127" i="22" s="1"/>
  <c r="H105" i="22"/>
  <c r="H47" i="22"/>
  <c r="H127" i="22" s="1"/>
  <c r="G105" i="22"/>
  <c r="G47" i="22"/>
  <c r="G127" i="22" s="1"/>
  <c r="F105" i="22"/>
  <c r="C112" i="22" s="1"/>
  <c r="F47" i="22"/>
  <c r="F127" i="22" s="1"/>
  <c r="E105" i="22"/>
  <c r="E47" i="22"/>
  <c r="E127" i="22" s="1"/>
  <c r="D105" i="22"/>
  <c r="D47" i="22"/>
  <c r="D127" i="22" s="1"/>
  <c r="C163" i="22"/>
  <c r="C162" i="22"/>
  <c r="C105" i="22"/>
  <c r="C47" i="22"/>
  <c r="C127" i="22" s="1"/>
  <c r="C183" i="22"/>
  <c r="C182" i="22"/>
  <c r="C181" i="22"/>
  <c r="F62" i="22"/>
  <c r="C161" i="22"/>
  <c r="J127" i="22"/>
  <c r="C144" i="22"/>
  <c r="C146" i="22"/>
  <c r="C145" i="22"/>
  <c r="C106" i="22"/>
  <c r="M17" i="22"/>
  <c r="J105" i="22"/>
  <c r="J26" i="16"/>
  <c r="G26" i="16"/>
  <c r="F26" i="16"/>
  <c r="E26" i="16"/>
  <c r="D26" i="16"/>
  <c r="C26" i="16"/>
  <c r="C114" i="22"/>
  <c r="C113" i="22"/>
  <c r="F114" i="22"/>
  <c r="F113" i="22"/>
  <c r="F112" i="22"/>
  <c r="F111" i="22"/>
  <c r="H26" i="16"/>
  <c r="I26" i="16"/>
  <c r="H31" i="22"/>
  <c r="I31" i="22" s="1"/>
  <c r="J31" i="22" s="1"/>
  <c r="K31" i="22" s="1"/>
  <c r="L31" i="22" s="1"/>
  <c r="F60" i="22"/>
  <c r="D65" i="22"/>
  <c r="G59" i="10"/>
  <c r="G61" i="10"/>
  <c r="G60" i="10"/>
  <c r="G53" i="10"/>
  <c r="C45" i="10"/>
  <c r="E9" i="10" a="1"/>
  <c r="E9" i="10" s="1"/>
  <c r="E36" i="10" s="1"/>
  <c r="E44" i="10" a="1"/>
  <c r="E44" i="10" s="1"/>
  <c r="D9" i="10" a="1"/>
  <c r="D9" i="10" s="1"/>
  <c r="D44" i="10" a="1"/>
  <c r="D44" i="10" s="1"/>
  <c r="G73" i="10"/>
  <c r="G72" i="10"/>
  <c r="G71" i="10"/>
  <c r="G70" i="10"/>
  <c r="G69" i="10"/>
  <c r="G68" i="10"/>
  <c r="G58" i="10"/>
  <c r="G57" i="10" s="1"/>
  <c r="G67" i="10"/>
  <c r="G66" i="10"/>
  <c r="G65" i="10"/>
  <c r="G64" i="10"/>
  <c r="G56" i="10"/>
  <c r="G54" i="10"/>
  <c r="G55" i="10"/>
  <c r="D16" i="22"/>
  <c r="G7" i="10"/>
  <c r="G44" i="10" s="1" a="1"/>
  <c r="G44" i="10" s="1"/>
  <c r="F7" i="10"/>
  <c r="D60" i="17"/>
  <c r="E60" i="17"/>
  <c r="F60" i="17"/>
  <c r="G60" i="17"/>
  <c r="H60" i="17"/>
  <c r="I60" i="17"/>
  <c r="J60" i="17"/>
  <c r="K60" i="17"/>
  <c r="C60" i="17"/>
  <c r="G67" i="17"/>
  <c r="H67" i="17"/>
  <c r="I67" i="17"/>
  <c r="J67" i="17"/>
  <c r="K67" i="17"/>
  <c r="F47" i="17"/>
  <c r="F52" i="16" s="1"/>
  <c r="G47" i="17"/>
  <c r="G52" i="16" s="1"/>
  <c r="H47" i="17"/>
  <c r="H52" i="16" s="1"/>
  <c r="I47" i="17"/>
  <c r="I52" i="16" s="1"/>
  <c r="J47" i="17"/>
  <c r="J52" i="16" s="1"/>
  <c r="K47" i="17"/>
  <c r="K52" i="16" s="1"/>
  <c r="E47" i="17"/>
  <c r="E52" i="16" s="1"/>
  <c r="F32" i="17"/>
  <c r="G32" i="17"/>
  <c r="H32" i="17"/>
  <c r="I32" i="17"/>
  <c r="J32" i="17"/>
  <c r="K32" i="17"/>
  <c r="E32" i="17"/>
  <c r="D46" i="10" l="1"/>
  <c r="D42" i="10"/>
  <c r="D43" i="10"/>
  <c r="D36" i="10"/>
  <c r="D35" i="10"/>
  <c r="C129" i="22"/>
  <c r="E35" i="10"/>
  <c r="C111" i="22"/>
  <c r="C21" i="22"/>
  <c r="M23" i="22"/>
  <c r="C218" i="22"/>
  <c r="C219" i="22"/>
  <c r="F65" i="22"/>
  <c r="D50" i="4" s="1"/>
  <c r="O17" i="22"/>
  <c r="O18" i="22"/>
  <c r="P17" i="22"/>
  <c r="E53" i="4" s="1"/>
  <c r="D53" i="4"/>
  <c r="C131" i="22"/>
  <c r="C130" i="22"/>
  <c r="C132" i="22"/>
  <c r="F9" i="10" a="1"/>
  <c r="F9" i="10" s="1"/>
  <c r="F44" i="10" a="1"/>
  <c r="F44" i="10" s="1"/>
  <c r="G9" i="10" a="1"/>
  <c r="G9" i="10" s="1"/>
  <c r="C14" i="17"/>
  <c r="C87" i="17"/>
  <c r="C77" i="17"/>
  <c r="C75" i="16" s="1"/>
  <c r="E31" i="4"/>
  <c r="C67" i="17"/>
  <c r="E25" i="4" s="1"/>
  <c r="C63" i="17"/>
  <c r="C47" i="17"/>
  <c r="C46" i="17"/>
  <c r="C51" i="16" s="1"/>
  <c r="C32" i="17"/>
  <c r="C36" i="17" s="1"/>
  <c r="C31" i="17"/>
  <c r="C37" i="17" s="1"/>
  <c r="C43" i="16" s="1"/>
  <c r="P18" i="22" l="1"/>
  <c r="E54" i="4" s="1"/>
  <c r="D54" i="4"/>
  <c r="C50" i="17"/>
  <c r="C55" i="16" s="1"/>
  <c r="C52" i="16"/>
  <c r="G36" i="10"/>
  <c r="G35" i="10"/>
  <c r="F35" i="10"/>
  <c r="F36" i="10"/>
  <c r="G51" i="10" l="1"/>
  <c r="G78" i="10" s="1" a="1"/>
  <c r="G78" i="10" s="1"/>
  <c r="F51" i="10"/>
  <c r="F78" i="10" s="1" a="1"/>
  <c r="F78" i="10" s="1"/>
  <c r="E51" i="10"/>
  <c r="E78" i="10" s="1" a="1"/>
  <c r="E78" i="10" s="1"/>
  <c r="D51" i="10"/>
  <c r="F10" i="22"/>
  <c r="G10" i="22"/>
  <c r="H10" i="22"/>
  <c r="H9" i="22"/>
  <c r="G9" i="22"/>
  <c r="C76" i="22" s="1"/>
  <c r="F9" i="22"/>
  <c r="E10" i="22"/>
  <c r="E9" i="22"/>
  <c r="D10" i="22"/>
  <c r="M10" i="22" s="1"/>
  <c r="D9" i="22"/>
  <c r="M9" i="22" l="1"/>
  <c r="C75" i="22"/>
  <c r="C74" i="22"/>
  <c r="C73" i="22"/>
  <c r="D38" i="10" a="1"/>
  <c r="D38" i="10" s="1"/>
  <c r="D78" i="10" a="1"/>
  <c r="D78" i="10" s="1"/>
  <c r="M114" i="1"/>
  <c r="L114" i="1"/>
  <c r="K114" i="1"/>
  <c r="I114" i="1"/>
  <c r="E8" i="22"/>
  <c r="C48" i="10"/>
  <c r="C81" i="22" l="1"/>
  <c r="H48" i="10"/>
  <c r="I48" i="10" s="1"/>
  <c r="F8" i="22"/>
  <c r="E16" i="22"/>
  <c r="J46" i="1"/>
  <c r="O22" i="3"/>
  <c r="N22" i="3"/>
  <c r="M22" i="3"/>
  <c r="L22" i="3"/>
  <c r="K22" i="3"/>
  <c r="P4" i="19"/>
  <c r="O4" i="19"/>
  <c r="M4" i="19"/>
  <c r="C187" i="22" l="1"/>
  <c r="C168" i="22"/>
  <c r="G6" i="4"/>
  <c r="C223" i="22"/>
  <c r="G21" i="4"/>
  <c r="G5" i="4"/>
  <c r="G8" i="4"/>
  <c r="C98" i="22"/>
  <c r="C152" i="22"/>
  <c r="E80" i="22"/>
  <c r="D81" i="22"/>
  <c r="D136" i="22" s="1"/>
  <c r="G8" i="22"/>
  <c r="F16" i="22"/>
  <c r="H45" i="10"/>
  <c r="I45" i="10" s="1"/>
  <c r="E2" i="1"/>
  <c r="O47" i="1" s="1" a="1"/>
  <c r="O47" i="1" s="1"/>
  <c r="G21" i="10"/>
  <c r="G38" i="10" s="1" a="1"/>
  <c r="G38" i="10" s="1"/>
  <c r="F21" i="10"/>
  <c r="F38" i="10" s="1" a="1"/>
  <c r="F38" i="10" s="1"/>
  <c r="F43" i="10" s="1"/>
  <c r="E21" i="10"/>
  <c r="E38" i="10" s="1" a="1"/>
  <c r="E38" i="10" s="1"/>
  <c r="E43" i="10" s="1"/>
  <c r="D77" i="17"/>
  <c r="E77" i="17"/>
  <c r="F77" i="17"/>
  <c r="G77" i="17"/>
  <c r="H77" i="17"/>
  <c r="I77" i="17"/>
  <c r="J77" i="17"/>
  <c r="K77" i="17"/>
  <c r="F60" i="1"/>
  <c r="C150" i="22" l="1"/>
  <c r="G24" i="4"/>
  <c r="C118" i="22"/>
  <c r="C174" i="22"/>
  <c r="G23" i="4" s="1"/>
  <c r="G40" i="4" s="1"/>
  <c r="G44" i="4"/>
  <c r="C121" i="22"/>
  <c r="G9" i="4"/>
  <c r="G41" i="4" s="1"/>
  <c r="H6" i="4"/>
  <c r="H8" i="4" s="1"/>
  <c r="G11" i="4"/>
  <c r="D187" i="22"/>
  <c r="D207" i="22"/>
  <c r="D120" i="22"/>
  <c r="D168" i="22"/>
  <c r="F80" i="22"/>
  <c r="E81" i="22"/>
  <c r="E136" i="22" s="1"/>
  <c r="P8" i="1" a="1"/>
  <c r="P8" i="1" s="1"/>
  <c r="Q8" i="1" s="1"/>
  <c r="P7" i="1" a="1"/>
  <c r="P7" i="1" s="1"/>
  <c r="Q7" i="1" s="1"/>
  <c r="C25" i="1" a="1"/>
  <c r="C25" i="1" s="1"/>
  <c r="P6" i="1" a="1"/>
  <c r="P6" i="1" s="1"/>
  <c r="Q6" i="1" s="1"/>
  <c r="F52" i="1"/>
  <c r="K75" i="16"/>
  <c r="F53" i="1"/>
  <c r="J75" i="16"/>
  <c r="F54" i="1"/>
  <c r="I75" i="16"/>
  <c r="F55" i="1"/>
  <c r="H75" i="16"/>
  <c r="F56" i="1"/>
  <c r="G75" i="16"/>
  <c r="F57" i="1"/>
  <c r="F75" i="16"/>
  <c r="F58" i="1"/>
  <c r="E75" i="16"/>
  <c r="F59" i="1"/>
  <c r="D75" i="16"/>
  <c r="L2" i="1" a="1"/>
  <c r="L2" i="1" s="1"/>
  <c r="H8" i="22"/>
  <c r="H16" i="22" s="1"/>
  <c r="G16" i="22"/>
  <c r="C26" i="1" a="1"/>
  <c r="C26" i="1" s="1"/>
  <c r="C7" i="10"/>
  <c r="C44" i="10" s="1" a="1"/>
  <c r="C44" i="10" s="1"/>
  <c r="G10" i="4" l="1"/>
  <c r="C153" i="22"/>
  <c r="G38" i="4"/>
  <c r="G39" i="4"/>
  <c r="C305" i="22"/>
  <c r="D223" i="22"/>
  <c r="H21" i="4" s="1"/>
  <c r="C27" i="1"/>
  <c r="H24" i="4"/>
  <c r="D152" i="22"/>
  <c r="D174" i="22"/>
  <c r="H23" i="4" s="1"/>
  <c r="H40" i="4" s="1"/>
  <c r="D118" i="22"/>
  <c r="G80" i="22"/>
  <c r="H44" i="4"/>
  <c r="H9" i="4"/>
  <c r="I6" i="4"/>
  <c r="H11" i="4"/>
  <c r="E187" i="22"/>
  <c r="E207" i="22"/>
  <c r="E120" i="22"/>
  <c r="E168" i="22"/>
  <c r="D119" i="22"/>
  <c r="D121" i="22" s="1"/>
  <c r="E118" i="22"/>
  <c r="E119" i="22" s="1"/>
  <c r="F81" i="22"/>
  <c r="F136" i="22" s="1"/>
  <c r="Q9" i="1"/>
  <c r="L4" i="19"/>
  <c r="E27" i="10"/>
  <c r="D23" i="17"/>
  <c r="E23" i="17"/>
  <c r="F23" i="17"/>
  <c r="G23" i="17"/>
  <c r="H23" i="17"/>
  <c r="I23" i="17"/>
  <c r="J23" i="17"/>
  <c r="K23" i="17"/>
  <c r="D150" i="22" l="1"/>
  <c r="D305" i="22"/>
  <c r="E223" i="22"/>
  <c r="I21" i="4" s="1"/>
  <c r="I24" i="4"/>
  <c r="E152" i="22"/>
  <c r="E174" i="22"/>
  <c r="I23" i="4" s="1"/>
  <c r="I40" i="4" s="1"/>
  <c r="H10" i="4"/>
  <c r="D151" i="22"/>
  <c r="J6" i="4"/>
  <c r="J44" i="4"/>
  <c r="F305" i="22" s="1"/>
  <c r="I44" i="4"/>
  <c r="E121" i="22"/>
  <c r="I9" i="4"/>
  <c r="J11" i="4"/>
  <c r="I11" i="4"/>
  <c r="D153" i="22"/>
  <c r="E150" i="22" s="1"/>
  <c r="I10" i="4" s="1"/>
  <c r="F207" i="22"/>
  <c r="F168" i="22"/>
  <c r="F187" i="22"/>
  <c r="E151" i="22"/>
  <c r="E153" i="22" s="1"/>
  <c r="H80" i="22"/>
  <c r="F120" i="22"/>
  <c r="F118" i="22"/>
  <c r="F119" i="22" s="1"/>
  <c r="G81" i="22"/>
  <c r="F67" i="17"/>
  <c r="F63" i="17"/>
  <c r="G63" i="17"/>
  <c r="H63" i="17"/>
  <c r="I63" i="17"/>
  <c r="J63" i="17"/>
  <c r="K63" i="17"/>
  <c r="F36" i="1"/>
  <c r="F26" i="1"/>
  <c r="H38" i="4" l="1"/>
  <c r="H19" i="4"/>
  <c r="I38" i="4"/>
  <c r="E305" i="22"/>
  <c r="G207" i="22"/>
  <c r="G136" i="22"/>
  <c r="F223" i="22"/>
  <c r="J21" i="4" s="1"/>
  <c r="J24" i="4"/>
  <c r="F152" i="22"/>
  <c r="F150" i="22" s="1"/>
  <c r="J10" i="4" s="1"/>
  <c r="F174" i="22"/>
  <c r="J23" i="4" s="1"/>
  <c r="J40" i="4" s="1"/>
  <c r="F121" i="22"/>
  <c r="J9" i="4"/>
  <c r="K6" i="4"/>
  <c r="F151" i="22"/>
  <c r="F153" i="22" s="1"/>
  <c r="G187" i="22"/>
  <c r="G120" i="22"/>
  <c r="G168" i="22"/>
  <c r="I80" i="22"/>
  <c r="G118" i="22"/>
  <c r="H81" i="22"/>
  <c r="H136" i="22" s="1"/>
  <c r="M56" i="4"/>
  <c r="J38" i="4" l="1"/>
  <c r="K44" i="4"/>
  <c r="G223" i="22"/>
  <c r="K21" i="4" s="1"/>
  <c r="K24" i="4"/>
  <c r="G152" i="22"/>
  <c r="G150" i="22" s="1"/>
  <c r="K10" i="4" s="1"/>
  <c r="G174" i="22"/>
  <c r="K23" i="4" s="1"/>
  <c r="K40" i="4" s="1"/>
  <c r="G119" i="22"/>
  <c r="G121" i="22" s="1"/>
  <c r="K9" i="4"/>
  <c r="K11" i="4"/>
  <c r="L6" i="4"/>
  <c r="G151" i="22"/>
  <c r="G153" i="22" s="1"/>
  <c r="H187" i="22"/>
  <c r="H207" i="22"/>
  <c r="H120" i="22"/>
  <c r="H168" i="22"/>
  <c r="J80" i="22"/>
  <c r="H118" i="22"/>
  <c r="I81" i="22"/>
  <c r="F36" i="17"/>
  <c r="G46" i="17"/>
  <c r="G51" i="16" s="1"/>
  <c r="D32" i="17"/>
  <c r="D31" i="4"/>
  <c r="E63" i="17"/>
  <c r="C8" i="19"/>
  <c r="M7" i="19"/>
  <c r="M8" i="19"/>
  <c r="M9" i="19"/>
  <c r="L21" i="3"/>
  <c r="M21" i="3"/>
  <c r="N21" i="3"/>
  <c r="O21" i="3"/>
  <c r="M23" i="3"/>
  <c r="N23" i="3"/>
  <c r="M24" i="3"/>
  <c r="N24" i="3"/>
  <c r="K21" i="3"/>
  <c r="O13" i="3"/>
  <c r="O5" i="3"/>
  <c r="N13" i="3"/>
  <c r="N5" i="3"/>
  <c r="M13" i="3"/>
  <c r="M5" i="3"/>
  <c r="L13" i="3"/>
  <c r="L5" i="3"/>
  <c r="K13" i="3"/>
  <c r="K5" i="3"/>
  <c r="D63" i="17"/>
  <c r="E67" i="17"/>
  <c r="I136" i="22" l="1"/>
  <c r="I168" i="22"/>
  <c r="K38" i="4"/>
  <c r="G305" i="22"/>
  <c r="H223" i="22"/>
  <c r="L44" i="4"/>
  <c r="L21" i="4"/>
  <c r="L24" i="4"/>
  <c r="H152" i="22"/>
  <c r="H150" i="22" s="1"/>
  <c r="L10" i="4" s="1"/>
  <c r="H174" i="22"/>
  <c r="L23" i="4" s="1"/>
  <c r="L40" i="4" s="1"/>
  <c r="H119" i="22"/>
  <c r="H121" i="22" s="1"/>
  <c r="L9" i="4"/>
  <c r="L11" i="4"/>
  <c r="M6" i="4"/>
  <c r="H151" i="22"/>
  <c r="H153" i="22" s="1"/>
  <c r="I187" i="22"/>
  <c r="I207" i="22"/>
  <c r="I120" i="22"/>
  <c r="K80" i="22"/>
  <c r="I118" i="22"/>
  <c r="M9" i="4" s="1"/>
  <c r="J81" i="22"/>
  <c r="J136" i="22" s="1"/>
  <c r="D25" i="3"/>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G27" i="10"/>
  <c r="D49" i="10"/>
  <c r="E10" i="10"/>
  <c r="F10" i="10"/>
  <c r="G10" i="10"/>
  <c r="D12" i="10"/>
  <c r="E12" i="10"/>
  <c r="F12" i="10"/>
  <c r="G12" i="10"/>
  <c r="D13" i="10"/>
  <c r="F13" i="10"/>
  <c r="G13" i="10"/>
  <c r="D14" i="10"/>
  <c r="E14" i="10"/>
  <c r="F14" i="10"/>
  <c r="G14" i="10"/>
  <c r="D15" i="10"/>
  <c r="E15" i="10"/>
  <c r="E42" i="10" s="1"/>
  <c r="F15" i="10"/>
  <c r="F42" i="10" s="1"/>
  <c r="G15" i="10"/>
  <c r="D16" i="10"/>
  <c r="E16" i="10"/>
  <c r="F16" i="10"/>
  <c r="G16" i="10"/>
  <c r="D17" i="10"/>
  <c r="E17" i="10"/>
  <c r="F17" i="10"/>
  <c r="G17" i="10"/>
  <c r="D19" i="10"/>
  <c r="E19" i="10"/>
  <c r="G19" i="10"/>
  <c r="D20" i="10"/>
  <c r="E20" i="10"/>
  <c r="F20" i="10"/>
  <c r="G20" i="10"/>
  <c r="D23" i="10"/>
  <c r="E23" i="10"/>
  <c r="F23" i="10"/>
  <c r="G23" i="10"/>
  <c r="D24" i="10"/>
  <c r="E24" i="10"/>
  <c r="F24" i="10"/>
  <c r="G24" i="10"/>
  <c r="D26" i="10"/>
  <c r="E26" i="10"/>
  <c r="F26" i="10"/>
  <c r="G26" i="10"/>
  <c r="G42" i="10" s="1" a="1"/>
  <c r="G42" i="10" s="1"/>
  <c r="D27" i="10"/>
  <c r="F27" i="10"/>
  <c r="D28" i="10"/>
  <c r="E28" i="10"/>
  <c r="F28" i="10"/>
  <c r="G28" i="10"/>
  <c r="D29" i="10"/>
  <c r="E29" i="10"/>
  <c r="F29" i="10"/>
  <c r="G29" i="10"/>
  <c r="D30" i="10"/>
  <c r="E30" i="10"/>
  <c r="F30" i="10"/>
  <c r="G30" i="10"/>
  <c r="D32" i="10"/>
  <c r="E32" i="10"/>
  <c r="F32" i="10"/>
  <c r="G32" i="10"/>
  <c r="D33" i="10"/>
  <c r="E33" i="10"/>
  <c r="F33" i="10"/>
  <c r="G33" i="10"/>
  <c r="G43" i="10" s="1" a="1"/>
  <c r="G43" i="10" s="1"/>
  <c r="D34" i="10"/>
  <c r="E34" i="10"/>
  <c r="F34" i="10"/>
  <c r="G34" i="10"/>
  <c r="C39" i="10"/>
  <c r="C38" i="10"/>
  <c r="C51" i="10"/>
  <c r="H8" i="10"/>
  <c r="H37" i="10"/>
  <c r="C71" i="10"/>
  <c r="C70" i="10"/>
  <c r="C67" i="10"/>
  <c r="C23" i="10" s="1"/>
  <c r="B18" i="3"/>
  <c r="E25" i="3"/>
  <c r="F25" i="3"/>
  <c r="G25" i="3"/>
  <c r="H25" i="3"/>
  <c r="I25" i="3"/>
  <c r="E16" i="3"/>
  <c r="F16" i="3"/>
  <c r="G16" i="3"/>
  <c r="H16" i="3"/>
  <c r="I16" i="3"/>
  <c r="K20" i="3"/>
  <c r="L20" i="3" s="1"/>
  <c r="M20" i="3" s="1"/>
  <c r="N20" i="3" s="1"/>
  <c r="O20" i="3" s="1"/>
  <c r="K4" i="3"/>
  <c r="L4" i="3" s="1"/>
  <c r="M4" i="3" s="1"/>
  <c r="N4" i="3" s="1"/>
  <c r="O4" i="3" s="1"/>
  <c r="D20" i="3"/>
  <c r="E20" i="3" s="1"/>
  <c r="F20" i="3" s="1"/>
  <c r="G20" i="3" s="1"/>
  <c r="H20" i="3" s="1"/>
  <c r="I20" i="3" s="1"/>
  <c r="D4" i="3"/>
  <c r="E4" i="3" s="1"/>
  <c r="F4" i="3" s="1"/>
  <c r="G4" i="3" s="1"/>
  <c r="H4" i="3" s="1"/>
  <c r="I4" i="3" s="1"/>
  <c r="C84" i="16"/>
  <c r="C82" i="16"/>
  <c r="C81" i="16"/>
  <c r="C80" i="16"/>
  <c r="C69" i="10"/>
  <c r="C19" i="10" s="1"/>
  <c r="C68" i="10"/>
  <c r="D43" i="4"/>
  <c r="C64" i="10"/>
  <c r="F23" i="4"/>
  <c r="D17" i="4"/>
  <c r="D16" i="4"/>
  <c r="E14" i="4"/>
  <c r="G14" i="4" s="1"/>
  <c r="E13" i="4"/>
  <c r="D36" i="17"/>
  <c r="D31" i="17"/>
  <c r="E31" i="17"/>
  <c r="F31" i="17"/>
  <c r="G31" i="17"/>
  <c r="H31" i="17"/>
  <c r="I31" i="17"/>
  <c r="J31" i="17"/>
  <c r="K31" i="17"/>
  <c r="E50" i="17"/>
  <c r="E55" i="16" s="1"/>
  <c r="F50" i="17"/>
  <c r="F55" i="16" s="1"/>
  <c r="G50" i="17"/>
  <c r="G55" i="16" s="1"/>
  <c r="H50" i="17"/>
  <c r="H55" i="16" s="1"/>
  <c r="I50" i="17"/>
  <c r="I55" i="16" s="1"/>
  <c r="J50" i="17"/>
  <c r="J55" i="16" s="1"/>
  <c r="K50" i="17"/>
  <c r="K55" i="16" s="1"/>
  <c r="D46" i="17"/>
  <c r="D51" i="16" s="1"/>
  <c r="E46" i="17"/>
  <c r="E51" i="16" s="1"/>
  <c r="F46" i="17"/>
  <c r="F51" i="16" s="1"/>
  <c r="H46" i="17"/>
  <c r="H51" i="16" s="1"/>
  <c r="I46" i="17"/>
  <c r="I51" i="16" s="1"/>
  <c r="J46" i="17"/>
  <c r="J51" i="16" s="1"/>
  <c r="K46" i="17"/>
  <c r="K51" i="16" s="1"/>
  <c r="C78" i="10" l="1" a="1"/>
  <c r="C78" i="10" s="1"/>
  <c r="C43" i="10" a="1"/>
  <c r="C43" i="10" s="1"/>
  <c r="C42" i="10" a="1"/>
  <c r="C42" i="10" s="1"/>
  <c r="F46" i="10"/>
  <c r="E46" i="10"/>
  <c r="L38" i="4"/>
  <c r="H305" i="22"/>
  <c r="M44" i="4"/>
  <c r="I223" i="22"/>
  <c r="M21" i="4" s="1"/>
  <c r="M24" i="4"/>
  <c r="I152" i="22"/>
  <c r="I150" i="22" s="1"/>
  <c r="M10" i="4" s="1"/>
  <c r="I174" i="22"/>
  <c r="M23" i="4" s="1"/>
  <c r="M40" i="4" s="1"/>
  <c r="D15" i="4"/>
  <c r="M11" i="4"/>
  <c r="N6" i="4"/>
  <c r="I151" i="22"/>
  <c r="I153" i="22" s="1"/>
  <c r="J187" i="22"/>
  <c r="J207" i="22"/>
  <c r="J120" i="22"/>
  <c r="J168" i="22"/>
  <c r="L80" i="22"/>
  <c r="I119" i="22"/>
  <c r="I121" i="22"/>
  <c r="J118" i="22" s="1"/>
  <c r="K81" i="22"/>
  <c r="K136" i="22" s="1"/>
  <c r="F49" i="10"/>
  <c r="O11" i="19"/>
  <c r="E49" i="10"/>
  <c r="N11" i="19"/>
  <c r="G49" i="10"/>
  <c r="P11" i="19"/>
  <c r="P8" i="19" s="1"/>
  <c r="B22" i="3"/>
  <c r="H37" i="1" s="1"/>
  <c r="B23" i="3"/>
  <c r="H38" i="1" s="1"/>
  <c r="B24" i="3"/>
  <c r="G114" i="1"/>
  <c r="E8" i="4"/>
  <c r="E18" i="4" s="1"/>
  <c r="C61" i="10"/>
  <c r="B21" i="3"/>
  <c r="H36" i="1" s="1"/>
  <c r="D37" i="17"/>
  <c r="D43" i="16" s="1"/>
  <c r="D29" i="4"/>
  <c r="D30" i="4"/>
  <c r="E30" i="4"/>
  <c r="F30" i="4"/>
  <c r="C60" i="10"/>
  <c r="F16" i="4"/>
  <c r="F29" i="4"/>
  <c r="G46" i="4"/>
  <c r="F45" i="4"/>
  <c r="F46" i="4"/>
  <c r="F47" i="4"/>
  <c r="H16" i="16"/>
  <c r="I88" i="22" s="1"/>
  <c r="I58" i="16"/>
  <c r="J58" i="16"/>
  <c r="K295" i="22" s="1"/>
  <c r="K296" i="22" s="1"/>
  <c r="K21" i="22" s="1"/>
  <c r="K58" i="16"/>
  <c r="L295" i="22" s="1"/>
  <c r="L296" i="22" s="1"/>
  <c r="L21" i="22" s="1"/>
  <c r="E23" i="4"/>
  <c r="C65" i="10"/>
  <c r="C24" i="10" s="1"/>
  <c r="C66"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5" i="10"/>
  <c r="D23" i="4"/>
  <c r="C53" i="10"/>
  <c r="C54" i="10"/>
  <c r="D58" i="16"/>
  <c r="E295" i="22" s="1"/>
  <c r="E296" i="22" s="1"/>
  <c r="E21" i="22" s="1"/>
  <c r="C58" i="16"/>
  <c r="D295" i="22" s="1"/>
  <c r="D296" i="22" s="1"/>
  <c r="G58" i="16"/>
  <c r="H295" i="22" s="1"/>
  <c r="H296" i="22" s="1"/>
  <c r="H21" i="22" s="1"/>
  <c r="F58" i="16"/>
  <c r="G295" i="22" s="1"/>
  <c r="G296" i="22" s="1"/>
  <c r="G21" i="22" s="1"/>
  <c r="E58" i="16"/>
  <c r="F295" i="22" s="1"/>
  <c r="F296" i="22" s="1"/>
  <c r="F21" i="22" s="1"/>
  <c r="C59" i="10"/>
  <c r="F13" i="4"/>
  <c r="C58" i="10"/>
  <c r="C14" i="10" s="1"/>
  <c r="F8" i="4"/>
  <c r="M16" i="3"/>
  <c r="L16" i="3"/>
  <c r="O25" i="3"/>
  <c r="N25" i="3"/>
  <c r="M25" i="3"/>
  <c r="L25" i="3"/>
  <c r="K25" i="3"/>
  <c r="N16" i="3"/>
  <c r="O16" i="3"/>
  <c r="E14" i="17"/>
  <c r="F17" i="4"/>
  <c r="E5" i="4"/>
  <c r="C29" i="1"/>
  <c r="H58" i="16"/>
  <c r="I295" i="22" s="1"/>
  <c r="I296" i="22" s="1"/>
  <c r="I21" i="22" s="1"/>
  <c r="C56" i="10"/>
  <c r="E8" i="16"/>
  <c r="G8" i="16"/>
  <c r="I16" i="16"/>
  <c r="K16" i="16"/>
  <c r="L88" i="22" s="1"/>
  <c r="C16" i="16"/>
  <c r="D88" i="22" s="1"/>
  <c r="E16" i="16"/>
  <c r="F88" i="22" s="1"/>
  <c r="F24" i="16"/>
  <c r="B8" i="16"/>
  <c r="J24" i="16"/>
  <c r="G24" i="16"/>
  <c r="G22" i="16"/>
  <c r="C24" i="16"/>
  <c r="K24" i="16"/>
  <c r="D8" i="16"/>
  <c r="I8" i="16"/>
  <c r="K8" i="16"/>
  <c r="C8" i="16"/>
  <c r="F8" i="16"/>
  <c r="G16" i="16"/>
  <c r="H88" i="22" s="1"/>
  <c r="E22" i="16"/>
  <c r="E24" i="16"/>
  <c r="B16" i="16"/>
  <c r="J16" i="16"/>
  <c r="K88" i="22" s="1"/>
  <c r="I12" i="16"/>
  <c r="B24" i="16"/>
  <c r="J8" i="16"/>
  <c r="F12" i="16"/>
  <c r="B19" i="16"/>
  <c r="C197" i="22" s="1"/>
  <c r="C22" i="16"/>
  <c r="K22" i="16"/>
  <c r="D22" i="16"/>
  <c r="D12" i="16"/>
  <c r="H8" i="16"/>
  <c r="G12" i="16"/>
  <c r="D16" i="16"/>
  <c r="E88" i="22" s="1"/>
  <c r="F22" i="16"/>
  <c r="D24" i="16"/>
  <c r="J12" i="16"/>
  <c r="F16" i="16"/>
  <c r="G88" i="22" s="1"/>
  <c r="I22" i="16"/>
  <c r="H22" i="16"/>
  <c r="K12" i="16"/>
  <c r="C12" i="16"/>
  <c r="B22" i="16"/>
  <c r="J22" i="16"/>
  <c r="E12" i="16"/>
  <c r="H24" i="16"/>
  <c r="I24" i="16"/>
  <c r="I25" i="16" s="1"/>
  <c r="B2" i="3"/>
  <c r="D5" i="17"/>
  <c r="E5" i="17" s="1"/>
  <c r="L52" i="1"/>
  <c r="M52" i="1" s="1"/>
  <c r="B59" i="1"/>
  <c r="B58" i="1" s="1"/>
  <c r="B57" i="1" s="1"/>
  <c r="B56" i="1" s="1"/>
  <c r="H25" i="10"/>
  <c r="C13" i="19"/>
  <c r="C16" i="19"/>
  <c r="C18" i="19"/>
  <c r="H11" i="10"/>
  <c r="H39" i="10"/>
  <c r="I39" i="10" s="1"/>
  <c r="D87" i="17"/>
  <c r="E87" i="17" s="1"/>
  <c r="P53" i="17"/>
  <c r="O53" i="17"/>
  <c r="P52" i="17"/>
  <c r="O52" i="17"/>
  <c r="S49" i="17"/>
  <c r="S52" i="17" s="1"/>
  <c r="R49" i="17"/>
  <c r="Q49" i="17"/>
  <c r="F64" i="16"/>
  <c r="P48" i="17"/>
  <c r="O48" i="17"/>
  <c r="S44" i="17"/>
  <c r="S48" i="17" s="1"/>
  <c r="R44" i="17"/>
  <c r="R48" i="17" s="1"/>
  <c r="Q44" i="17"/>
  <c r="Q48" i="17" s="1"/>
  <c r="S39" i="17"/>
  <c r="R39" i="17"/>
  <c r="Q39" i="17"/>
  <c r="P39" i="17"/>
  <c r="O39" i="17"/>
  <c r="K14" i="17"/>
  <c r="J14" i="17"/>
  <c r="I14" i="17"/>
  <c r="H14" i="17"/>
  <c r="G14" i="17"/>
  <c r="F14" i="17"/>
  <c r="D14" i="17"/>
  <c r="M74" i="17"/>
  <c r="Q12" i="17"/>
  <c r="S11" i="17"/>
  <c r="R11" i="17"/>
  <c r="Q11" i="17"/>
  <c r="P11" i="17"/>
  <c r="S9" i="17"/>
  <c r="R9" i="17"/>
  <c r="P9" i="17"/>
  <c r="O9" i="17"/>
  <c r="S10" i="17"/>
  <c r="R10" i="17"/>
  <c r="Q10" i="17"/>
  <c r="P10" i="17"/>
  <c r="O10" i="17"/>
  <c r="S7" i="17"/>
  <c r="S8" i="17" s="1"/>
  <c r="R7" i="17"/>
  <c r="R8" i="17" s="1"/>
  <c r="Q7" i="17"/>
  <c r="Q8" i="17" s="1"/>
  <c r="P7" i="17"/>
  <c r="P8" i="17" s="1"/>
  <c r="O7" i="17"/>
  <c r="O8" i="17" s="1"/>
  <c r="M7" i="17"/>
  <c r="A2" i="16"/>
  <c r="A1" i="16"/>
  <c r="C9" i="10"/>
  <c r="D16" i="3"/>
  <c r="F12" i="4" l="1"/>
  <c r="F18" i="4"/>
  <c r="C12" i="10"/>
  <c r="H42" i="10"/>
  <c r="I42" i="10" s="1"/>
  <c r="C26" i="10"/>
  <c r="M38" i="4"/>
  <c r="D21" i="22"/>
  <c r="C300" i="22"/>
  <c r="C299" i="22"/>
  <c r="AG45" i="4"/>
  <c r="I305" i="22"/>
  <c r="J193" i="22"/>
  <c r="J295" i="22"/>
  <c r="J296" i="22" s="1"/>
  <c r="L193" i="22"/>
  <c r="I193" i="22"/>
  <c r="F193" i="22"/>
  <c r="G193" i="22"/>
  <c r="H193" i="22"/>
  <c r="D193" i="22"/>
  <c r="E193" i="22"/>
  <c r="K193" i="22"/>
  <c r="N44" i="4"/>
  <c r="J223" i="22"/>
  <c r="N21" i="4" s="1"/>
  <c r="N24" i="4"/>
  <c r="J152" i="22"/>
  <c r="J150" i="22" s="1"/>
  <c r="N10" i="4" s="1"/>
  <c r="J174" i="22"/>
  <c r="N23" i="4" s="1"/>
  <c r="N40" i="4" s="1"/>
  <c r="J194" i="22"/>
  <c r="J26" i="22" s="1"/>
  <c r="J195" i="22"/>
  <c r="E12" i="4"/>
  <c r="E15" i="4"/>
  <c r="C88" i="22"/>
  <c r="J119" i="22"/>
  <c r="J121" i="22" s="1"/>
  <c r="N9" i="4"/>
  <c r="N11" i="4"/>
  <c r="O6" i="4"/>
  <c r="J151" i="22"/>
  <c r="J153" i="22" s="1"/>
  <c r="J88" i="22"/>
  <c r="K187" i="22"/>
  <c r="K207" i="22"/>
  <c r="E7" i="4"/>
  <c r="F7" i="4"/>
  <c r="K120" i="22"/>
  <c r="K168" i="22"/>
  <c r="M80" i="22"/>
  <c r="K118" i="22"/>
  <c r="L81" i="22"/>
  <c r="L136" i="22" s="1"/>
  <c r="C92" i="22"/>
  <c r="C91" i="22"/>
  <c r="C90" i="22"/>
  <c r="C93" i="22"/>
  <c r="B7" i="3"/>
  <c r="H28" i="1" s="1"/>
  <c r="B8" i="3"/>
  <c r="H29" i="1" s="1"/>
  <c r="B9" i="3"/>
  <c r="H30" i="1" s="1"/>
  <c r="N6" i="19"/>
  <c r="N7" i="19"/>
  <c r="N8" i="19"/>
  <c r="N9" i="19"/>
  <c r="O6" i="19"/>
  <c r="O7" i="19"/>
  <c r="O8" i="19"/>
  <c r="O9" i="19"/>
  <c r="P9" i="19"/>
  <c r="P7" i="19"/>
  <c r="P6" i="19"/>
  <c r="B6" i="3"/>
  <c r="H27" i="1" s="1"/>
  <c r="B10" i="3"/>
  <c r="H31" i="1" s="1"/>
  <c r="B11" i="3"/>
  <c r="H32" i="1" s="1"/>
  <c r="B12" i="3"/>
  <c r="H33" i="1" s="1"/>
  <c r="B13" i="3"/>
  <c r="H34" i="1" s="1"/>
  <c r="L11" i="19"/>
  <c r="C13" i="10"/>
  <c r="L7" i="19"/>
  <c r="L9" i="19"/>
  <c r="C29" i="10"/>
  <c r="C27" i="10"/>
  <c r="C33" i="10"/>
  <c r="H43" i="10" s="1"/>
  <c r="I43" i="10" s="1"/>
  <c r="E28" i="1"/>
  <c r="E29" i="1"/>
  <c r="C28" i="1"/>
  <c r="C30" i="1" s="1"/>
  <c r="C57" i="10"/>
  <c r="C21" i="10" s="1"/>
  <c r="C32" i="10"/>
  <c r="H24" i="10"/>
  <c r="I24" i="10" s="1"/>
  <c r="H44" i="10"/>
  <c r="I44" i="10" s="1"/>
  <c r="E32" i="4"/>
  <c r="C30" i="10"/>
  <c r="C10" i="10"/>
  <c r="C49" i="10" s="1"/>
  <c r="B25" i="3"/>
  <c r="D32" i="4"/>
  <c r="F35" i="4"/>
  <c r="D35" i="4"/>
  <c r="F32" i="4"/>
  <c r="E35" i="4"/>
  <c r="B59" i="16"/>
  <c r="C15" i="10"/>
  <c r="D44" i="4"/>
  <c r="E44" i="4"/>
  <c r="F44" i="4"/>
  <c r="G28" i="4" s="1"/>
  <c r="F26" i="4"/>
  <c r="F34" i="4" s="1"/>
  <c r="H13" i="16"/>
  <c r="G13" i="16"/>
  <c r="B60" i="16"/>
  <c r="F15" i="4"/>
  <c r="B5" i="3"/>
  <c r="K16" i="3"/>
  <c r="F5" i="4"/>
  <c r="C28" i="10"/>
  <c r="B14" i="3"/>
  <c r="B15" i="3"/>
  <c r="M53" i="1"/>
  <c r="M61" i="1"/>
  <c r="M54" i="1"/>
  <c r="L56" i="1"/>
  <c r="L57" i="1"/>
  <c r="M56" i="1"/>
  <c r="L60" i="1"/>
  <c r="M57" i="1"/>
  <c r="L61" i="1"/>
  <c r="M58" i="1"/>
  <c r="M59" i="1"/>
  <c r="M60" i="1"/>
  <c r="L53" i="1"/>
  <c r="L59" i="1"/>
  <c r="M37" i="1" s="1"/>
  <c r="L58" i="1"/>
  <c r="L54" i="1"/>
  <c r="K27" i="1"/>
  <c r="K29" i="1"/>
  <c r="K36" i="1"/>
  <c r="K35" i="1"/>
  <c r="K30" i="1"/>
  <c r="K28" i="1"/>
  <c r="E34" i="1"/>
  <c r="E33" i="1"/>
  <c r="B20" i="16"/>
  <c r="E27" i="1"/>
  <c r="E25" i="1"/>
  <c r="E26" i="1"/>
  <c r="E25" i="16"/>
  <c r="G25" i="16"/>
  <c r="D25" i="16"/>
  <c r="C13" i="16"/>
  <c r="B25" i="16"/>
  <c r="F25" i="16"/>
  <c r="E13" i="16"/>
  <c r="J25" i="16"/>
  <c r="K25" i="16"/>
  <c r="K13" i="16"/>
  <c r="F13" i="16"/>
  <c r="B13" i="16"/>
  <c r="J13" i="16"/>
  <c r="C25" i="16"/>
  <c r="H25" i="16"/>
  <c r="I13" i="16"/>
  <c r="D13" i="16"/>
  <c r="P13" i="17"/>
  <c r="P14" i="17" s="1"/>
  <c r="S53" i="17"/>
  <c r="O13" i="17"/>
  <c r="O14" i="17" s="1"/>
  <c r="S13" i="17"/>
  <c r="S14" i="17" s="1"/>
  <c r="Q13" i="17"/>
  <c r="Q14" i="17" s="1"/>
  <c r="Q53" i="17"/>
  <c r="R13" i="17"/>
  <c r="R14" i="17" s="1"/>
  <c r="R53" i="17"/>
  <c r="R52" i="17"/>
  <c r="Q52" i="17"/>
  <c r="D4" i="16"/>
  <c r="E4" i="16" s="1"/>
  <c r="F4" i="16" s="1"/>
  <c r="H38" i="10"/>
  <c r="I38" i="10" s="1"/>
  <c r="F5" i="17"/>
  <c r="B55" i="1"/>
  <c r="N38" i="4" l="1"/>
  <c r="J305" i="22"/>
  <c r="J21" i="22"/>
  <c r="M21" i="22" s="1"/>
  <c r="C298" i="22"/>
  <c r="C301" i="22"/>
  <c r="L195" i="22"/>
  <c r="L194" i="22"/>
  <c r="L26" i="22" s="1"/>
  <c r="K195" i="22"/>
  <c r="K194" i="22"/>
  <c r="K26" i="22" s="1"/>
  <c r="E195" i="22"/>
  <c r="E194" i="22"/>
  <c r="E26" i="22" s="1"/>
  <c r="D195" i="22"/>
  <c r="D194" i="22"/>
  <c r="D26" i="22" s="1"/>
  <c r="H195" i="22"/>
  <c r="H194" i="22"/>
  <c r="H26" i="22" s="1"/>
  <c r="G195" i="22"/>
  <c r="G194" i="22"/>
  <c r="G26" i="22" s="1"/>
  <c r="F195" i="22"/>
  <c r="F194" i="22"/>
  <c r="F26" i="22" s="1"/>
  <c r="I195" i="22"/>
  <c r="I194" i="22"/>
  <c r="I26" i="22" s="1"/>
  <c r="O44" i="4"/>
  <c r="K223" i="22"/>
  <c r="O21" i="4" s="1"/>
  <c r="O24" i="4"/>
  <c r="K152" i="22"/>
  <c r="K150" i="22" s="1"/>
  <c r="O10" i="4" s="1"/>
  <c r="K174" i="22"/>
  <c r="O23" i="4" s="1"/>
  <c r="O40" i="4" s="1"/>
  <c r="C203" i="22"/>
  <c r="N80" i="22"/>
  <c r="K119" i="22"/>
  <c r="K121" i="22" s="1"/>
  <c r="O9" i="4"/>
  <c r="O11" i="4"/>
  <c r="P6" i="4"/>
  <c r="K151" i="22"/>
  <c r="K153" i="22" s="1"/>
  <c r="L187" i="22"/>
  <c r="L207" i="22"/>
  <c r="L120" i="22"/>
  <c r="L168" i="22"/>
  <c r="L118" i="22"/>
  <c r="M81" i="22"/>
  <c r="M136" i="22" s="1"/>
  <c r="L8" i="19"/>
  <c r="L6" i="19"/>
  <c r="Q6" i="19"/>
  <c r="Q7" i="19"/>
  <c r="Q8" i="19"/>
  <c r="Q9" i="19"/>
  <c r="H49" i="10"/>
  <c r="I49" i="10" s="1"/>
  <c r="F36" i="4"/>
  <c r="C73" i="10"/>
  <c r="H26" i="10"/>
  <c r="I26" i="10" s="1"/>
  <c r="H29" i="10"/>
  <c r="I29" i="10" s="1"/>
  <c r="H14" i="10"/>
  <c r="I14" i="10" s="1"/>
  <c r="H10" i="10"/>
  <c r="I10" i="10" s="1"/>
  <c r="H28" i="10"/>
  <c r="I28" i="10" s="1"/>
  <c r="H30" i="10"/>
  <c r="I30" i="10" s="1"/>
  <c r="H26" i="1"/>
  <c r="C40" i="10"/>
  <c r="B16" i="3"/>
  <c r="K33" i="1"/>
  <c r="K32" i="1"/>
  <c r="K31" i="1"/>
  <c r="E30" i="1"/>
  <c r="H32" i="10"/>
  <c r="I32" i="10" s="1"/>
  <c r="B34" i="16"/>
  <c r="M32" i="1"/>
  <c r="H23" i="10"/>
  <c r="I23" i="10" s="1"/>
  <c r="H15" i="10"/>
  <c r="I15" i="10" s="1"/>
  <c r="M29" i="1"/>
  <c r="B35" i="16"/>
  <c r="H13" i="10"/>
  <c r="I13" i="10" s="1"/>
  <c r="G5" i="17"/>
  <c r="G4" i="16"/>
  <c r="B54" i="1"/>
  <c r="C200" i="22" l="1"/>
  <c r="C16" i="10"/>
  <c r="C46" i="10" s="1"/>
  <c r="H46" i="10" s="1"/>
  <c r="I46" i="10" s="1"/>
  <c r="C17" i="10"/>
  <c r="O38" i="4"/>
  <c r="M26" i="22"/>
  <c r="K305" i="22"/>
  <c r="C202" i="22"/>
  <c r="C201" i="22"/>
  <c r="P44" i="4"/>
  <c r="L223" i="22"/>
  <c r="P21" i="4" s="1"/>
  <c r="P24" i="4"/>
  <c r="L152" i="22"/>
  <c r="L150" i="22" s="1"/>
  <c r="P10" i="4" s="1"/>
  <c r="L174" i="22"/>
  <c r="P23" i="4" s="1"/>
  <c r="P40" i="4" s="1"/>
  <c r="O80" i="22"/>
  <c r="L119" i="22"/>
  <c r="L121" i="22" s="1"/>
  <c r="P9" i="4"/>
  <c r="P11" i="4"/>
  <c r="Q6" i="4"/>
  <c r="Q5" i="4" s="1"/>
  <c r="L151" i="22"/>
  <c r="L153" i="22" s="1"/>
  <c r="M187" i="22"/>
  <c r="M207" i="22"/>
  <c r="M120" i="22"/>
  <c r="M168" i="22"/>
  <c r="M118" i="22"/>
  <c r="N81" i="22"/>
  <c r="N136" i="22" s="1"/>
  <c r="C20" i="10"/>
  <c r="C35" i="10"/>
  <c r="C34" i="10"/>
  <c r="H34" i="10" s="1"/>
  <c r="I34" i="10" s="1"/>
  <c r="C36" i="10"/>
  <c r="H16" i="10"/>
  <c r="I16" i="10" s="1"/>
  <c r="H40" i="10"/>
  <c r="I40" i="10" s="1"/>
  <c r="H18" i="10"/>
  <c r="B36" i="16"/>
  <c r="H9" i="10"/>
  <c r="I9" i="10" s="1"/>
  <c r="H21" i="10"/>
  <c r="I21" i="10" s="1"/>
  <c r="H5" i="17"/>
  <c r="H4" i="16"/>
  <c r="B53" i="1"/>
  <c r="P38" i="4" l="1"/>
  <c r="L305" i="22"/>
  <c r="Q44" i="4"/>
  <c r="M223" i="22"/>
  <c r="Q21" i="4" s="1"/>
  <c r="Q24" i="4"/>
  <c r="M152" i="22"/>
  <c r="M150" i="22" s="1"/>
  <c r="Q10" i="4" s="1"/>
  <c r="M174" i="22"/>
  <c r="Q23" i="4" s="1"/>
  <c r="Q40" i="4" s="1"/>
  <c r="P80" i="22"/>
  <c r="M119" i="22"/>
  <c r="M121" i="22" s="1"/>
  <c r="Q9" i="4"/>
  <c r="Q11" i="4"/>
  <c r="R6" i="4"/>
  <c r="M151" i="22"/>
  <c r="M153" i="22" s="1"/>
  <c r="N187" i="22"/>
  <c r="N207" i="22"/>
  <c r="N120" i="22"/>
  <c r="N168" i="22"/>
  <c r="N118" i="22"/>
  <c r="O81" i="22"/>
  <c r="O136" i="22" s="1"/>
  <c r="H35" i="10"/>
  <c r="I35" i="10" s="1"/>
  <c r="H17" i="10"/>
  <c r="I17" i="10" s="1"/>
  <c r="H36" i="10"/>
  <c r="I36" i="10" s="1"/>
  <c r="H19" i="10"/>
  <c r="I19" i="10" s="1"/>
  <c r="H20" i="10"/>
  <c r="I20" i="10" s="1"/>
  <c r="E31" i="1"/>
  <c r="I5" i="17"/>
  <c r="I4" i="16"/>
  <c r="J4" i="16" s="1"/>
  <c r="B52" i="1"/>
  <c r="D52" i="1" s="1" a="1"/>
  <c r="Q38" i="4" l="1"/>
  <c r="M305" i="22"/>
  <c r="R44" i="4"/>
  <c r="N223" i="22"/>
  <c r="R21" i="4" s="1"/>
  <c r="R24" i="4"/>
  <c r="N152" i="22"/>
  <c r="N150" i="22" s="1"/>
  <c r="R10" i="4" s="1"/>
  <c r="N174" i="22"/>
  <c r="R23" i="4" s="1"/>
  <c r="R40" i="4" s="1"/>
  <c r="Q80" i="22"/>
  <c r="N119" i="22"/>
  <c r="N121" i="22" s="1"/>
  <c r="R9" i="4"/>
  <c r="R11" i="4"/>
  <c r="S6" i="4"/>
  <c r="N151" i="22"/>
  <c r="N153" i="22" s="1"/>
  <c r="O187" i="22"/>
  <c r="O207" i="22"/>
  <c r="O120" i="22"/>
  <c r="O168" i="22"/>
  <c r="O118" i="22"/>
  <c r="S9" i="4" s="1"/>
  <c r="P81" i="22"/>
  <c r="P136" i="22" s="1"/>
  <c r="D52" i="1"/>
  <c r="D64" i="1"/>
  <c r="H52" i="1" a="1"/>
  <c r="H52" i="1" s="1"/>
  <c r="C52" i="1" a="1"/>
  <c r="C63" i="1" s="1"/>
  <c r="J5" i="17"/>
  <c r="R38" i="4" l="1"/>
  <c r="N305" i="22"/>
  <c r="S44" i="4"/>
  <c r="O223" i="22"/>
  <c r="S21" i="4" s="1"/>
  <c r="S24" i="4"/>
  <c r="O152" i="22"/>
  <c r="O150" i="22" s="1"/>
  <c r="S10" i="4" s="1"/>
  <c r="O174" i="22"/>
  <c r="S23" i="4" s="1"/>
  <c r="S40" i="4" s="1"/>
  <c r="R80" i="22"/>
  <c r="S11" i="4"/>
  <c r="T6" i="4"/>
  <c r="O151" i="22"/>
  <c r="O153" i="22" s="1"/>
  <c r="P187" i="22"/>
  <c r="P207" i="22"/>
  <c r="P120" i="22"/>
  <c r="P168" i="22"/>
  <c r="O119" i="22"/>
  <c r="O121" i="22"/>
  <c r="P118" i="22" s="1"/>
  <c r="Q81" i="22"/>
  <c r="Q136" i="22" s="1"/>
  <c r="H41" i="4"/>
  <c r="C52" i="1"/>
  <c r="C61" i="1" s="1"/>
  <c r="K5" i="17"/>
  <c r="K4" i="16"/>
  <c r="S38" i="4" l="1"/>
  <c r="O305" i="22"/>
  <c r="T44" i="4"/>
  <c r="P223" i="22"/>
  <c r="T21" i="4" s="1"/>
  <c r="T24" i="4"/>
  <c r="P152" i="22"/>
  <c r="P150" i="22" s="1"/>
  <c r="T10" i="4" s="1"/>
  <c r="P174" i="22"/>
  <c r="T23" i="4" s="1"/>
  <c r="T40" i="4" s="1"/>
  <c r="S80" i="22"/>
  <c r="P119" i="22"/>
  <c r="P121" i="22" s="1"/>
  <c r="T9" i="4"/>
  <c r="T11" i="4"/>
  <c r="U6" i="4"/>
  <c r="P151" i="22"/>
  <c r="P153" i="22" s="1"/>
  <c r="Q187" i="22"/>
  <c r="Q207" i="22"/>
  <c r="Q120" i="22"/>
  <c r="Q168" i="22"/>
  <c r="Q118" i="22"/>
  <c r="R81" i="22"/>
  <c r="R136" i="22" s="1"/>
  <c r="B91" i="16"/>
  <c r="D91" i="16"/>
  <c r="E91" i="16"/>
  <c r="T38" i="4" l="1"/>
  <c r="P305" i="22"/>
  <c r="U44" i="4"/>
  <c r="Q223" i="22"/>
  <c r="U21" i="4" s="1"/>
  <c r="U24" i="4"/>
  <c r="Q152" i="22"/>
  <c r="Q150" i="22" s="1"/>
  <c r="U10" i="4" s="1"/>
  <c r="Q174" i="22"/>
  <c r="U23" i="4" s="1"/>
  <c r="U40" i="4" s="1"/>
  <c r="T80" i="22"/>
  <c r="Q119" i="22"/>
  <c r="Q121" i="22" s="1"/>
  <c r="U9" i="4"/>
  <c r="U11" i="4"/>
  <c r="V6" i="4"/>
  <c r="Q151" i="22"/>
  <c r="Q153" i="22" s="1"/>
  <c r="R187" i="22"/>
  <c r="R207" i="22"/>
  <c r="R120" i="22"/>
  <c r="R168" i="22"/>
  <c r="R118" i="22"/>
  <c r="S81" i="22"/>
  <c r="S136" i="22" s="1"/>
  <c r="D34" i="16"/>
  <c r="K35" i="16"/>
  <c r="K36" i="16" s="1"/>
  <c r="I34" i="16"/>
  <c r="G9" i="16"/>
  <c r="G10" i="16" s="1"/>
  <c r="K19" i="16"/>
  <c r="I19" i="16"/>
  <c r="J197" i="22" s="1"/>
  <c r="K9" i="16"/>
  <c r="K10" i="16" s="1"/>
  <c r="I9" i="16"/>
  <c r="I10" i="16" s="1"/>
  <c r="M31" i="1"/>
  <c r="H27" i="10"/>
  <c r="I27" i="10" s="1"/>
  <c r="C34" i="16"/>
  <c r="H64" i="1"/>
  <c r="E34" i="16"/>
  <c r="C91" i="16"/>
  <c r="I6" i="16"/>
  <c r="K29" i="16"/>
  <c r="K30" i="16" s="1"/>
  <c r="I35" i="16"/>
  <c r="K34" i="16"/>
  <c r="U38" i="4" l="1"/>
  <c r="Q305" i="22"/>
  <c r="K20" i="16"/>
  <c r="L197" i="22"/>
  <c r="V44" i="4"/>
  <c r="R223" i="22"/>
  <c r="V21" i="4" s="1"/>
  <c r="V24" i="4"/>
  <c r="R152" i="22"/>
  <c r="R150" i="22" s="1"/>
  <c r="V10" i="4" s="1"/>
  <c r="R174" i="22"/>
  <c r="V23" i="4" s="1"/>
  <c r="V40" i="4" s="1"/>
  <c r="I36" i="16"/>
  <c r="U80" i="22"/>
  <c r="R119" i="22"/>
  <c r="R121" i="22" s="1"/>
  <c r="V9" i="4"/>
  <c r="V11" i="4"/>
  <c r="W6" i="4"/>
  <c r="R151" i="22"/>
  <c r="R153" i="22" s="1"/>
  <c r="I20" i="16"/>
  <c r="S187" i="22"/>
  <c r="S207" i="22"/>
  <c r="S120" i="22"/>
  <c r="S168" i="22"/>
  <c r="S118" i="22"/>
  <c r="T81" i="22"/>
  <c r="T136" i="22" s="1"/>
  <c r="D60" i="16"/>
  <c r="K60" i="16"/>
  <c r="I60" i="16"/>
  <c r="E29" i="16"/>
  <c r="H61" i="1"/>
  <c r="R55" i="1"/>
  <c r="C35" i="16"/>
  <c r="C36" i="16" s="1"/>
  <c r="D29" i="16"/>
  <c r="J35" i="16"/>
  <c r="J36" i="16" s="1"/>
  <c r="H34" i="16"/>
  <c r="C60" i="16"/>
  <c r="E36" i="1" s="1"/>
  <c r="J34" i="16"/>
  <c r="G19" i="16"/>
  <c r="H197" i="22" s="1"/>
  <c r="F35" i="16"/>
  <c r="F36" i="16" s="1"/>
  <c r="F29" i="16"/>
  <c r="G35" i="16"/>
  <c r="G36" i="16" s="1"/>
  <c r="J29" i="16"/>
  <c r="I29" i="16"/>
  <c r="E9" i="16"/>
  <c r="E10" i="16" s="1"/>
  <c r="D6" i="16"/>
  <c r="D5" i="4" s="1"/>
  <c r="B6" i="16"/>
  <c r="C6" i="16"/>
  <c r="R60" i="1"/>
  <c r="R57" i="1"/>
  <c r="R56" i="1"/>
  <c r="J19" i="16"/>
  <c r="E35" i="16"/>
  <c r="E36" i="16" s="1"/>
  <c r="C29" i="16"/>
  <c r="B29" i="16"/>
  <c r="O56" i="1"/>
  <c r="F19" i="16"/>
  <c r="G197" i="22" s="1"/>
  <c r="O55" i="1"/>
  <c r="H19" i="16"/>
  <c r="C9" i="16"/>
  <c r="C10" i="16" s="1"/>
  <c r="C19" i="16"/>
  <c r="D197" i="22" s="1"/>
  <c r="E19" i="16"/>
  <c r="F197" i="22" s="1"/>
  <c r="D35" i="16"/>
  <c r="D36" i="16" s="1"/>
  <c r="G6" i="16"/>
  <c r="H9" i="16"/>
  <c r="H10" i="16" s="1"/>
  <c r="H6" i="16"/>
  <c r="J9" i="16"/>
  <c r="J10" i="16" s="1"/>
  <c r="J6" i="16"/>
  <c r="D19" i="16"/>
  <c r="E197" i="22" s="1"/>
  <c r="H63" i="1"/>
  <c r="K6" i="16"/>
  <c r="G34" i="16"/>
  <c r="D9" i="16"/>
  <c r="D10" i="16" s="1"/>
  <c r="G29" i="16"/>
  <c r="H29" i="16"/>
  <c r="E6" i="16"/>
  <c r="F9" i="16"/>
  <c r="F10" i="16" s="1"/>
  <c r="N56" i="1"/>
  <c r="F6" i="16"/>
  <c r="R54" i="1"/>
  <c r="H35" i="16"/>
  <c r="E52" i="1" s="1" a="1"/>
  <c r="E52" i="1" s="1"/>
  <c r="F34" i="16"/>
  <c r="V38" i="4" l="1"/>
  <c r="R305" i="22"/>
  <c r="H20" i="16"/>
  <c r="I197" i="22"/>
  <c r="J20" i="16"/>
  <c r="K197" i="22"/>
  <c r="W44" i="4"/>
  <c r="S223" i="22"/>
  <c r="W21" i="4" s="1"/>
  <c r="W24" i="4"/>
  <c r="S152" i="22"/>
  <c r="S150" i="22" s="1"/>
  <c r="W10" i="4" s="1"/>
  <c r="S174" i="22"/>
  <c r="W23" i="4" s="1"/>
  <c r="W40" i="4" s="1"/>
  <c r="V80" i="22"/>
  <c r="S119" i="22"/>
  <c r="S121" i="22" s="1"/>
  <c r="W9" i="4"/>
  <c r="W11" i="4"/>
  <c r="X6" i="4"/>
  <c r="S151" i="22"/>
  <c r="S153" i="22" s="1"/>
  <c r="T187" i="22"/>
  <c r="T207" i="22"/>
  <c r="T120" i="22"/>
  <c r="T168" i="22"/>
  <c r="T118" i="22"/>
  <c r="U81" i="22"/>
  <c r="U136" i="22" s="1"/>
  <c r="G20" i="16"/>
  <c r="F20" i="16"/>
  <c r="E20" i="16"/>
  <c r="D20" i="16"/>
  <c r="I52" i="1" a="1"/>
  <c r="S57" i="1" s="1"/>
  <c r="B30" i="16"/>
  <c r="B31" i="16" s="1"/>
  <c r="H31" i="10" s="1"/>
  <c r="H36" i="16"/>
  <c r="M36" i="1"/>
  <c r="K34" i="1"/>
  <c r="N61" i="1"/>
  <c r="C20" i="16"/>
  <c r="J60" i="16"/>
  <c r="G60" i="16"/>
  <c r="F60" i="16"/>
  <c r="E60" i="16"/>
  <c r="H60" i="16"/>
  <c r="C59" i="16"/>
  <c r="K31" i="16"/>
  <c r="O53" i="1"/>
  <c r="O54" i="1"/>
  <c r="J30" i="16"/>
  <c r="J31" i="16" s="1"/>
  <c r="D30" i="16"/>
  <c r="D31" i="16" s="1"/>
  <c r="N53" i="1"/>
  <c r="N57" i="1"/>
  <c r="E30" i="16"/>
  <c r="E31" i="16" s="1"/>
  <c r="I30" i="16"/>
  <c r="I31" i="16" s="1"/>
  <c r="H30" i="16"/>
  <c r="H31" i="16" s="1"/>
  <c r="N55" i="1"/>
  <c r="N54" i="1"/>
  <c r="G30" i="16"/>
  <c r="G31" i="16" s="1"/>
  <c r="C30" i="16"/>
  <c r="C31" i="16" s="1"/>
  <c r="F30" i="16"/>
  <c r="F31" i="16" s="1"/>
  <c r="O57" i="1"/>
  <c r="R59" i="1"/>
  <c r="R58" i="1"/>
  <c r="N58" i="1"/>
  <c r="O58" i="1"/>
  <c r="O59" i="1"/>
  <c r="C64" i="1"/>
  <c r="N60" i="1"/>
  <c r="N59" i="1"/>
  <c r="W38" i="4" l="1"/>
  <c r="S305" i="22"/>
  <c r="X44" i="4"/>
  <c r="T223" i="22"/>
  <c r="X21" i="4" s="1"/>
  <c r="X24" i="4"/>
  <c r="T152" i="22"/>
  <c r="T150" i="22" s="1"/>
  <c r="X10" i="4" s="1"/>
  <c r="T174" i="22"/>
  <c r="X23" i="4" s="1"/>
  <c r="X40" i="4" s="1"/>
  <c r="W80" i="22"/>
  <c r="T119" i="22"/>
  <c r="T121" i="22" s="1"/>
  <c r="X9" i="4"/>
  <c r="X11" i="4"/>
  <c r="Y6" i="4"/>
  <c r="T151" i="22"/>
  <c r="T153" i="22" s="1"/>
  <c r="U187" i="22"/>
  <c r="U207" i="22"/>
  <c r="U120" i="22"/>
  <c r="U168" i="22"/>
  <c r="U118" i="22"/>
  <c r="V81" i="22"/>
  <c r="V136" i="22" s="1"/>
  <c r="C62" i="1"/>
  <c r="E32" i="1"/>
  <c r="M63" i="1"/>
  <c r="S56" i="1"/>
  <c r="S55" i="1"/>
  <c r="I52" i="1"/>
  <c r="S60" i="1"/>
  <c r="S59" i="1"/>
  <c r="S58" i="1"/>
  <c r="L63" i="1"/>
  <c r="S54" i="1"/>
  <c r="Q56" i="1"/>
  <c r="Q57" i="1"/>
  <c r="Q58" i="1"/>
  <c r="Q54" i="1"/>
  <c r="M34" i="1"/>
  <c r="F63" i="1"/>
  <c r="F61" i="1"/>
  <c r="F64" i="1"/>
  <c r="Q59" i="1"/>
  <c r="Q55" i="1"/>
  <c r="Q60" i="1"/>
  <c r="X38" i="4" l="1"/>
  <c r="T305" i="22"/>
  <c r="Y44" i="4"/>
  <c r="U223" i="22"/>
  <c r="Y21" i="4" s="1"/>
  <c r="Y24" i="4"/>
  <c r="U152" i="22"/>
  <c r="U150" i="22" s="1"/>
  <c r="Y10" i="4" s="1"/>
  <c r="U174" i="22"/>
  <c r="Y23" i="4" s="1"/>
  <c r="Y40" i="4" s="1"/>
  <c r="X80" i="22"/>
  <c r="U119" i="22"/>
  <c r="U121" i="22" s="1"/>
  <c r="Y9" i="4"/>
  <c r="Y11" i="4"/>
  <c r="Z6" i="4"/>
  <c r="U151" i="22"/>
  <c r="U153" i="22" s="1"/>
  <c r="V187" i="22"/>
  <c r="V207" i="22"/>
  <c r="V120" i="22"/>
  <c r="V168" i="22"/>
  <c r="V118" i="22"/>
  <c r="W81" i="22"/>
  <c r="W136" i="22" s="1"/>
  <c r="H62" i="1"/>
  <c r="F62" i="1"/>
  <c r="M30" i="1"/>
  <c r="Y38" i="4" l="1"/>
  <c r="U305" i="22"/>
  <c r="Z44" i="4"/>
  <c r="V223" i="22"/>
  <c r="Z21" i="4" s="1"/>
  <c r="Z24" i="4"/>
  <c r="V152" i="22"/>
  <c r="V150" i="22" s="1"/>
  <c r="Z10" i="4" s="1"/>
  <c r="V174" i="22"/>
  <c r="Z23" i="4" s="1"/>
  <c r="Z40" i="4" s="1"/>
  <c r="Y80" i="22"/>
  <c r="V119" i="22"/>
  <c r="V121" i="22" s="1"/>
  <c r="Z9" i="4"/>
  <c r="Z11" i="4"/>
  <c r="AA6" i="4"/>
  <c r="V151" i="22"/>
  <c r="V153" i="22" s="1"/>
  <c r="W187" i="22"/>
  <c r="W207" i="22"/>
  <c r="W120" i="22"/>
  <c r="W168" i="22"/>
  <c r="W118" i="22"/>
  <c r="X81" i="22"/>
  <c r="X136" i="22" s="1"/>
  <c r="D61" i="1"/>
  <c r="O61" i="1" s="1"/>
  <c r="B9" i="16"/>
  <c r="B10" i="16" s="1"/>
  <c r="Z38" i="4" l="1"/>
  <c r="V305" i="22"/>
  <c r="AA44" i="4"/>
  <c r="W223" i="22"/>
  <c r="AA21" i="4" s="1"/>
  <c r="AA24" i="4"/>
  <c r="W152" i="22"/>
  <c r="W150" i="22" s="1"/>
  <c r="AA10" i="4" s="1"/>
  <c r="W174" i="22"/>
  <c r="AA23" i="4" s="1"/>
  <c r="AA40" i="4" s="1"/>
  <c r="Z80" i="22"/>
  <c r="W119" i="22"/>
  <c r="W121" i="22" s="1"/>
  <c r="AA9" i="4"/>
  <c r="AA11" i="4"/>
  <c r="AB6" i="4"/>
  <c r="W151" i="22"/>
  <c r="W153" i="22" s="1"/>
  <c r="X187" i="22"/>
  <c r="X207" i="22"/>
  <c r="X120" i="22"/>
  <c r="X168" i="22"/>
  <c r="X118" i="22"/>
  <c r="Y81" i="22"/>
  <c r="Y136" i="22" s="1"/>
  <c r="L64" i="1"/>
  <c r="H33" i="10"/>
  <c r="I33" i="10" s="1"/>
  <c r="D63" i="1"/>
  <c r="M33" i="1"/>
  <c r="O60" i="1"/>
  <c r="D62" i="1" s="1"/>
  <c r="AA38" i="4" l="1"/>
  <c r="W305" i="22"/>
  <c r="AB44" i="4"/>
  <c r="X223" i="22"/>
  <c r="AB21" i="4" s="1"/>
  <c r="AB24" i="4"/>
  <c r="X152" i="22"/>
  <c r="X150" i="22" s="1"/>
  <c r="AB10" i="4" s="1"/>
  <c r="X174" i="22"/>
  <c r="AB23" i="4" s="1"/>
  <c r="AB40" i="4" s="1"/>
  <c r="AA80" i="22"/>
  <c r="X119" i="22"/>
  <c r="X121" i="22" s="1"/>
  <c r="AB9" i="4"/>
  <c r="AB11" i="4"/>
  <c r="AC6" i="4"/>
  <c r="X151" i="22"/>
  <c r="X153" i="22" s="1"/>
  <c r="Y187" i="22"/>
  <c r="Y207" i="22"/>
  <c r="Y120" i="22"/>
  <c r="Y168" i="22"/>
  <c r="Y118" i="22"/>
  <c r="Z81" i="22"/>
  <c r="M64" i="1"/>
  <c r="H12" i="10"/>
  <c r="I12" i="10" s="1"/>
  <c r="AB38" i="4" l="1"/>
  <c r="X305" i="22"/>
  <c r="Z207" i="22"/>
  <c r="Z136" i="22"/>
  <c r="AC44" i="4"/>
  <c r="Y223" i="22"/>
  <c r="AC21" i="4" s="1"/>
  <c r="AC24" i="4"/>
  <c r="Y152" i="22"/>
  <c r="Y150" i="22" s="1"/>
  <c r="AC10" i="4" s="1"/>
  <c r="Y174" i="22"/>
  <c r="AC23" i="4" s="1"/>
  <c r="AC40" i="4" s="1"/>
  <c r="AB80" i="22"/>
  <c r="Y119" i="22"/>
  <c r="Y121" i="22" s="1"/>
  <c r="AC9" i="4"/>
  <c r="AC11" i="4"/>
  <c r="AD6" i="4"/>
  <c r="Y151" i="22"/>
  <c r="Y153" i="22" s="1"/>
  <c r="Z187" i="22"/>
  <c r="Z120" i="22"/>
  <c r="Z168" i="22"/>
  <c r="Z118" i="22"/>
  <c r="AA81" i="22"/>
  <c r="AA136" i="22" s="1"/>
  <c r="G36" i="17"/>
  <c r="G37" i="17" s="1"/>
  <c r="G43" i="16" s="1"/>
  <c r="K64" i="16"/>
  <c r="K36" i="17"/>
  <c r="K37" i="17" s="1"/>
  <c r="K43" i="16" s="1"/>
  <c r="I59" i="16"/>
  <c r="J36" i="17"/>
  <c r="J37" i="17" s="1"/>
  <c r="J43" i="16" s="1"/>
  <c r="E59" i="16"/>
  <c r="F37" i="17"/>
  <c r="F43" i="16" s="1"/>
  <c r="H36" i="17"/>
  <c r="H37" i="17" s="1"/>
  <c r="H43" i="16" s="1"/>
  <c r="I64" i="16"/>
  <c r="I36" i="17"/>
  <c r="I37" i="17" s="1"/>
  <c r="I43" i="16" s="1"/>
  <c r="AC38" i="4" l="1"/>
  <c r="Y305" i="22"/>
  <c r="AD44" i="4"/>
  <c r="Z223" i="22"/>
  <c r="AD21" i="4" s="1"/>
  <c r="AD24" i="4"/>
  <c r="Z152" i="22"/>
  <c r="Z150" i="22" s="1"/>
  <c r="AD10" i="4" s="1"/>
  <c r="Z174" i="22"/>
  <c r="AD23" i="4" s="1"/>
  <c r="AD40" i="4" s="1"/>
  <c r="Z119" i="22"/>
  <c r="Z121" i="22" s="1"/>
  <c r="AD9" i="4"/>
  <c r="AD11" i="4"/>
  <c r="AE6" i="4"/>
  <c r="Z151" i="22"/>
  <c r="Z153" i="22" s="1"/>
  <c r="AA187" i="22"/>
  <c r="AA207" i="22"/>
  <c r="AA120" i="22"/>
  <c r="AA168" i="22"/>
  <c r="AA118" i="22"/>
  <c r="AB81" i="22"/>
  <c r="AB136" i="22" s="1"/>
  <c r="H64" i="16"/>
  <c r="J59" i="16"/>
  <c r="G64" i="16"/>
  <c r="K59" i="16"/>
  <c r="F59" i="16"/>
  <c r="G59" i="16"/>
  <c r="H59" i="16"/>
  <c r="J64" i="16"/>
  <c r="AD38" i="4" l="1"/>
  <c r="Z305" i="22"/>
  <c r="AE44" i="4"/>
  <c r="AA223" i="22"/>
  <c r="AE21" i="4" s="1"/>
  <c r="AF24" i="4"/>
  <c r="AE24" i="4"/>
  <c r="AA152" i="22"/>
  <c r="AA150" i="22" s="1"/>
  <c r="AE10" i="4" s="1"/>
  <c r="AA174" i="22"/>
  <c r="AE23" i="4" s="1"/>
  <c r="AE40" i="4" s="1"/>
  <c r="AB207" i="22"/>
  <c r="AF6" i="4"/>
  <c r="AF11" i="4"/>
  <c r="AA119" i="22"/>
  <c r="AA121" i="22" s="1"/>
  <c r="AE9" i="4"/>
  <c r="AE11" i="4"/>
  <c r="AA151" i="22"/>
  <c r="AA153" i="22" s="1"/>
  <c r="AB168" i="22"/>
  <c r="AB187" i="22"/>
  <c r="AB120" i="22"/>
  <c r="AB118" i="22"/>
  <c r="E36" i="17"/>
  <c r="E37" i="17" s="1"/>
  <c r="E43" i="16" s="1"/>
  <c r="E64" i="16"/>
  <c r="D47" i="17"/>
  <c r="AE38" i="4" l="1"/>
  <c r="AA305" i="22"/>
  <c r="AF44" i="4"/>
  <c r="AB223" i="22"/>
  <c r="AF21" i="4" s="1"/>
  <c r="AB152" i="22"/>
  <c r="AB150" i="22" s="1"/>
  <c r="AF10" i="4" s="1"/>
  <c r="AB174" i="22"/>
  <c r="AF23" i="4" s="1"/>
  <c r="AF40" i="4" s="1"/>
  <c r="AB119" i="22"/>
  <c r="AB121" i="22" s="1"/>
  <c r="AF9" i="4"/>
  <c r="AG40" i="4"/>
  <c r="AB151" i="22"/>
  <c r="AB153" i="22" s="1"/>
  <c r="D50" i="17"/>
  <c r="D55" i="16" s="1"/>
  <c r="D52" i="16"/>
  <c r="D59" i="16"/>
  <c r="G52" i="1" s="1" a="1"/>
  <c r="G52" i="1" s="1"/>
  <c r="L55" i="1"/>
  <c r="L62" i="1" s="1"/>
  <c r="M55" i="1"/>
  <c r="M62" i="1" s="1"/>
  <c r="D67" i="17"/>
  <c r="AF38" i="4" l="1"/>
  <c r="AG38" i="4" s="1"/>
  <c r="E26" i="4"/>
  <c r="E34" i="4" s="1"/>
  <c r="D25" i="4"/>
  <c r="D26" i="4" s="1"/>
  <c r="D34" i="4" s="1"/>
  <c r="D36" i="4" s="1"/>
  <c r="AB305" i="22"/>
  <c r="AG44" i="4"/>
  <c r="E36" i="4"/>
  <c r="E43" i="4" s="1"/>
  <c r="F43" i="4" s="1"/>
  <c r="G13" i="4" s="1"/>
  <c r="G15" i="4" l="1"/>
  <c r="G16" i="4" s="1"/>
  <c r="G17" i="4" s="1"/>
  <c r="C272" i="22" s="1"/>
  <c r="C256" i="22"/>
  <c r="G30" i="4"/>
  <c r="H39" i="4"/>
  <c r="G29" i="4" l="1"/>
  <c r="I39" i="4"/>
  <c r="J39" i="4" l="1"/>
  <c r="K39" i="4" l="1"/>
  <c r="L39" i="4" l="1"/>
  <c r="M39" i="4" l="1"/>
  <c r="N39" i="4" l="1"/>
  <c r="O39" i="4" l="1"/>
  <c r="P39" i="4" l="1"/>
  <c r="Q39" i="4" l="1"/>
  <c r="R39" i="4" l="1"/>
  <c r="S39" i="4" l="1"/>
  <c r="T39" i="4" l="1"/>
  <c r="U39" i="4" l="1"/>
  <c r="V39" i="4" l="1"/>
  <c r="W39" i="4" l="1"/>
  <c r="X39" i="4" l="1"/>
  <c r="Y39" i="4" l="1"/>
  <c r="Z39" i="4" l="1"/>
  <c r="AA39" i="4" l="1"/>
  <c r="AB39" i="4" l="1"/>
  <c r="AC39" i="4" l="1"/>
  <c r="AD39" i="4" l="1"/>
  <c r="AE39" i="4" l="1"/>
  <c r="AF39" i="4" l="1"/>
  <c r="AG39" i="4" s="1"/>
  <c r="G25" i="4" l="1"/>
  <c r="G26" i="4" s="1"/>
  <c r="G20" i="4"/>
  <c r="G22" i="4" s="1"/>
  <c r="G31" i="4"/>
  <c r="G12" i="4" l="1"/>
  <c r="G32" i="4" l="1"/>
  <c r="G35" i="4"/>
  <c r="G34" i="4"/>
  <c r="G36" i="4" l="1"/>
  <c r="G43" i="4" s="1"/>
  <c r="H13" i="4" s="1"/>
  <c r="H5" i="4"/>
  <c r="H14" i="4" s="1"/>
  <c r="H15" i="4" l="1"/>
  <c r="H20" i="4"/>
  <c r="H12" i="4"/>
  <c r="I5" i="4"/>
  <c r="J5" i="4" l="1"/>
  <c r="I20" i="4"/>
  <c r="I8" i="4"/>
  <c r="I19" i="4" s="1"/>
  <c r="H16" i="4"/>
  <c r="H25" i="4"/>
  <c r="H26" i="4" s="1"/>
  <c r="H31" i="4"/>
  <c r="H17" i="4" l="1"/>
  <c r="D272" i="22" s="1"/>
  <c r="H30" i="4"/>
  <c r="I12" i="4"/>
  <c r="H22" i="4"/>
  <c r="I25" i="4"/>
  <c r="I26" i="4" s="1"/>
  <c r="I31" i="4"/>
  <c r="J20" i="4"/>
  <c r="J8" i="4"/>
  <c r="J19" i="4" s="1"/>
  <c r="I14" i="4"/>
  <c r="H28" i="4"/>
  <c r="D256" i="22" l="1"/>
  <c r="J12" i="4"/>
  <c r="J14" i="4"/>
  <c r="K20" i="4"/>
  <c r="K8" i="4"/>
  <c r="K19" i="4" s="1"/>
  <c r="K5" i="4"/>
  <c r="H34" i="4"/>
  <c r="J31" i="4"/>
  <c r="J25" i="4"/>
  <c r="J26" i="4" s="1"/>
  <c r="I41" i="4"/>
  <c r="H29" i="4" l="1"/>
  <c r="K12" i="4"/>
  <c r="I28" i="4"/>
  <c r="K14" i="4"/>
  <c r="K31" i="4"/>
  <c r="K25" i="4"/>
  <c r="K26" i="4" s="1"/>
  <c r="L20" i="4"/>
  <c r="L5" i="4"/>
  <c r="L8" i="4"/>
  <c r="L19" i="4" s="1"/>
  <c r="J41" i="4"/>
  <c r="K41" i="4" l="1"/>
  <c r="H35" i="4"/>
  <c r="H36" i="4" s="1"/>
  <c r="H43" i="4" s="1"/>
  <c r="H32" i="4"/>
  <c r="L12" i="4"/>
  <c r="L14" i="4"/>
  <c r="L41" i="4"/>
  <c r="M20" i="4"/>
  <c r="M8" i="4"/>
  <c r="M19" i="4" s="1"/>
  <c r="M5" i="4"/>
  <c r="J28" i="4"/>
  <c r="K28" i="4"/>
  <c r="L31" i="4"/>
  <c r="L25" i="4"/>
  <c r="L26" i="4" s="1"/>
  <c r="I13" i="4" l="1"/>
  <c r="I15" i="4" s="1"/>
  <c r="I16" i="4" s="1"/>
  <c r="I17" i="4" s="1"/>
  <c r="E272" i="22" s="1"/>
  <c r="I30" i="4"/>
  <c r="E256" i="22"/>
  <c r="M12" i="4"/>
  <c r="M41" i="4"/>
  <c r="M25" i="4"/>
  <c r="M26" i="4" s="1"/>
  <c r="M31" i="4"/>
  <c r="M14" i="4"/>
  <c r="N5" i="4"/>
  <c r="N20" i="4"/>
  <c r="N8" i="4"/>
  <c r="N19" i="4" s="1"/>
  <c r="I22" i="4" l="1"/>
  <c r="I34" i="4" s="1"/>
  <c r="E286" i="22"/>
  <c r="I29" i="4"/>
  <c r="N12" i="4"/>
  <c r="O20" i="4"/>
  <c r="O5" i="4"/>
  <c r="O8" i="4"/>
  <c r="O19" i="4" s="1"/>
  <c r="N41" i="4"/>
  <c r="L28" i="4"/>
  <c r="N25" i="4"/>
  <c r="N26" i="4" s="1"/>
  <c r="N31" i="4"/>
  <c r="N14" i="4"/>
  <c r="I35" i="4" l="1"/>
  <c r="I36" i="4" s="1"/>
  <c r="I43" i="4" s="1"/>
  <c r="I32" i="4"/>
  <c r="O12" i="4"/>
  <c r="M28" i="4"/>
  <c r="O14" i="4"/>
  <c r="O25" i="4"/>
  <c r="O26" i="4" s="1"/>
  <c r="O31" i="4"/>
  <c r="O41" i="4"/>
  <c r="P20" i="4"/>
  <c r="P5" i="4"/>
  <c r="P8" i="4"/>
  <c r="P19" i="4" s="1"/>
  <c r="J13" i="4" l="1"/>
  <c r="J15" i="4" s="1"/>
  <c r="J16" i="4" s="1"/>
  <c r="J17" i="4" s="1"/>
  <c r="F272" i="22"/>
  <c r="J29" i="4" s="1"/>
  <c r="J30" i="4"/>
  <c r="P12" i="4"/>
  <c r="N28" i="4"/>
  <c r="Q20" i="4"/>
  <c r="Q8" i="4"/>
  <c r="Q19" i="4" s="1"/>
  <c r="P41" i="4"/>
  <c r="J35" i="4"/>
  <c r="J32" i="4"/>
  <c r="P25" i="4"/>
  <c r="P26" i="4" s="1"/>
  <c r="P31" i="4"/>
  <c r="P14" i="4"/>
  <c r="F256" i="22" l="1"/>
  <c r="J22" i="4"/>
  <c r="J34" i="4" s="1"/>
  <c r="J36" i="4" s="1"/>
  <c r="J43" i="4" s="1"/>
  <c r="Q12" i="4"/>
  <c r="K13" i="4"/>
  <c r="K15" i="4" s="1"/>
  <c r="K16" i="4" s="1"/>
  <c r="Q14" i="4"/>
  <c r="Q31" i="4"/>
  <c r="Q25" i="4"/>
  <c r="Q26" i="4" s="1"/>
  <c r="R5" i="4"/>
  <c r="R20" i="4"/>
  <c r="R8" i="4"/>
  <c r="R19" i="4" s="1"/>
  <c r="O28" i="4"/>
  <c r="R12" i="4" l="1"/>
  <c r="K17" i="4"/>
  <c r="G272" i="22" s="1"/>
  <c r="K29" i="4" s="1"/>
  <c r="R14" i="4"/>
  <c r="Q28" i="4"/>
  <c r="Q41" i="4"/>
  <c r="P28" i="4"/>
  <c r="S8" i="4"/>
  <c r="S19" i="4" s="1"/>
  <c r="S20" i="4"/>
  <c r="S5" i="4"/>
  <c r="R31" i="4"/>
  <c r="R25" i="4"/>
  <c r="R26" i="4" s="1"/>
  <c r="K30" i="4" l="1"/>
  <c r="K22" i="4"/>
  <c r="K34" i="4" s="1"/>
  <c r="G256" i="22"/>
  <c r="S12" i="4"/>
  <c r="S14" i="4"/>
  <c r="R28" i="4"/>
  <c r="S25" i="4"/>
  <c r="S26" i="4" s="1"/>
  <c r="S31" i="4"/>
  <c r="K35" i="4"/>
  <c r="K36" i="4" s="1"/>
  <c r="K43" i="4" s="1"/>
  <c r="K32" i="4"/>
  <c r="T20" i="4"/>
  <c r="T8" i="4"/>
  <c r="T19" i="4" s="1"/>
  <c r="T5" i="4"/>
  <c r="R41" i="4"/>
  <c r="T12" i="4" l="1"/>
  <c r="S28" i="4"/>
  <c r="L13" i="4"/>
  <c r="L15" i="4" s="1"/>
  <c r="L16" i="4" s="1"/>
  <c r="U5" i="4"/>
  <c r="U20" i="4"/>
  <c r="U8" i="4"/>
  <c r="U19" i="4" s="1"/>
  <c r="S41" i="4"/>
  <c r="T31" i="4"/>
  <c r="T25" i="4"/>
  <c r="T26" i="4" s="1"/>
  <c r="T14" i="4"/>
  <c r="U12" i="4" l="1"/>
  <c r="L17" i="4"/>
  <c r="H272" i="22" s="1"/>
  <c r="L29" i="4" s="1"/>
  <c r="T28" i="4"/>
  <c r="T41" i="4"/>
  <c r="V20" i="4"/>
  <c r="V5" i="4"/>
  <c r="V8" i="4"/>
  <c r="V19" i="4" s="1"/>
  <c r="U14" i="4"/>
  <c r="U25" i="4"/>
  <c r="U26" i="4" s="1"/>
  <c r="U31" i="4"/>
  <c r="L30" i="4" l="1"/>
  <c r="L22" i="4"/>
  <c r="L34" i="4" s="1"/>
  <c r="H256" i="22"/>
  <c r="V12" i="4"/>
  <c r="V14" i="4"/>
  <c r="U28" i="4"/>
  <c r="U41" i="4"/>
  <c r="L35" i="4"/>
  <c r="L32" i="4"/>
  <c r="W5" i="4"/>
  <c r="W14" i="4" s="1"/>
  <c r="W8" i="4"/>
  <c r="W19" i="4" s="1"/>
  <c r="W20" i="4"/>
  <c r="V31" i="4"/>
  <c r="V25" i="4"/>
  <c r="V26" i="4" s="1"/>
  <c r="W12" i="4" l="1"/>
  <c r="V28" i="4"/>
  <c r="V41" i="4"/>
  <c r="L36" i="4"/>
  <c r="L43" i="4" s="1"/>
  <c r="X5" i="4"/>
  <c r="X20" i="4"/>
  <c r="X8" i="4"/>
  <c r="X19" i="4" s="1"/>
  <c r="W31" i="4"/>
  <c r="W25" i="4"/>
  <c r="W26" i="4" s="1"/>
  <c r="X12" i="4" l="1"/>
  <c r="W28" i="4"/>
  <c r="X25" i="4"/>
  <c r="X26" i="4" s="1"/>
  <c r="X31" i="4"/>
  <c r="X14" i="4"/>
  <c r="Y20" i="4"/>
  <c r="Y5" i="4"/>
  <c r="Y8" i="4"/>
  <c r="Y19" i="4" s="1"/>
  <c r="M13" i="4"/>
  <c r="M15" i="4" s="1"/>
  <c r="M16" i="4" s="1"/>
  <c r="W41" i="4"/>
  <c r="Y12" i="4" l="1"/>
  <c r="M17" i="4"/>
  <c r="I272" i="22" s="1"/>
  <c r="M29" i="4" s="1"/>
  <c r="X41" i="4"/>
  <c r="Z8" i="4"/>
  <c r="Z19" i="4" s="1"/>
  <c r="Z20" i="4"/>
  <c r="Z5" i="4"/>
  <c r="X28" i="4"/>
  <c r="Y31" i="4"/>
  <c r="Y25" i="4"/>
  <c r="Y26" i="4" s="1"/>
  <c r="Y14" i="4"/>
  <c r="Y41" i="4" l="1"/>
  <c r="M30" i="4"/>
  <c r="M22" i="4"/>
  <c r="M34" i="4" s="1"/>
  <c r="I256" i="22"/>
  <c r="Z12" i="4"/>
  <c r="Z25" i="4"/>
  <c r="Z26" i="4" s="1"/>
  <c r="Z31" i="4"/>
  <c r="Z14" i="4"/>
  <c r="AA8" i="4"/>
  <c r="AA19" i="4" s="1"/>
  <c r="AA20" i="4"/>
  <c r="AA5" i="4"/>
  <c r="M35" i="4"/>
  <c r="M36" i="4" s="1"/>
  <c r="M43" i="4" s="1"/>
  <c r="M32" i="4"/>
  <c r="Z41" i="4"/>
  <c r="AA12" i="4" l="1"/>
  <c r="Y28" i="4"/>
  <c r="N13" i="4"/>
  <c r="N15" i="4" s="1"/>
  <c r="N16" i="4" s="1"/>
  <c r="AA14" i="4"/>
  <c r="AA25" i="4"/>
  <c r="AA26" i="4" s="1"/>
  <c r="AA31" i="4"/>
  <c r="AB20" i="4"/>
  <c r="AB8" i="4"/>
  <c r="AB19" i="4" s="1"/>
  <c r="AB5" i="4"/>
  <c r="AB12" i="4" l="1"/>
  <c r="N17" i="4"/>
  <c r="Z28" i="4"/>
  <c r="AA28" i="4"/>
  <c r="AB14" i="4"/>
  <c r="AB31" i="4"/>
  <c r="AB25" i="4"/>
  <c r="AB26" i="4" s="1"/>
  <c r="AA41" i="4"/>
  <c r="AC8" i="4"/>
  <c r="AC19" i="4" s="1"/>
  <c r="AC5" i="4"/>
  <c r="AC20" i="4"/>
  <c r="N30" i="4" l="1"/>
  <c r="J272" i="22"/>
  <c r="N29" i="4" s="1"/>
  <c r="N22" i="4"/>
  <c r="N34" i="4" s="1"/>
  <c r="J256" i="22"/>
  <c r="AC12" i="4"/>
  <c r="AB28" i="4"/>
  <c r="AD20" i="4"/>
  <c r="AD5" i="4"/>
  <c r="AD8" i="4"/>
  <c r="AD19" i="4" s="1"/>
  <c r="AB41" i="4"/>
  <c r="AC25" i="4"/>
  <c r="AC26" i="4" s="1"/>
  <c r="AC31" i="4"/>
  <c r="N35" i="4"/>
  <c r="N36" i="4" s="1"/>
  <c r="N43" i="4" s="1"/>
  <c r="N32" i="4"/>
  <c r="AC14" i="4"/>
  <c r="AD12" i="4" l="1"/>
  <c r="AC28" i="4"/>
  <c r="O13" i="4"/>
  <c r="O15" i="4" s="1"/>
  <c r="O16" i="4" s="1"/>
  <c r="AE5" i="4"/>
  <c r="AE8" i="4"/>
  <c r="AE19" i="4" s="1"/>
  <c r="AE20" i="4"/>
  <c r="AC41" i="4"/>
  <c r="AD14" i="4"/>
  <c r="AD25" i="4"/>
  <c r="AD26" i="4" s="1"/>
  <c r="AD31" i="4"/>
  <c r="AE12" i="4" l="1"/>
  <c r="O17" i="4"/>
  <c r="AF8" i="4"/>
  <c r="AF19" i="4" s="1"/>
  <c r="AF20" i="4"/>
  <c r="AG23" i="4"/>
  <c r="AF5" i="4"/>
  <c r="AE14" i="4"/>
  <c r="AD41" i="4"/>
  <c r="AE31" i="4"/>
  <c r="AE25" i="4"/>
  <c r="AE26" i="4" s="1"/>
  <c r="AG9" i="4"/>
  <c r="AD28" i="4"/>
  <c r="O30" i="4" l="1"/>
  <c r="K272" i="22"/>
  <c r="O29" i="4" s="1"/>
  <c r="O22" i="4"/>
  <c r="O34" i="4" s="1"/>
  <c r="K256" i="22"/>
  <c r="AF12" i="4"/>
  <c r="AF14" i="4"/>
  <c r="AF31" i="4"/>
  <c r="AE41" i="4"/>
  <c r="AF25" i="4"/>
  <c r="AF26" i="4" s="1"/>
  <c r="O35" i="4"/>
  <c r="O36" i="4" s="1"/>
  <c r="O43" i="4" s="1"/>
  <c r="O32" i="4"/>
  <c r="P13" i="4" l="1"/>
  <c r="P15" i="4" s="1"/>
  <c r="P16" i="4" s="1"/>
  <c r="AH24" i="4"/>
  <c r="AE28" i="4"/>
  <c r="AF41" i="4"/>
  <c r="AG41" i="4" s="1"/>
  <c r="P17" i="4" l="1"/>
  <c r="AF28" i="4"/>
  <c r="P30" i="4" l="1"/>
  <c r="L272" i="22"/>
  <c r="P29" i="4" s="1"/>
  <c r="P22" i="4"/>
  <c r="P34" i="4" s="1"/>
  <c r="L256" i="22"/>
  <c r="P35" i="4"/>
  <c r="P36" i="4" s="1"/>
  <c r="P43" i="4" s="1"/>
  <c r="P32" i="4"/>
  <c r="Q13" i="4" l="1"/>
  <c r="Q15" i="4" s="1"/>
  <c r="Q16" i="4" s="1"/>
  <c r="Q17" i="4" l="1"/>
  <c r="Q30" i="4" l="1"/>
  <c r="M272" i="22"/>
  <c r="Q29" i="4" s="1"/>
  <c r="Q22" i="4"/>
  <c r="Q34" i="4" s="1"/>
  <c r="M256" i="22"/>
  <c r="Q35" i="4"/>
  <c r="Q36" i="4" s="1"/>
  <c r="Q43" i="4" s="1"/>
  <c r="Q32" i="4"/>
  <c r="R13" i="4" l="1"/>
  <c r="R15" i="4" s="1"/>
  <c r="R16" i="4" s="1"/>
  <c r="R17" i="4" l="1"/>
  <c r="R30" i="4" l="1"/>
  <c r="N272" i="22"/>
  <c r="R29" i="4" s="1"/>
  <c r="R22" i="4"/>
  <c r="R34" i="4" s="1"/>
  <c r="N256" i="22"/>
  <c r="R35" i="4"/>
  <c r="R36" i="4" s="1"/>
  <c r="R43" i="4" s="1"/>
  <c r="R32" i="4"/>
  <c r="S13" i="4" l="1"/>
  <c r="S15" i="4" s="1"/>
  <c r="S16" i="4" s="1"/>
  <c r="S17" i="4" l="1"/>
  <c r="S30" i="4" l="1"/>
  <c r="O272" i="22"/>
  <c r="S29" i="4" s="1"/>
  <c r="S22" i="4"/>
  <c r="S34" i="4" s="1"/>
  <c r="O256" i="22"/>
  <c r="S35" i="4"/>
  <c r="S36" i="4" s="1"/>
  <c r="S43" i="4" s="1"/>
  <c r="S32" i="4"/>
  <c r="T13" i="4" l="1"/>
  <c r="T15" i="4" s="1"/>
  <c r="T16" i="4" s="1"/>
  <c r="T17" i="4" l="1"/>
  <c r="T30" i="4" l="1"/>
  <c r="P272" i="22"/>
  <c r="T29" i="4" s="1"/>
  <c r="T22" i="4"/>
  <c r="T34" i="4" s="1"/>
  <c r="P256" i="22"/>
  <c r="T35" i="4"/>
  <c r="T36" i="4" s="1"/>
  <c r="T43" i="4" s="1"/>
  <c r="T32" i="4"/>
  <c r="U13" i="4" l="1"/>
  <c r="U15" i="4" s="1"/>
  <c r="U16" i="4" s="1"/>
  <c r="U17" i="4" l="1"/>
  <c r="U30" i="4" l="1"/>
  <c r="Q272" i="22"/>
  <c r="U29" i="4" s="1"/>
  <c r="U22" i="4"/>
  <c r="U34" i="4" s="1"/>
  <c r="Q256" i="22"/>
  <c r="U35" i="4"/>
  <c r="U36" i="4" s="1"/>
  <c r="U43" i="4" s="1"/>
  <c r="U32" i="4"/>
  <c r="V13" i="4" l="1"/>
  <c r="V15" i="4" s="1"/>
  <c r="V16" i="4" s="1"/>
  <c r="V17" i="4" l="1"/>
  <c r="V30" i="4" l="1"/>
  <c r="R272" i="22"/>
  <c r="V29" i="4" s="1"/>
  <c r="V22" i="4"/>
  <c r="V34" i="4" s="1"/>
  <c r="R256" i="22"/>
  <c r="V35" i="4"/>
  <c r="V36" i="4" s="1"/>
  <c r="V43" i="4" s="1"/>
  <c r="V32" i="4"/>
  <c r="W13" i="4" l="1"/>
  <c r="W15" i="4" s="1"/>
  <c r="W16" i="4" s="1"/>
  <c r="W17" i="4" l="1"/>
  <c r="W30" i="4" l="1"/>
  <c r="S272" i="22"/>
  <c r="W29" i="4" s="1"/>
  <c r="W22" i="4"/>
  <c r="W34" i="4" s="1"/>
  <c r="S256" i="22"/>
  <c r="W35" i="4"/>
  <c r="W36" i="4" s="1"/>
  <c r="W43" i="4" s="1"/>
  <c r="W32" i="4"/>
  <c r="X13" i="4" l="1"/>
  <c r="X15" i="4" s="1"/>
  <c r="X16" i="4" s="1"/>
  <c r="X17" i="4" l="1"/>
  <c r="X30" i="4" l="1"/>
  <c r="T272" i="22"/>
  <c r="X29" i="4" s="1"/>
  <c r="X22" i="4"/>
  <c r="X34" i="4" s="1"/>
  <c r="T256" i="22"/>
  <c r="X35" i="4"/>
  <c r="X36" i="4" s="1"/>
  <c r="X43" i="4" s="1"/>
  <c r="X32" i="4"/>
  <c r="Y13" i="4" l="1"/>
  <c r="Y15" i="4" s="1"/>
  <c r="Y16" i="4" s="1"/>
  <c r="Y17" i="4" l="1"/>
  <c r="Y30" i="4" l="1"/>
  <c r="U272" i="22"/>
  <c r="Y29" i="4" s="1"/>
  <c r="Y22" i="4"/>
  <c r="Y34" i="4" s="1"/>
  <c r="U256" i="22"/>
  <c r="Y35" i="4"/>
  <c r="Y36" i="4" s="1"/>
  <c r="Y43" i="4" s="1"/>
  <c r="Y32" i="4"/>
  <c r="Z13" i="4" l="1"/>
  <c r="Z15" i="4" s="1"/>
  <c r="Z16" i="4" s="1"/>
  <c r="Z17" i="4" l="1"/>
  <c r="Z30" i="4" l="1"/>
  <c r="V272" i="22"/>
  <c r="Z29" i="4" s="1"/>
  <c r="Z22" i="4"/>
  <c r="Z34" i="4" s="1"/>
  <c r="V256" i="22"/>
  <c r="Z35" i="4"/>
  <c r="Z36" i="4" s="1"/>
  <c r="Z43" i="4" s="1"/>
  <c r="Z32" i="4"/>
  <c r="AA13" i="4" l="1"/>
  <c r="AA15" i="4" s="1"/>
  <c r="AA16" i="4" s="1"/>
  <c r="AA17" i="4" l="1"/>
  <c r="AA30" i="4" l="1"/>
  <c r="W272" i="22"/>
  <c r="AA29" i="4" s="1"/>
  <c r="AA22" i="4"/>
  <c r="AA34" i="4" s="1"/>
  <c r="W256" i="22"/>
  <c r="AA35" i="4"/>
  <c r="AA36" i="4" s="1"/>
  <c r="AA43" i="4" s="1"/>
  <c r="AA32" i="4"/>
  <c r="AB13" i="4" l="1"/>
  <c r="AB15" i="4" s="1"/>
  <c r="AB16" i="4" s="1"/>
  <c r="AB17" i="4" l="1"/>
  <c r="AB30" i="4" l="1"/>
  <c r="X272" i="22"/>
  <c r="AB29" i="4" s="1"/>
  <c r="AB22" i="4"/>
  <c r="AB34" i="4" s="1"/>
  <c r="X256" i="22"/>
  <c r="AB35" i="4"/>
  <c r="AB36" i="4" s="1"/>
  <c r="AB43" i="4" s="1"/>
  <c r="AB32" i="4"/>
  <c r="AC13" i="4" l="1"/>
  <c r="AC15" i="4" s="1"/>
  <c r="AC16" i="4" s="1"/>
  <c r="AC17" i="4" l="1"/>
  <c r="AC30" i="4" l="1"/>
  <c r="Y272" i="22"/>
  <c r="AC29" i="4" s="1"/>
  <c r="AC22" i="4"/>
  <c r="AC34" i="4" s="1"/>
  <c r="Y256" i="22"/>
  <c r="AC35" i="4"/>
  <c r="AC36" i="4" s="1"/>
  <c r="AC43" i="4" s="1"/>
  <c r="AC32" i="4"/>
  <c r="AD13" i="4" l="1"/>
  <c r="AD15" i="4" s="1"/>
  <c r="AD16" i="4" s="1"/>
  <c r="AD17" i="4" l="1"/>
  <c r="AD30" i="4" l="1"/>
  <c r="Z272" i="22"/>
  <c r="AD29" i="4" s="1"/>
  <c r="AD22" i="4"/>
  <c r="AD34" i="4" s="1"/>
  <c r="Z256" i="22"/>
  <c r="AD35" i="4"/>
  <c r="AD36" i="4" s="1"/>
  <c r="AD43" i="4" s="1"/>
  <c r="AD32" i="4"/>
  <c r="AE13" i="4" l="1"/>
  <c r="AE15" i="4" s="1"/>
  <c r="AE16" i="4" s="1"/>
  <c r="AE17" i="4" l="1"/>
  <c r="AE30" i="4" l="1"/>
  <c r="AA272" i="22"/>
  <c r="AE29" i="4" s="1"/>
  <c r="AE22" i="4"/>
  <c r="AE34" i="4" s="1"/>
  <c r="AA256" i="22"/>
  <c r="AE35" i="4"/>
  <c r="AE36" i="4" s="1"/>
  <c r="AE43" i="4" s="1"/>
  <c r="AE32" i="4"/>
  <c r="AF13" i="4" l="1"/>
  <c r="AF15" i="4" s="1"/>
  <c r="AF16" i="4" s="1"/>
  <c r="AF17" i="4" l="1"/>
  <c r="AF30" i="4" l="1"/>
  <c r="AB272" i="22"/>
  <c r="AF29" i="4" s="1"/>
  <c r="AF22" i="4"/>
  <c r="AF34" i="4" s="1"/>
  <c r="M54" i="4" s="1"/>
  <c r="AB256" i="22"/>
  <c r="AF35" i="4"/>
  <c r="AF32" i="4"/>
  <c r="AF36" i="4" l="1"/>
  <c r="AF43" i="4" s="1"/>
  <c r="AG43" i="4" s="1"/>
  <c r="D66" i="4" l="1"/>
  <c r="D65" i="4"/>
  <c r="M53" i="4"/>
  <c r="M55" i="4"/>
  <c r="N54" i="4" s="1"/>
  <c r="M58" i="4"/>
  <c r="M57" i="4" s="1"/>
  <c r="M46" i="1" s="1"/>
  <c r="N53" i="4"/>
  <c r="E65" i="4" l="1"/>
  <c r="E66" i="4"/>
  <c r="H46" i="1"/>
  <c r="P47" i="1" s="1"/>
  <c r="Q47"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Catarina Relvas Pires Guimarães</author>
    <author>Eduardo Ferreira</author>
  </authors>
  <commentList>
    <comment ref="B2"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H46" authorId="3" shapeId="0" xr:uid="{FB6E9C75-C9DE-4C55-985E-34F2B74D956E}">
      <text>
        <r>
          <rPr>
            <sz val="10"/>
            <rFont val="Arial"/>
          </rPr>
          <t xml:space="preserve">Catarina Relvas Pires Guimarães:
em CHF ao lado
</t>
        </r>
      </text>
    </comment>
    <comment ref="D51" authorId="4" shapeId="0" xr:uid="{00000000-0006-0000-0000-00000400000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THIAGO SANTOS FERREIRA</author>
  </authors>
  <commentList>
    <comment ref="E4" authorId="0" shapeId="0" xr:uid="{8491043D-C857-4C04-9663-52F14DA27C20}">
      <text>
        <r>
          <rPr>
            <sz val="10"/>
            <rFont val="Arial"/>
          </rPr>
          <t>Already above pre-pandemic levels</t>
        </r>
      </text>
    </comment>
    <comment ref="D5" authorId="0" shapeId="0" xr:uid="{A7041B8F-26EE-4D16-A57C-A3F2C10CD756}">
      <text>
        <r>
          <rPr>
            <sz val="10"/>
            <rFont val="Arial"/>
          </rPr>
          <t>Due to frequent lockdowns during 2022
April - June quarter:
40% sales increase in Asia, mainly led by Greater China, but also Taiwan and Australia</t>
        </r>
      </text>
    </comment>
    <comment ref="D7" authorId="0" shapeId="0" xr:uid="{7EDCAB02-1DE1-4C39-9A15-D529CC800F6E}">
      <text>
        <r>
          <rPr>
            <sz val="10"/>
            <rFont val="Arial"/>
          </rPr>
          <t>Reboot in Europe after previous YoY stagnation. Expected to increase due to the return of tourism</t>
        </r>
      </text>
    </comment>
    <comment ref="L20" authorId="0" shapeId="0" xr:uid="{1BCA7C56-FD1A-4A33-AFC4-9882951326B5}">
      <text>
        <r>
          <rPr>
            <sz val="10"/>
            <rFont val="Arial"/>
          </rPr>
          <t>Data is biased because of the redistribution of the "Online" segment</t>
        </r>
      </text>
    </comment>
    <comment ref="C24" authorId="0" shapeId="0" xr:uid="{77A37220-FE47-4B6F-A414-153753D2DD8C}">
      <text>
        <r>
          <rPr>
            <sz val="10"/>
            <rFont val="Arial"/>
          </rPr>
          <t>THIAGO SANTOS FERREIRA:
They don't report it separately anymore</t>
        </r>
      </text>
    </comment>
    <comment ref="D43" authorId="0" shapeId="0" xr:uid="{FFB74DFD-72EA-4D23-A856-11379EACDA0D}">
      <text>
        <r>
          <rPr>
            <sz val="10"/>
            <rFont val="Arial"/>
          </rPr>
          <t>Jewellery - 3.68%
Watches - 4.44%</t>
        </r>
      </text>
    </comment>
    <comment ref="C49" authorId="0" shapeId="0" xr:uid="{978BA8E9-2D27-46A1-9C60-1D576FD20B27}">
      <text>
        <r>
          <rPr>
            <sz val="10"/>
            <rFont val="Arial"/>
          </rPr>
          <t>"Others" category are mainly leather and fashion, with no detailed divisions between these two in the financial reports</t>
        </r>
      </text>
    </comment>
    <comment ref="D50" authorId="0" shapeId="0" xr:uid="{FA52626B-A8D7-4C44-AFBA-62F57605B271}">
      <text>
        <r>
          <rPr>
            <sz val="10"/>
            <rFont val="Arial"/>
          </rPr>
          <t>Weighted Average</t>
        </r>
      </text>
    </comment>
    <comment ref="B51" authorId="0" shapeId="0" xr:uid="{9392FC21-A1DA-4ECB-B3C9-DC1F7D5EDB2B}">
      <text>
        <r>
          <rPr>
            <sz val="10"/>
            <rFont val="Arial"/>
          </rPr>
          <t xml:space="preserve">Para onde querem expandir
O que querem fazer
O que a empresa está a fazer
</t>
        </r>
      </text>
    </comment>
    <comment ref="B52" authorId="0" shapeId="0" xr:uid="{27CD2E87-A92D-407C-A0B0-4EAAB385AAC4}">
      <text>
        <r>
          <rPr>
            <sz val="10"/>
            <rFont val="Arial"/>
          </rPr>
          <t>"This year has seen a re-affirmation of the relevance of our strategy to build brand equity 
over the long term, and to do so in a responsible and creative 
manner."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s>
  <commentList>
    <comment ref="B12" authorId="0" shapeId="0" xr:uid="{B7B353A2-EDB1-4338-B30C-ADA27861FAC9}">
      <text>
        <r>
          <rPr>
            <sz val="10"/>
            <rFont val="Arial"/>
          </rPr>
          <t>Catarina Relvas Pires Guimarães:
better comparison for sales growth is LVMH, as it is only the watches and jewelry sector, and Herms, which includes other accessories but not all the sectors.</t>
        </r>
      </text>
    </comment>
    <comment ref="J52" authorId="0" shapeId="0" xr:uid="{00000000-0006-0000-0300-000001000000}">
      <text>
        <r>
          <rPr>
            <sz val="10"/>
            <rFont val="Arial"/>
            <family val="2"/>
          </rPr>
          <t xml:space="preserve">Catarina Guimarães:
used for Richemont </t>
        </r>
      </text>
    </comment>
    <comment ref="D53" authorId="0" shapeId="0" xr:uid="{25AB0C99-365B-4F92-BF65-B861CCF75DB2}">
      <text>
        <r>
          <rPr>
            <sz val="10"/>
            <rFont val="Arial"/>
          </rPr>
          <t xml:space="preserve">Catarina Guimarães:
only for the watches and jewelry sector
</t>
        </r>
      </text>
    </comment>
    <comment ref="F53" authorId="0" shapeId="0" xr:uid="{2EE252EC-AE2D-4443-92BA-98711A11BE87}">
      <text>
        <r>
          <rPr>
            <sz val="10"/>
            <rFont val="Arial"/>
          </rPr>
          <t>Catarina Guimarães:
sum of watches and ready-to-wear accessories (includes shoes, belts and hats- not leather)</t>
        </r>
      </text>
    </comment>
    <comment ref="J53" authorId="0" shapeId="0" xr:uid="{00000000-0006-0000-0300-000002000000}">
      <text>
        <r>
          <rPr>
            <sz val="10"/>
            <rFont val="Arial"/>
            <family val="2"/>
          </rPr>
          <t>Catarina Guimarães:
used for swatch</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s>
  <commentList>
    <comment ref="C28" authorId="0" shapeId="0" xr:uid="{CFEE94F0-4CF1-4FCF-A808-31D6EB70524B}">
      <text>
        <r>
          <rPr>
            <sz val="10"/>
            <rFont val="Arial"/>
          </rPr>
          <t>Catarina Relvas Pires Guimarães:
debt forecasted as debt+leases</t>
        </r>
      </text>
    </comment>
    <comment ref="C56" authorId="0" shapeId="0" xr:uid="{EC15C257-C544-4306-A3C8-C9F5BF138C5F}">
      <text>
        <r>
          <rPr>
            <sz val="10"/>
            <rFont val="Arial"/>
            <family val="2"/>
          </rPr>
          <t xml:space="preserve">Catarina Guimarães:
annual report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s>
  <commentList>
    <comment ref="B20" authorId="0" shapeId="0" xr:uid="{00000000-0006-0000-0600-000001000000}">
      <text>
        <r>
          <rPr>
            <sz val="10"/>
            <rFont val="Arial"/>
            <family val="2"/>
          </rPr>
          <t xml:space="preserve">Catarina Guimarães:
annual report
</t>
        </r>
      </text>
    </comment>
    <comment ref="B22" authorId="0" shapeId="0" xr:uid="{EF203575-BBD7-4E76-A551-AB56420C8C78}">
      <text>
        <r>
          <rPr>
            <sz val="10"/>
            <rFont val="Arial"/>
          </rPr>
          <t xml:space="preserve">Catarina Guimarães:
effective interest rate on cash at bank, annual report
</t>
        </r>
      </text>
    </comment>
    <comment ref="B33" authorId="0" shapeId="0" xr:uid="{19F593CB-9B04-4C3C-9C16-BEF808D9A7A2}">
      <text>
        <r>
          <rPr>
            <sz val="10"/>
            <rFont val="Arial"/>
          </rPr>
          <t xml:space="preserve">Catarina Relvas Pires Guimarães:
net
</t>
        </r>
      </text>
    </comment>
    <comment ref="B127" authorId="0" shapeId="0" xr:uid="{E5828F19-7727-4698-8C65-A4593DE87535}">
      <text>
        <r>
          <rPr>
            <sz val="10"/>
            <rFont val="Arial"/>
          </rPr>
          <t>Catarina Relvas Pires Guimarães:
aqui deve estar incluido o capex em intangibles tambem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Niel Brainer Latifo Ganàncio</author>
  </authors>
  <commentList>
    <comment ref="A9" authorId="0" shapeId="0" xr:uid="{2F1375DF-168D-4B81-B2E2-7501154C0A66}">
      <text>
        <r>
          <rPr>
            <sz val="10"/>
            <rFont val="Arial"/>
          </rPr>
          <t>Catarina Guimarães:
includes minority interest</t>
        </r>
      </text>
    </comment>
    <comment ref="A48" authorId="1" shapeId="0" xr:uid="{00000000-0006-0000-0A00-000001000000}">
      <text>
        <r>
          <rPr>
            <sz val="10"/>
            <rFont val="Arial"/>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6"/>
        </ext>
      </extLst>
    </bk>
    <bk>
      <extLst>
        <ext uri="{3e2802c4-a4d2-4d8b-9148-e3be6c30e623}">
          <xlrd:rvb i="18"/>
        </ext>
      </extLst>
    </bk>
  </futureMetadata>
  <futureMetadata name="XLDAPR" count="1">
    <bk>
      <extLst>
        <ext uri="{bdbb8cdc-fa1e-496e-a857-3c3f30c029c3}">
          <xda:dynamicArrayProperties fDynamic="1" fCollapsed="0"/>
        </ext>
      </extLst>
    </bk>
  </futureMetadata>
  <cellMetadata count="1">
    <bk>
      <rc t="2" v="0"/>
    </bk>
  </cell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<sst xmlns="http://schemas.openxmlformats.org/spreadsheetml/2006/main" count="2264" uniqueCount="1157">
  <si>
    <t>Team 1</t>
  </si>
  <si>
    <t>Next Report: Nov 10th, 23'</t>
  </si>
  <si>
    <t xml:space="preserve">SIC: </t>
  </si>
  <si>
    <t>COMPANY DESCRIPTION</t>
  </si>
  <si>
    <t>CEO &amp; BOARD OF DIRECTORS</t>
  </si>
  <si>
    <t>Compagnie Financiere Richemont SA (Richemont) is a Switzerland-based jewelry company. Founded in 1988 by South African Johann Ruper. The Company's segments include Jewellery Maisons and Specialist Watchmakers. The Jewellery Maisons are engaged in the design, manufacture and distribution of jewelry products, and include Cartier, Van Cleef &amp; Arpels and Giampiero Bodino. Its Specialist Watchmakers segment businesses primary activity includes the design, manufacture and distribution of precision timepieces, and is made up of brands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t>
  </si>
  <si>
    <t>Name</t>
  </si>
  <si>
    <t>Gender</t>
  </si>
  <si>
    <t>Age</t>
  </si>
  <si>
    <t>Tenure (Since)</t>
  </si>
  <si>
    <t>Executive?</t>
  </si>
  <si>
    <t>Other roles</t>
  </si>
  <si>
    <t>Johann Peter Rupert</t>
  </si>
  <si>
    <t>Male</t>
  </si>
  <si>
    <t>N</t>
  </si>
  <si>
    <r>
      <rPr>
        <b/>
        <sz val="9"/>
        <color rgb="FF000000"/>
        <rFont val="Arial"/>
      </rPr>
      <t>(Chairman);</t>
    </r>
    <r>
      <rPr>
        <sz val="9"/>
        <color rgb="FF000000"/>
        <rFont val="Arial"/>
      </rPr>
      <t xml:space="preserve"> Reinet Investments (Chairman)</t>
    </r>
  </si>
  <si>
    <t>Original (CHF)</t>
  </si>
  <si>
    <t>Converted (€)</t>
  </si>
  <si>
    <t>Josua Malherbe</t>
  </si>
  <si>
    <r>
      <rPr>
        <b/>
        <sz val="9"/>
        <color rgb="FF000000"/>
        <rFont val="Arial"/>
      </rPr>
      <t>(Deputy Chairman)</t>
    </r>
    <r>
      <rPr>
        <sz val="9"/>
        <color rgb="FF000000"/>
        <rFont val="Arial"/>
      </rPr>
      <t>; Reinet Investments (Board)</t>
    </r>
  </si>
  <si>
    <t>price</t>
  </si>
  <si>
    <t>Jerome Lambert</t>
  </si>
  <si>
    <t>Y</t>
  </si>
  <si>
    <t>CEO</t>
  </si>
  <si>
    <t>shares outsanding</t>
  </si>
  <si>
    <t>Bukhart Grund</t>
  </si>
  <si>
    <t>CFO</t>
  </si>
  <si>
    <t>market cap</t>
  </si>
  <si>
    <t>Clay Brendish</t>
  </si>
  <si>
    <t>-</t>
  </si>
  <si>
    <t>Nikesh Arora</t>
  </si>
  <si>
    <t xml:space="preserve">Palo Alto Networks (Chairman &amp; CEO) </t>
  </si>
  <si>
    <t>Jean-Blaise Eckert</t>
  </si>
  <si>
    <t>Stellantis (Board)</t>
  </si>
  <si>
    <t>Keyu Jin</t>
  </si>
  <si>
    <t>Female</t>
  </si>
  <si>
    <t>Wendy Luhabe</t>
  </si>
  <si>
    <t>Jeff Moss</t>
  </si>
  <si>
    <t>US Dep. Homeland Security (Cybersecurity)</t>
  </si>
  <si>
    <t>Vesna Nevistic</t>
  </si>
  <si>
    <t>Atlantic Grupa Inc (Board)</t>
  </si>
  <si>
    <t>Guillaume Pictec</t>
  </si>
  <si>
    <t>Sécheron (Board)</t>
  </si>
  <si>
    <t>Maria Ramos</t>
  </si>
  <si>
    <t>AngloGold Ashanti (Chairwoman)</t>
  </si>
  <si>
    <t>Anton Rupert</t>
  </si>
  <si>
    <t>Remgro (Board)</t>
  </si>
  <si>
    <t>Patrick Thomas</t>
  </si>
  <si>
    <t>Teleperformance (Board)</t>
  </si>
  <si>
    <t>Jasmine Whitbread</t>
  </si>
  <si>
    <t>Travis Perkins (Chairwoman)</t>
  </si>
  <si>
    <t>Bram Schot</t>
  </si>
  <si>
    <t>Shell Inc, Cognizant (Board)</t>
  </si>
  <si>
    <t>EUR MILLIONS</t>
  </si>
  <si>
    <t>Fiona Druckenmiller</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</si>
  <si>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</si>
  <si>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</si>
  <si>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</si>
  <si>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</si>
  <si>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</si>
  <si>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</si>
  <si>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</si>
  <si>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</si>
  <si>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</si>
  <si>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</si>
  <si>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</si>
  <si>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</si>
  <si>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</si>
  <si>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</si>
  <si>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</si>
  <si>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31 March</t>
  </si>
  <si>
    <t>Insiders Own</t>
  </si>
  <si>
    <t>Market Cap.</t>
  </si>
  <si>
    <t>Cash/Share</t>
  </si>
  <si>
    <t>EBITDA</t>
  </si>
  <si>
    <t>b (Yahoo)</t>
  </si>
  <si>
    <t>+Total Debt</t>
  </si>
  <si>
    <t>EBITDA/Net Financial Cost (NFC)</t>
  </si>
  <si>
    <t>Depreciation &amp; Amortization</t>
  </si>
  <si>
    <t>Score (S&amp;P)</t>
  </si>
  <si>
    <t>g</t>
  </si>
  <si>
    <t>-Cash</t>
  </si>
  <si>
    <t>Debt/EBITDA</t>
  </si>
  <si>
    <t>EBIT</t>
  </si>
  <si>
    <t>Price/Book Value</t>
  </si>
  <si>
    <t>=Enterprise Value</t>
  </si>
  <si>
    <t>"Others Assets"/Asset</t>
  </si>
  <si>
    <t>Net Income</t>
  </si>
  <si>
    <t>NCF(3y avg)/Asset</t>
  </si>
  <si>
    <t>Holdings (nac/int'l)</t>
  </si>
  <si>
    <t>Debt/Assets</t>
  </si>
  <si>
    <t>EPS</t>
  </si>
  <si>
    <t>Price/Net Inc. (3y avg)</t>
  </si>
  <si>
    <t>t liq. (Holdings/Vol.)</t>
  </si>
  <si>
    <t>EBITDA Margin (average)</t>
  </si>
  <si>
    <t>ROA</t>
  </si>
  <si>
    <t>EV/Asset</t>
  </si>
  <si>
    <t>% Short</t>
  </si>
  <si>
    <t>N/A</t>
  </si>
  <si>
    <t>Operating Margin (average)</t>
  </si>
  <si>
    <t>ROIC</t>
  </si>
  <si>
    <t>EV/Ebitda (3y average)</t>
  </si>
  <si>
    <t>Net Income Margin (average)</t>
  </si>
  <si>
    <t>EBITDA (3y average)</t>
  </si>
  <si>
    <t>Price/NCF (3y average)</t>
  </si>
  <si>
    <t>Traffic ESG</t>
  </si>
  <si>
    <t>Categories</t>
  </si>
  <si>
    <t>Net Income (3y average)</t>
  </si>
  <si>
    <t>Bonds 1,3,5a (USD)</t>
  </si>
  <si>
    <t>E</t>
  </si>
  <si>
    <t>Net Financial Cost/Avg Net Debt</t>
  </si>
  <si>
    <t>NCF (3y average)</t>
  </si>
  <si>
    <t>Div+Rep.(3y avg)/Price</t>
  </si>
  <si>
    <t>S</t>
  </si>
  <si>
    <t>Div. Yield</t>
  </si>
  <si>
    <t>G</t>
  </si>
  <si>
    <t>INVESTMENT THESIS</t>
  </si>
  <si>
    <t>Pillars of Recommendation</t>
  </si>
  <si>
    <t>Recommendation</t>
  </si>
  <si>
    <t>Pillar</t>
  </si>
  <si>
    <t>Explanation</t>
  </si>
  <si>
    <t>HOLD</t>
  </si>
  <si>
    <t>ESG scores</t>
  </si>
  <si>
    <t>Better than peers in every social aspect and green flags in all sectors of ESG.</t>
  </si>
  <si>
    <t>Brands recognition</t>
  </si>
  <si>
    <t>All 27 brands of the aglomerate are big and have great reputation in their specific market.</t>
  </si>
  <si>
    <t>Strong segements</t>
  </si>
  <si>
    <t>The two major segemnts- jewelry and watches- are growing at a considerable pace and are well positioned in the market. Both were able to recover from the Covid downfall in the following year.</t>
  </si>
  <si>
    <t>Risks of Investment</t>
  </si>
  <si>
    <t>Price Target</t>
  </si>
  <si>
    <t>Valuation</t>
  </si>
  <si>
    <t>Risk</t>
  </si>
  <si>
    <t>Discount Rate</t>
  </si>
  <si>
    <t>Upside</t>
  </si>
  <si>
    <t>Current price</t>
  </si>
  <si>
    <t>Target price</t>
  </si>
  <si>
    <t>Debt levels</t>
  </si>
  <si>
    <t>Debt levels have been increasing since 2018 (reaching almot 40% in debt to assets in 2023).</t>
  </si>
  <si>
    <t>Conflict of interest</t>
  </si>
  <si>
    <t>The chariman Johann Rupert is also the sole director of the Swiss fund that owns 41% of the voting rights of the board.</t>
  </si>
  <si>
    <t xml:space="preserve">Secondary market expansion </t>
  </si>
  <si>
    <t>Increase of the influence of the pre-owned secondary market, especially in watches is a clear threat to the sales of the company.</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</si>
  <si>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</si>
  <si>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</si>
  <si>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</si>
  <si>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</si>
  <si>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</si>
  <si>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</si>
  <si>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</si>
  <si>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</si>
  <si>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</si>
  <si>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</si>
  <si>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</si>
  <si>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</si>
  <si>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</si>
  <si>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</si>
  <si>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</si>
  <si>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</si>
  <si>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</si>
  <si>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</si>
  <si>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</si>
  <si>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</si>
  <si>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</si>
  <si>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</si>
  <si>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</si>
  <si>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</si>
  <si>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</si>
  <si>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</si>
  <si>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</si>
  <si>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</si>
  <si>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</si>
  <si>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t>SHARES available</t>
  </si>
  <si>
    <t>shares</t>
  </si>
  <si>
    <t>par value</t>
  </si>
  <si>
    <t>% of equity</t>
  </si>
  <si>
    <t>voting rights</t>
  </si>
  <si>
    <t>holders</t>
  </si>
  <si>
    <r>
      <rPr>
        <b/>
        <sz val="10"/>
        <color rgb="FF000000"/>
        <rFont val="Arial"/>
      </rPr>
      <t>Strong Array of Brands</t>
    </r>
    <r>
      <rPr>
        <sz val="10"/>
        <color rgb="FF000000"/>
        <rFont val="Arial"/>
      </rPr>
      <t xml:space="preserve"> - Currently, Richemont is the owner of 27 strongly recognizable brands in a few sectors of the luxury market. In the jewellery sector, Richemont's Cartier is one of the 2 largest companies by market share. In the Watches department, Swiss brands Piaget, Baume &amp; Mercier, A.Lange &amp; Sohne, have been among the most sought after watches for almost 200 years. This gives other companies associated with Richemont credibility.
</t>
    </r>
  </si>
  <si>
    <r>
      <rPr>
        <b/>
        <sz val="10"/>
        <color rgb="FF000000"/>
        <rFont val="Arial"/>
      </rPr>
      <t xml:space="preserve">Large Reliance on 2 markets - </t>
    </r>
    <r>
      <rPr>
        <sz val="10"/>
        <color rgb="FF000000"/>
        <rFont val="Arial"/>
      </rPr>
      <t xml:space="preserve">Richemont's large presence 2 countries, Mainland China and USA, make up for around 45% of all group sales. This depency has shown to be problematic, as was the case with china's closure due to covid in 2022. 
</t>
    </r>
    <r>
      <rPr>
        <b/>
        <sz val="10"/>
        <color rgb="FF000000"/>
        <rFont val="Arial"/>
      </rPr>
      <t>*Destruction of Inventory (Damage to Reputation)</t>
    </r>
    <r>
      <rPr>
        <sz val="10"/>
        <color rgb="FF000000"/>
        <rFont val="Arial"/>
      </rPr>
      <t xml:space="preserve"> - In 2018, Richemont received considerable backlash after it announced in it's report that the company had disassembled and destroyed more than 500m of unsold inventory from brands Cartier, IWF, Montblanc and Piaget. The company proceded to remove this info from it's website, but it was seen as a way to hide the problem, given that the practice has been recurring in the Personal Luxury Goods Market, and widely criticized.</t>
    </r>
  </si>
  <si>
    <t>Compagnie Financiere Rupert</t>
  </si>
  <si>
    <t>Ownership: 10%
Voting Rights: 51%</t>
  </si>
  <si>
    <t>A shares</t>
  </si>
  <si>
    <t>listed in SIX</t>
  </si>
  <si>
    <t>B shares</t>
  </si>
  <si>
    <t>not listed</t>
  </si>
  <si>
    <t>ownership</t>
  </si>
  <si>
    <t>control (voting rights)</t>
  </si>
  <si>
    <r>
      <rPr>
        <sz val="10"/>
        <color rgb="FF000000"/>
        <rFont val="Arial"/>
      </rPr>
      <t xml:space="preserve">Swiss fund, with the sole General Managing partner </t>
    </r>
    <r>
      <rPr>
        <b/>
        <sz val="10"/>
        <color rgb="FF000000"/>
        <rFont val="Arial"/>
      </rPr>
      <t>Johann Rupert</t>
    </r>
  </si>
  <si>
    <t>Opportunities</t>
  </si>
  <si>
    <t>Risks</t>
  </si>
  <si>
    <r>
      <rPr>
        <b/>
        <sz val="10"/>
        <color rgb="FF000000"/>
        <rFont val="Arial"/>
        <family val="2"/>
      </rPr>
      <t xml:space="preserve">Boom of "Investment Watches" </t>
    </r>
    <r>
      <rPr>
        <sz val="10"/>
        <color rgb="FF000000"/>
        <rFont val="Arial"/>
        <family val="2"/>
      </rPr>
      <t xml:space="preserve">- As watches have become a popular way of investing money, the market for second hand watches had a strong surge. According to statista, in the 2017-2022 period, the second hand watch market grew 206%, and is expected to grow by 100% until 2027. This is a great opportunity for Richemont's Watchfinder &amp; Co., a pre owned watches sellers. </t>
    </r>
  </si>
  <si>
    <r>
      <rPr>
        <b/>
        <sz val="10"/>
        <color rgb="FF000000"/>
        <rFont val="Arial"/>
      </rPr>
      <t>Widely Available Cheaper Options</t>
    </r>
    <r>
      <rPr>
        <sz val="10"/>
        <color rgb="FF000000"/>
        <rFont val="Arial"/>
      </rPr>
      <t xml:space="preserve"> - Jewelry and Watches companies have faced a growing threat from cheap, or even counterfait copies, coming from cheap manufacturing hubs (China, Vietnam, Malaysia). This could be even more problematic consumers have facilitated access these sellers online.
</t>
    </r>
    <r>
      <rPr>
        <b/>
        <sz val="10"/>
        <color rgb="FF000000"/>
        <rFont val="Arial"/>
      </rPr>
      <t xml:space="preserve">
Growing Cash and Debt </t>
    </r>
    <r>
      <rPr>
        <sz val="10"/>
        <color rgb="FF000000"/>
        <rFont val="Arial"/>
      </rPr>
      <t>- Richemont has experienced significant growth in both it's cash and Debt Positions, and although the group has negative net debt, no repayment or significant investment has been made, as the company is currently in the process of selling bussinesses, as is the case with YNAP.</t>
    </r>
  </si>
  <si>
    <t>STOCK PERFORMANCE (5 years)</t>
  </si>
  <si>
    <r>
      <rPr>
        <sz val="10"/>
        <color rgb="FF000000"/>
        <rFont val="Arial"/>
      </rPr>
      <t xml:space="preserve">- </t>
    </r>
    <r>
      <rPr>
        <b/>
        <sz val="10"/>
        <color rgb="FF000000"/>
        <rFont val="Arial"/>
      </rPr>
      <t>Acquisition of YNAP</t>
    </r>
    <r>
      <rPr>
        <sz val="10"/>
        <color rgb="FF000000"/>
        <rFont val="Arial"/>
      </rPr>
      <t xml:space="preserve"> - In October, 23th, an European Commision provided the finalapproval needed for the acquisition of a 47,5% stake in Richemont's online retailer Yoox NET-A-PORTER by farfetch. The deal, announced in August of this year, terms the acquisition of 47,5% of YNAP for 50 million of Farfetch shares, listed on NYSE, plus options.
- </t>
    </r>
    <r>
      <rPr>
        <b/>
        <sz val="10"/>
        <color rgb="FF000000"/>
        <rFont val="Arial"/>
      </rPr>
      <t>2 types of shares</t>
    </r>
    <r>
      <rPr>
        <sz val="10"/>
        <color rgb="FF000000"/>
        <rFont val="Arial"/>
      </rPr>
      <t xml:space="preserve"> -  Richemont has 2 types of shares. A shares, which are 522.000.000 listed in the SIX stock exchange, and B shares, which prices are a 10th of A shares, but presents parallel voting rights. B shares are exclusively owned by Compagnie Financière Rupert, 
-No other holders possesses more than 3% of ownership in company</t>
    </r>
  </si>
  <si>
    <t>Exchange Rate</t>
  </si>
  <si>
    <t>Products</t>
  </si>
  <si>
    <t>Nominal value</t>
  </si>
  <si>
    <t>YoY Growth</t>
  </si>
  <si>
    <t>Weight</t>
  </si>
  <si>
    <t>Region</t>
  </si>
  <si>
    <t>Greater China</t>
  </si>
  <si>
    <t>Americas (majorly USA)</t>
  </si>
  <si>
    <t>Rest of Europe</t>
  </si>
  <si>
    <t>Rest of Asia-Pacific</t>
  </si>
  <si>
    <t>Japan</t>
  </si>
  <si>
    <t>Middle East and Africa</t>
  </si>
  <si>
    <t>South Korea</t>
  </si>
  <si>
    <t>France</t>
  </si>
  <si>
    <t>Switzerland</t>
  </si>
  <si>
    <t>TOTAL</t>
  </si>
  <si>
    <t>Category</t>
  </si>
  <si>
    <t>Jewellery Maisons</t>
  </si>
  <si>
    <t xml:space="preserve"> </t>
  </si>
  <si>
    <t>Specialist Watchmakers</t>
  </si>
  <si>
    <t>Others</t>
  </si>
  <si>
    <t>Online Distributors</t>
  </si>
  <si>
    <t>--</t>
  </si>
  <si>
    <t>Description</t>
  </si>
  <si>
    <t>Graphs</t>
  </si>
  <si>
    <t>Composed by 3 main brands: Cartier, Buccellati, and Van Cleef &amp; Arpels. Brands that focus on jewellery despite other less significant product segments. Responsible for the design, manufacture and distribution of jewellery.</t>
  </si>
  <si>
    <t xml:space="preserve">With a total of 8 brands at the moment, the Specialist Watchmakers segment makes the design, manufacture, and distribution of luxury wristwatches. </t>
  </si>
  <si>
    <t>Luxury fashion and accessories, namely Clothes, Bags and other leather accessories, with brands such as Montblanc and Chloé</t>
  </si>
  <si>
    <t>Industry</t>
  </si>
  <si>
    <t>Graphs (Industry Forecasts)</t>
  </si>
  <si>
    <t>Drivers</t>
  </si>
  <si>
    <t>Customer-to-brand interaction</t>
  </si>
  <si>
    <t>According to McKinsey's report, direct-to-consumer channels will be a growing strategy to take control of the customer relationship and increase margin, as opposed to the multi-brand retailers. It is mentioned in Richemont's last report: "directly-operated stores continued to outperform the other distribution channels"</t>
  </si>
  <si>
    <t>Asian market</t>
  </si>
  <si>
    <t>Asia is expected to be the fastest growing region in both watches and branded jewellery, plus China's rebound after the series of COVID lockdowns and resumption of Chinese travel</t>
  </si>
  <si>
    <t>Digital secondary market</t>
  </si>
  <si>
    <t>Within watches and jewellery, the segment set to be the fastest grower is the pre-owned watch market, with a significant increase in digital secondary marketplaces</t>
  </si>
  <si>
    <t>Sales forecast</t>
  </si>
  <si>
    <t>Link</t>
  </si>
  <si>
    <t>Source</t>
  </si>
  <si>
    <t>Market Growth CAGR</t>
  </si>
  <si>
    <t>Period</t>
  </si>
  <si>
    <t>https://www.statista.com/outlook/cmo/accessories/watches-jewelry/worldwide</t>
  </si>
  <si>
    <t>Statista</t>
  </si>
  <si>
    <t>2023 - 2026</t>
  </si>
  <si>
    <t>https://www.mckinsey.com/industries/retail/our-insights/state-of-fashion-watches-and-jewellery</t>
  </si>
  <si>
    <t>McKinsey &amp; Company (Jewellery)</t>
  </si>
  <si>
    <t>2021 - 2025</t>
  </si>
  <si>
    <t>https://www.grandviewresearch.com/industry-analysis/jewelry-market</t>
  </si>
  <si>
    <t>Grand View Research (Jewellery)</t>
  </si>
  <si>
    <t>2023 - 2030</t>
  </si>
  <si>
    <t>McKinsey &amp; Company (Watches)</t>
  </si>
  <si>
    <t>https://www.mordorintelligence.com/industry-reports/watch-market</t>
  </si>
  <si>
    <t>Mordor Intelligence (Watches)</t>
  </si>
  <si>
    <t>2023 - 2028</t>
  </si>
  <si>
    <t>https://www.statista.com/outlook/cmo/luxury-goods/luxury-fashion/worldwide</t>
  </si>
  <si>
    <t>Statista (Fashion)</t>
  </si>
  <si>
    <t>https://www.statista.com/outlook/cmo/luxury-goods/luxury-leather-goods/worldwide#:~:text=The%20Luxury%20Leather%20Goods%20segment%20worldwide%20is%20projected,in%20a%20market%20volume%20of%20US%2492.36bn%20in%202028.</t>
  </si>
  <si>
    <t>Statista (Leather Goods)</t>
  </si>
  <si>
    <t>Average</t>
  </si>
  <si>
    <t>Company's Strategy / Extra Notes</t>
  </si>
  <si>
    <t>- Support functions: Richemont provides support to their Maisons so that they can focus on design creation, sales, marketing, and growing brand equity
- Acquisitions: Richemont had a long period of no significant acquisitions since Van Cleef &amp; Arpels (1999) and A. Lange &amp; Söhne (2000). But in the last few years, Richemont had a series of relevant acquisitions: 
YNAP (2018), Buccellati (2019), Delvaux (2021), and Gianvito Rossi (July 2023)</t>
  </si>
  <si>
    <t>Invertir</t>
  </si>
  <si>
    <t>NO invertir</t>
  </si>
  <si>
    <t>Mantener sin elevar posición</t>
  </si>
  <si>
    <t>Mantener (y seguir comprando)</t>
  </si>
  <si>
    <t>Liquidar</t>
  </si>
  <si>
    <t>PENDIENTE</t>
  </si>
  <si>
    <t>Peer Logo</t>
  </si>
  <si>
    <t>Peer Name</t>
  </si>
  <si>
    <t xml:space="preserve">LVMH Moet Hennessy Louis Vuitton SE is a France-based luxury group that owns 75 brand, active in six sectors: Wines and Spirits (Moet &amp; Chandon and Krug), Fashion and Leather Goods (Luis Vuitton, Christian Dior and Givenchy), Perfumes and Cosmetics (Benefit Cosmetics, Fresh and Make Up For Ever), Watches and Jewelry (TAG Heuer, Hublo and Zenith), Selective Retailing (Miami Cruiseline, Sephora) and Other Activities. </t>
  </si>
  <si>
    <t>Kering SA is a France-based luxury group, globally active, that manages the development of a series of renowned Houses in Fashion, Leather Goods and Jewelry: Gucci, Saint Laurent, Bottega Veneta, Balenciaga, Alexander McQueen, Brioni, Boucheron, Pomellato, DoDo, Qeelin, as well as Kering Eyewear.  Products sold include leather goods, apparel, accessories, footwear, jewelry among others, for man, woman and child. The Group is active globally.</t>
  </si>
  <si>
    <t xml:space="preserve">Hermes International SCA is a France-based company, represented across multiple locations worldwide specialized in the design, manufacturing, and marketing of luxury products. It's active segments include Leather Goods and Saddler, Ready-to-wear and Accessories, Other Hermes, which encompasses jewellery and hermes home products, Other product segment, which includes the production activities carried out on behalf of non-group brands Silk and Textiles; Perfumes, and Watches. </t>
  </si>
  <si>
    <t xml:space="preserve">The Swatch Group SA is a Switzerland-based holding company, represented worldwide by subsidiaries. They have two core segements, Watches and Jewelry, as well as Electronic Systems. The group owns 17 brands including Harry Winston, Blancpain, Omega, Longines, Union Glashuette, Tissot, Calvin Klein watches and jewelry, and Swatch. The Electronic Systems segment includes the production of electronic components, that are also supplied to third-party watchmakers. </t>
  </si>
  <si>
    <t>In Millions EUR (exc Market Cap)</t>
  </si>
  <si>
    <t>AVERAGE</t>
  </si>
  <si>
    <t>Deviation from Average</t>
  </si>
  <si>
    <t>Company Info</t>
  </si>
  <si>
    <t>TRAFFIC</t>
  </si>
  <si>
    <t>Market Cap</t>
  </si>
  <si>
    <t>Best Value</t>
  </si>
  <si>
    <t>Net Sales (current)</t>
  </si>
  <si>
    <t>Profitability</t>
  </si>
  <si>
    <t>Middle Ground</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</si>
  <si>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</si>
  <si>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</si>
  <si>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</si>
  <si>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</si>
  <si>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</si>
  <si>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</si>
  <si>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</si>
  <si>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</si>
  <si>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</si>
  <si>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</si>
  <si>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</si>
  <si>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</si>
  <si>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</si>
  <si>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</si>
  <si>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</si>
  <si>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</si>
  <si>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</si>
  <si>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</si>
  <si>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</si>
  <si>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</si>
  <si>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</si>
  <si>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</si>
  <si>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</si>
  <si>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</si>
  <si>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</si>
  <si>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</si>
  <si>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</si>
  <si>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</si>
  <si>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</si>
  <si>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</si>
  <si>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</si>
  <si>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</si>
  <si>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</si>
  <si>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</si>
  <si>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</si>
  <si>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</si>
  <si>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European Central Bank (30/12/2022)</t>
  </si>
  <si>
    <t>IS</t>
  </si>
  <si>
    <t>CHF/EUR</t>
  </si>
  <si>
    <t>Net Sales (36m ago)</t>
  </si>
  <si>
    <t>USD/EUR</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</si>
  <si>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</si>
  <si>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</si>
  <si>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</si>
  <si>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</si>
  <si>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</si>
  <si>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</si>
  <si>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</si>
  <si>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</si>
  <si>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</si>
  <si>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</si>
  <si>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</si>
  <si>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</si>
  <si>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</si>
  <si>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</si>
  <si>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</si>
  <si>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</si>
  <si>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Company GICS Sector:</t>
  </si>
  <si>
    <t>Yes</t>
  </si>
  <si>
    <t>Consumer Discretionary</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</si>
  <si>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</si>
  <si>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</si>
  <si>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</si>
  <si>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</si>
  <si>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</si>
  <si>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</si>
  <si>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</si>
  <si>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</si>
  <si>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</si>
  <si>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</si>
  <si>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</si>
  <si>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</si>
  <si>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</si>
  <si>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</si>
  <si>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</si>
  <si>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</si>
  <si>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Medium</t>
  </si>
  <si>
    <t>"Best in class"</t>
  </si>
  <si>
    <t xml:space="preserve">By 2030, reduce absolute Scope 1 and 2 GHG emissions by 46%, and reduce scope 3 GHG emissions from purchased goods and services and business travel by 55% per dollar value added </t>
  </si>
  <si>
    <t>Since 2009, the Group purchased carbon effects to neutralise their measured footprint for buildings, business travel and logistics</t>
  </si>
  <si>
    <t>CO2 Emissions/$M Sales</t>
  </si>
  <si>
    <t>Total Water Consumption</t>
  </si>
  <si>
    <t>Medium High</t>
  </si>
  <si>
    <t xml:space="preserve">Total Water Use /Revenues (million $) has been decreasing in the past 3 years. The company does not report total water consumption, only the total water consumption/sales </t>
  </si>
  <si>
    <t>Water Consumption/$M Sales</t>
  </si>
  <si>
    <t>Total Energy Consumption</t>
  </si>
  <si>
    <t>100% renewable electricity by 2025</t>
  </si>
  <si>
    <t>97% of renewable eletricity in 2022</t>
  </si>
  <si>
    <t>Energy Consumption/$M Sales</t>
  </si>
  <si>
    <t>Waste Management</t>
  </si>
  <si>
    <t>9% increase in waste comparing to the previous year, however the Group raised the amount of waste recycled (+18%) and composted (+30%) collaborating with local service</t>
  </si>
  <si>
    <t>Waste Production/$M Sales</t>
  </si>
  <si>
    <t>Land Degradation/Deforestation/Biodiversity loss/Animal sufering/…</t>
  </si>
  <si>
    <t>High</t>
  </si>
  <si>
    <t>For tier 3 suppliers (tanneries), the goal is to have almost 100% of bovine leather sourced in Europe</t>
  </si>
  <si>
    <t>Neither Richemont nor its Maisons test their products on animals; regarding leather sourcing, richemont is working with suppliers with more responsible farming and animal welfare practices. Waste sent to landfill decreased 61% in 2022</t>
  </si>
  <si>
    <t>Inputs</t>
  </si>
  <si>
    <t>Social</t>
  </si>
  <si>
    <t>Net Sales ($M)</t>
  </si>
  <si>
    <t>Employee Turnover %</t>
  </si>
  <si>
    <t>Average CFR last 5y = 12.42%; industry average 5Y (without hermes and swatch) = 19.2%; Average 2Y CFR = 13%; peers average 2Y = 17%   It was named one of the Most Attractive Employers in Universum's national rankings for Switzerland, France and China, and recognised as one of the Best Places to Work by Forbes.</t>
  </si>
  <si>
    <t>CO2 Emissions Total (Tonnes)</t>
  </si>
  <si>
    <t>Salaries &amp; Compensation</t>
  </si>
  <si>
    <t>Didn't find any information</t>
  </si>
  <si>
    <t>Water Consumption Total (Cubic Meters)</t>
  </si>
  <si>
    <t>Reputation</t>
  </si>
  <si>
    <t>There are no records of any recent reputation problem with the Group</t>
  </si>
  <si>
    <t>Energy Consumption Total (Gigajoules)</t>
  </si>
  <si>
    <t>Discrimination Events</t>
  </si>
  <si>
    <t>Richemont founded Laureus Sport for Good with the mission to end violence, discrimination and disadvantage, using sport to create positive social change. Laureus supports more than 275 programmes in over 50 regions around the world.</t>
  </si>
  <si>
    <t>Waste Production Total (Tonnes)</t>
  </si>
  <si>
    <t>Work Safety</t>
  </si>
  <si>
    <t>WeCare Initiative, including an emotional support hotline available 24/7 via third-party providers to preserve confidentiality. They want to implement flexible and personalized benefits programmes to their employess - workers can add or remove  some benefits, or use credits towards wellness programmes.</t>
  </si>
  <si>
    <t>ESG Scores</t>
  </si>
  <si>
    <t>Damage to consumer health</t>
  </si>
  <si>
    <t>No damage to consumer health</t>
  </si>
  <si>
    <t>Refinitiv</t>
  </si>
  <si>
    <t>A- (76)</t>
  </si>
  <si>
    <t>A- (77)</t>
  </si>
  <si>
    <t>A (79)</t>
  </si>
  <si>
    <t>B (62)</t>
  </si>
  <si>
    <t>B (64)</t>
  </si>
  <si>
    <t>PXP?</t>
  </si>
  <si>
    <t xml:space="preserve">Each executive and employee has a retirement account to which the executive and the Group make contributions at rates set out in the foundation rules based on a percentage of salary. </t>
  </si>
  <si>
    <t>Sustainalytics</t>
  </si>
  <si>
    <t>11.3 (low)</t>
  </si>
  <si>
    <t>12 (low)</t>
  </si>
  <si>
    <t>10.6 (low)</t>
  </si>
  <si>
    <t>9.4 (negligible)</t>
  </si>
  <si>
    <t>18.1 (low)</t>
  </si>
  <si>
    <t>Supply chain</t>
  </si>
  <si>
    <t xml:space="preserve">The Group have a 'Supplier Code of Conduct': The Group expect for their suppliers to comply with the principles stipulated in the Code of Conduct, including Conventions of the Internation Labour Organization (ILO), Universal Declaration of Human Rights (UDHR), United Nations Global Compact (UNGC), and Development (OECD) Guidelines for Multinational Enterprises. The Group applies guidelines such as OECD Due Diligence Guidance for Responsible Supply Chains of Minerals from Conflict-Affected and High-Risk Areas - Supplement on Gold; and requires for the suppliers to comply with the Responsible Jewellry Council's Code of Practices (RJC CoP) - is a vital standard for the jewelry supply chain, addressing many issues like business ethics, human rights and social and environmental performance. </t>
  </si>
  <si>
    <t>ISS</t>
  </si>
  <si>
    <t>C</t>
  </si>
  <si>
    <t>C+</t>
  </si>
  <si>
    <t>B</t>
  </si>
  <si>
    <t>C-</t>
  </si>
  <si>
    <t>Community involvement</t>
  </si>
  <si>
    <t>high</t>
  </si>
  <si>
    <t>The group works together with local communities where they operate. They support art projects, volunteer work, and organizations promoting sportsmanship, environment and peace building. The employees contribute to projects all around the world in different areas such as human rights and environment protection.</t>
  </si>
  <si>
    <t>CDP</t>
  </si>
  <si>
    <t>A-</t>
  </si>
  <si>
    <t>A</t>
  </si>
  <si>
    <t>F</t>
  </si>
  <si>
    <t>climate change 2022</t>
  </si>
  <si>
    <t>Public Sector</t>
  </si>
  <si>
    <t>Litigation</t>
  </si>
  <si>
    <t>Cartier and Richemont International, filed an action against Louis Vuitton for "free riding" claiming that their "Blossom" line reproduced all the distinctive features of their "Alhambra" design. The court emphasized structural differences between collections and and the judges found insufficient evidence to prove LV's intention to free-ride - they orderered Cartier and Richemont international to pay €50 000 in legal costs to LV</t>
  </si>
  <si>
    <t>Corporate Governance</t>
  </si>
  <si>
    <t>PARAMETERS</t>
  </si>
  <si>
    <t>Diversity (Gender, Age, Industry, Region)</t>
  </si>
  <si>
    <t>Board: 6 Females and 12 Males - 33.33% of the board members are women. With 10 different nationalities, the average age of the board is 61 years old.</t>
  </si>
  <si>
    <t>IMPACT</t>
  </si>
  <si>
    <t>RANKING</t>
  </si>
  <si>
    <t>MITIGATION PLAN</t>
  </si>
  <si>
    <t>% Independence</t>
  </si>
  <si>
    <t>All of non-executives directors are independent except for Mr. Anton Rupert (partner of Compagnie Financière Rupert), and Mr. Johann is the sole general managing partner and holds 51% of voting rights</t>
  </si>
  <si>
    <t>Low</t>
  </si>
  <si>
    <t>Is there evidence of a plan/program ?</t>
  </si>
  <si>
    <t>average time as independent directors</t>
  </si>
  <si>
    <t>Average 5-6 years</t>
  </si>
  <si>
    <t>Recent departures of directors / C-level executives?</t>
  </si>
  <si>
    <t>Mr. Ruggero Magnoni and Mr. Jan Rupert (they have indicated that they will not seek re-election at the 2022 AGM)</t>
  </si>
  <si>
    <t>CEO/Chairman duality</t>
  </si>
  <si>
    <t>The CEO and the chairman are not the same person - same chairman since 2002 (except for a sabbatical year in 2013)</t>
  </si>
  <si>
    <t>Very high</t>
  </si>
  <si>
    <t>"Villain"</t>
  </si>
  <si>
    <t>Transparency (ESG, segments, acquisitions, other)</t>
  </si>
  <si>
    <t>ESG-related information was available and easy to find</t>
  </si>
  <si>
    <t>Time taken to report after the end of the quarter / year</t>
  </si>
  <si>
    <t>Fiscal year: 31/03/2022. Available: 02/06/2022</t>
  </si>
  <si>
    <t>Additional participation of the CEO in other boards or excessive participation of Ch.</t>
  </si>
  <si>
    <t>The chairman is also the chairman of the Nominations Committee. Both members of the Senior Executive Committee.</t>
  </si>
  <si>
    <t>Audit / Consulting</t>
  </si>
  <si>
    <t>PriceWaterhouseCoopers SA (independent auditor) - total fees for the audit of the financial statements of the company, the Group and its subsidiaries: €10.2 million. Non-audit services fees amounted to €1 million.</t>
  </si>
  <si>
    <t>ESG-compensation related</t>
  </si>
  <si>
    <t>Didn't find any</t>
  </si>
  <si>
    <t>Management compensation schemes</t>
  </si>
  <si>
    <t xml:space="preserve">The objective of the Group’s compensation policy is to favour variable (short- and long-term incentives) over fixed compensation. </t>
  </si>
  <si>
    <t>VALUATION MODEL</t>
  </si>
  <si>
    <t>Short Term</t>
  </si>
  <si>
    <t>Long Term</t>
  </si>
  <si>
    <t>Section</t>
  </si>
  <si>
    <t>Line #</t>
  </si>
  <si>
    <t>ITEM</t>
  </si>
  <si>
    <t>2021 (Real)</t>
  </si>
  <si>
    <t>2022 (Real)</t>
  </si>
  <si>
    <t>2023 (Real)</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</si>
  <si>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</si>
  <si>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</si>
  <si>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</si>
  <si>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</si>
  <si>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</si>
  <si>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</si>
  <si>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</si>
  <si>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</si>
  <si>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</si>
  <si>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</si>
  <si>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</si>
  <si>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</si>
  <si>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</si>
  <si>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</si>
  <si>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</si>
  <si>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</si>
  <si>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</si>
  <si>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</si>
  <si>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</si>
  <si>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</si>
  <si>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</si>
  <si>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</si>
  <si>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</si>
  <si>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</si>
  <si>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</si>
  <si>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</si>
  <si>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</si>
  <si>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</si>
  <si>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</si>
  <si>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</si>
  <si>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</si>
  <si>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</si>
  <si>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</si>
  <si>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</si>
  <si>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</si>
  <si>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</si>
  <si>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</si>
  <si>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</si>
  <si>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</si>
  <si>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</si>
  <si>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</si>
  <si>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</si>
  <si>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</si>
  <si>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</si>
  <si>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</si>
  <si>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</si>
  <si>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</si>
  <si>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</si>
  <si>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</si>
  <si>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</si>
  <si>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</si>
  <si>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</si>
  <si>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</si>
  <si>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</si>
  <si>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 millions</t>
  </si>
  <si>
    <t>Depreciation factor</t>
  </si>
  <si>
    <t>% PPE</t>
  </si>
  <si>
    <t>Value of flows</t>
  </si>
  <si>
    <t>Amortization factor</t>
  </si>
  <si>
    <t>% IA</t>
  </si>
  <si>
    <t>Value of perpetuity</t>
  </si>
  <si>
    <t>Stock-based comp</t>
  </si>
  <si>
    <t>% revenue</t>
  </si>
  <si>
    <t>Total Value</t>
  </si>
  <si>
    <t>Effective Tax Rate</t>
  </si>
  <si>
    <t>% (line 9)</t>
  </si>
  <si>
    <t>Actual share price</t>
  </si>
  <si>
    <t>Interest Rate on debt</t>
  </si>
  <si>
    <t>% debt (l29)</t>
  </si>
  <si>
    <t>Total value vs Mkt Cap</t>
  </si>
  <si>
    <t>Interest Rate on cash</t>
  </si>
  <si>
    <t>% of cash (l28)</t>
  </si>
  <si>
    <t>Estimated NPV per share</t>
  </si>
  <si>
    <t>Working capital flows</t>
  </si>
  <si>
    <t xml:space="preserve">% revenue change </t>
  </si>
  <si>
    <t>Acquisition factor</t>
  </si>
  <si>
    <t>% revenue (l2)</t>
  </si>
  <si>
    <t>% net income (11)</t>
  </si>
  <si>
    <t>%revenue</t>
  </si>
  <si>
    <t>Sensibility</t>
  </si>
  <si>
    <t>Sensitivity +0.1%</t>
  </si>
  <si>
    <t>Sensitivity +0.5%</t>
  </si>
  <si>
    <t>Notes</t>
  </si>
  <si>
    <t>Assumptions</t>
  </si>
  <si>
    <t>Prospects:</t>
  </si>
  <si>
    <t>Links:</t>
  </si>
  <si>
    <t xml:space="preserve">Average </t>
  </si>
  <si>
    <t>Short Term Forecast</t>
  </si>
  <si>
    <t>Long Term Forecast</t>
  </si>
  <si>
    <t>Revenue growth</t>
  </si>
  <si>
    <t>Gross Margin</t>
  </si>
  <si>
    <t>Modelling Factors</t>
  </si>
  <si>
    <t>Last 10 Years</t>
  </si>
  <si>
    <t>Reference</t>
  </si>
  <si>
    <t>PP&amp;E</t>
  </si>
  <si>
    <t>Revenue</t>
  </si>
  <si>
    <t>*statutory tax for Swiss based companies is 14%</t>
  </si>
  <si>
    <t>% of total debt</t>
  </si>
  <si>
    <t>revenue change</t>
  </si>
  <si>
    <t>revenue</t>
  </si>
  <si>
    <t>net income</t>
  </si>
  <si>
    <t>Data</t>
  </si>
  <si>
    <t>Depreciation</t>
  </si>
  <si>
    <t>PP&amp;E gross</t>
  </si>
  <si>
    <t>Amortization</t>
  </si>
  <si>
    <t>Intangible assets gross</t>
  </si>
  <si>
    <t>Stock based comp</t>
  </si>
  <si>
    <t>Tax rate (/Op inc)</t>
  </si>
  <si>
    <t>Revenue change</t>
  </si>
  <si>
    <t>Changes NWC</t>
  </si>
  <si>
    <t>millions</t>
  </si>
  <si>
    <t>Investment in Intangibles (capex)</t>
  </si>
  <si>
    <t>CAPEX without intangibles</t>
  </si>
  <si>
    <t>Forecasts</t>
  </si>
  <si>
    <t>10Y Switzerland Bond 2022</t>
  </si>
  <si>
    <t>AAA bond</t>
  </si>
  <si>
    <t>Risk-free rate</t>
  </si>
  <si>
    <t>10Y Switzerland Bond 2023</t>
  </si>
  <si>
    <t>Equity Premium</t>
  </si>
  <si>
    <t>Revenues 2023</t>
  </si>
  <si>
    <t>% Revenues</t>
  </si>
  <si>
    <t>Weighted Equity Rm</t>
  </si>
  <si>
    <t>Europe</t>
  </si>
  <si>
    <t>forecasts</t>
  </si>
  <si>
    <t>China</t>
  </si>
  <si>
    <t>historical values</t>
  </si>
  <si>
    <t>Other Asia</t>
  </si>
  <si>
    <t>Americas</t>
  </si>
  <si>
    <t>Firm Premium</t>
  </si>
  <si>
    <t>REVENUES</t>
  </si>
  <si>
    <t>Watches and Jewelry CAGR (2023 - 2026)</t>
  </si>
  <si>
    <t>statista</t>
  </si>
  <si>
    <t>Average growth (total)</t>
  </si>
  <si>
    <t>Annual Growth short-term (2024-2027)</t>
  </si>
  <si>
    <t>Average growth (5Y)</t>
  </si>
  <si>
    <t>Annual Growth long-term (2028-2034)</t>
  </si>
  <si>
    <t>Average growth (3Y)</t>
  </si>
  <si>
    <t>Annual Growth long-term (2034-2040)</t>
  </si>
  <si>
    <t>Average growth (pre-covid)</t>
  </si>
  <si>
    <t>Annual Growth long-term (2041-2048)</t>
  </si>
  <si>
    <t>Growth forecast (%)</t>
  </si>
  <si>
    <t>in millions</t>
  </si>
  <si>
    <t>Revenue forecast</t>
  </si>
  <si>
    <t>EBIT (as a % of revenues)</t>
  </si>
  <si>
    <t>Average (total)</t>
  </si>
  <si>
    <t>Average (5Y)</t>
  </si>
  <si>
    <t>Average (3Y)</t>
  </si>
  <si>
    <t>Average (pre-covid)</t>
  </si>
  <si>
    <t>EBIT forecast (% of revenues)</t>
  </si>
  <si>
    <t>EBIT forecast</t>
  </si>
  <si>
    <t>DEPRECIATION</t>
  </si>
  <si>
    <t>Depreciation (as a % of capex)</t>
  </si>
  <si>
    <t>Depreciation (as a % of PP&amp;E)</t>
  </si>
  <si>
    <t>more stable</t>
  </si>
  <si>
    <t>Dp as a % of capex</t>
  </si>
  <si>
    <t>Dp as a % of PP&amp;E</t>
  </si>
  <si>
    <t>Average(total)</t>
  </si>
  <si>
    <t>Average  (pre-covid)</t>
  </si>
  <si>
    <t>PP&amp;E before Dp forecast</t>
  </si>
  <si>
    <t>Depreciation forecast</t>
  </si>
  <si>
    <t>CAPEX forecast</t>
  </si>
  <si>
    <t>PP&amp;E after Dp forecast</t>
  </si>
  <si>
    <t>CAPEX (without intangibles)</t>
  </si>
  <si>
    <t>Capex (as a % of revenues)</t>
  </si>
  <si>
    <t>ST multiple</t>
  </si>
  <si>
    <t>% revenues</t>
  </si>
  <si>
    <t>LT multiple</t>
  </si>
  <si>
    <t>CAPEX (without intangibles) forecast</t>
  </si>
  <si>
    <t>AMORTIZATION</t>
  </si>
  <si>
    <t>Amortization (as a % of intangibles)</t>
  </si>
  <si>
    <t>INT. before amortization forecast</t>
  </si>
  <si>
    <t>Amortization forecast</t>
  </si>
  <si>
    <t>Investm. Intangibles</t>
  </si>
  <si>
    <t>Intangibles after amortization</t>
  </si>
  <si>
    <t>INVESTMENT IN INTANGIBLES (CAPEX)</t>
  </si>
  <si>
    <t>Investm. Intangibles (as a % of rev)</t>
  </si>
  <si>
    <t>Investm. Intangibles forecast</t>
  </si>
  <si>
    <t>CAPEX total</t>
  </si>
  <si>
    <t>Capex forecast</t>
  </si>
  <si>
    <t>STOCK BASED COMPENSATION</t>
  </si>
  <si>
    <t>Stock based compensation (% rev)</t>
  </si>
  <si>
    <t>Stock based compensation forecast</t>
  </si>
  <si>
    <t>TOTAL DEBT</t>
  </si>
  <si>
    <t>Total debt</t>
  </si>
  <si>
    <t>Total debt as a % of revenues</t>
  </si>
  <si>
    <t>(stable)</t>
  </si>
  <si>
    <t>Total debt as a % of capex</t>
  </si>
  <si>
    <t>Total debt as a % of EBITDA</t>
  </si>
  <si>
    <t>(more commonly used)</t>
  </si>
  <si>
    <t>Debt as a % of revenues</t>
  </si>
  <si>
    <t>Total debt forecast (as a % of rev)</t>
  </si>
  <si>
    <t>WORKING CAPITAL FLOWS</t>
  </si>
  <si>
    <t xml:space="preserve">Changes in NWC </t>
  </si>
  <si>
    <t>Change in revenue</t>
  </si>
  <si>
    <t>Changes in NWC (as a % of changes revenue)</t>
  </si>
  <si>
    <t>average (3y)</t>
  </si>
  <si>
    <t>average (5y)</t>
  </si>
  <si>
    <t>average (total)</t>
  </si>
  <si>
    <t>NWC flows forescast</t>
  </si>
  <si>
    <t>INVESTMENTS &amp; ACQUISITIONS</t>
  </si>
  <si>
    <t>Acquistions</t>
  </si>
  <si>
    <t>Acquisitions (as a % of revenues)</t>
  </si>
  <si>
    <t>growth (YoY)</t>
  </si>
  <si>
    <t>Acquistions forecast</t>
  </si>
  <si>
    <t>DIVIDENDS &amp; SHARE REPURCHASE</t>
  </si>
  <si>
    <t>Dividends (% net income)</t>
  </si>
  <si>
    <t>(% net income)</t>
  </si>
  <si>
    <t xml:space="preserve">
</t>
  </si>
  <si>
    <t>Dividends forecast</t>
  </si>
  <si>
    <t>share buyback program- 10M shares in 2023-2026</t>
  </si>
  <si>
    <t>threshold daily volume- 212, 727</t>
  </si>
  <si>
    <t>Share buyback</t>
  </si>
  <si>
    <t>Share buyback (% net income)</t>
  </si>
  <si>
    <t>ST multiple (2027-2030)</t>
  </si>
  <si>
    <t>Share buyback forecast</t>
  </si>
  <si>
    <t>3-year program</t>
  </si>
  <si>
    <t>average price (1Y)</t>
  </si>
  <si>
    <t>(10M shares + premium and growth)</t>
  </si>
  <si>
    <t>INTEREST RATE ON DEBT</t>
  </si>
  <si>
    <t>Interest payments</t>
  </si>
  <si>
    <t>Interest rate</t>
  </si>
  <si>
    <t>Interest payments forecast</t>
  </si>
  <si>
    <t>Results</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</si>
  <si>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</si>
  <si>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</si>
  <si>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</si>
  <si>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</si>
  <si>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</si>
  <si>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</si>
  <si>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</si>
  <si>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</si>
  <si>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</si>
  <si>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</si>
  <si>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</si>
  <si>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</si>
  <si>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</si>
  <si>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</si>
  <si>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</si>
  <si>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</si>
  <si>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</si>
  <si>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</si>
  <si>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</si>
  <si>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</si>
  <si>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</si>
  <si>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</si>
  <si>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</si>
  <si>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</si>
  <si>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</si>
  <si>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</si>
  <si>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</si>
  <si>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</si>
  <si>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</si>
  <si>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</si>
  <si>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</si>
  <si>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</si>
  <si>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</si>
  <si>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A+</t>
  </si>
  <si>
    <t>Dividend Yield</t>
  </si>
  <si>
    <t>Daily Volume in Millions of USD</t>
  </si>
  <si>
    <t xml:space="preserve">Short % of Float </t>
  </si>
  <si>
    <t>Corporate Bonds 3, 5 Y 10</t>
  </si>
  <si>
    <t>Average Price</t>
  </si>
  <si>
    <t>Moody's</t>
  </si>
  <si>
    <t>YTM</t>
  </si>
  <si>
    <t>DIVISA</t>
  </si>
  <si>
    <t>CASH</t>
  </si>
  <si>
    <t>Financial assets held at fair value through profit or loss</t>
  </si>
  <si>
    <t>Cash at hand and bank</t>
  </si>
  <si>
    <t>TOTAL LT DEBT</t>
  </si>
  <si>
    <t>borrowings</t>
  </si>
  <si>
    <t>Finance lease obligations</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</si>
  <si>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</si>
  <si>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</si>
  <si>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</si>
  <si>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</si>
  <si>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</si>
  <si>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</si>
  <si>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</si>
  <si>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</si>
  <si>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</si>
  <si>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</si>
  <si>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</si>
  <si>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</si>
  <si>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</si>
  <si>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</si>
  <si>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</si>
  <si>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</si>
  <si>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</si>
  <si>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</si>
  <si>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</si>
  <si>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</si>
  <si>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</si>
  <si>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</si>
  <si>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</si>
  <si>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</si>
  <si>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</si>
  <si>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</si>
  <si>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</si>
  <si>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</si>
  <si>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</si>
  <si>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</si>
  <si>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</si>
  <si>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</si>
  <si>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</si>
  <si>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</si>
  <si>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</si>
  <si>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</si>
  <si>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</si>
  <si>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</si>
  <si>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</si>
  <si>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</si>
  <si>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</si>
  <si>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</si>
  <si>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</si>
  <si>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</si>
  <si>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</si>
  <si>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</si>
  <si>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</si>
  <si>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</si>
  <si>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</si>
  <si>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</si>
  <si>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</si>
  <si>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</si>
  <si>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</si>
  <si>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</si>
  <si>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</si>
  <si>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</si>
  <si>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</si>
  <si>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</si>
  <si>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</si>
  <si>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</si>
  <si>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</si>
  <si>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</si>
  <si>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</si>
  <si>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</si>
  <si>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</si>
  <si>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</si>
  <si>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</si>
  <si>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</si>
  <si>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</si>
  <si>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</si>
  <si>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</si>
  <si>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</si>
  <si>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</si>
  <si>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</si>
  <si>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</si>
  <si>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</si>
  <si>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</si>
  <si>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</si>
  <si>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</si>
  <si>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</si>
  <si>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</si>
  <si>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</si>
  <si>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</si>
  <si>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</si>
  <si>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</si>
  <si>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</si>
  <si>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</si>
  <si>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</si>
  <si>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</si>
  <si>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</si>
  <si>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</si>
  <si>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</si>
  <si>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</si>
  <si>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</si>
  <si>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</si>
  <si>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</si>
  <si>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</si>
  <si>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</si>
  <si>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</si>
  <si>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</si>
  <si>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</si>
  <si>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</si>
  <si>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</si>
  <si>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</si>
  <si>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</si>
  <si>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</si>
  <si>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</si>
  <si>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</si>
  <si>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</si>
  <si>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</si>
  <si>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</si>
  <si>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</si>
  <si>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</si>
  <si>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</si>
  <si>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</si>
  <si>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</si>
  <si>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</si>
  <si>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</si>
  <si>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</si>
  <si>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</si>
  <si>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</si>
  <si>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</si>
  <si>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</si>
  <si>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</si>
  <si>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</si>
  <si>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</si>
  <si>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</si>
  <si>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</si>
  <si>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</si>
  <si>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</si>
  <si>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</si>
  <si>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</si>
  <si>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</si>
  <si>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</si>
  <si>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</si>
  <si>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</si>
  <si>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</si>
  <si>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</si>
  <si>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</si>
  <si>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</si>
  <si>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</si>
  <si>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</si>
  <si>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</si>
  <si>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</si>
  <si>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</si>
  <si>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</si>
  <si>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</si>
  <si>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</si>
  <si>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</si>
  <si>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</si>
  <si>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</si>
  <si>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</si>
  <si>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</si>
  <si>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</si>
  <si>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</si>
  <si>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</si>
  <si>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</si>
  <si>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</si>
  <si>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</si>
  <si>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</si>
  <si>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</si>
  <si>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</si>
  <si>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EUR</t>
  </si>
  <si>
    <t>Company</t>
  </si>
  <si>
    <t>Report in millions</t>
  </si>
  <si>
    <t>RESULTS</t>
  </si>
  <si>
    <t>Income Statement</t>
  </si>
  <si>
    <t>Sales</t>
  </si>
  <si>
    <t>investment income+other income expense+income loss+minority interest+non controlling interest+share onf net profit+gain8losses) on equity investments+share of result from associates nd joint ventures+non operating profit+</t>
  </si>
  <si>
    <t>interest expense+financial income and expenses+other financial expense-income+interest and other net+</t>
  </si>
  <si>
    <t>FINANCIAL POSITION</t>
  </si>
  <si>
    <t>Weighted Average Shares (Basic NI)</t>
  </si>
  <si>
    <t>Weighted Average Shares (Diluted NI)</t>
  </si>
  <si>
    <t>Net gains (losses) from ForEx</t>
  </si>
  <si>
    <t>Total Comprehensive Income</t>
  </si>
  <si>
    <t>cash flows</t>
  </si>
  <si>
    <t>NWC</t>
  </si>
  <si>
    <t>Net Working Capital</t>
  </si>
  <si>
    <t>ASSETS</t>
  </si>
  <si>
    <t>Current</t>
  </si>
  <si>
    <t>Balance Sheet</t>
  </si>
  <si>
    <t>Other Current Assets</t>
  </si>
  <si>
    <t>Non-current</t>
  </si>
  <si>
    <t>Operating leases</t>
  </si>
  <si>
    <t>Equity Method Investments</t>
  </si>
  <si>
    <t>Other Non-Current Assets</t>
  </si>
  <si>
    <t>LIABILITIES</t>
  </si>
  <si>
    <t>Payables</t>
  </si>
  <si>
    <t>Short term Debt</t>
  </si>
  <si>
    <t>Total non current liabilities</t>
  </si>
  <si>
    <t>Long term debt</t>
  </si>
  <si>
    <t>Other non current Liabilities</t>
  </si>
  <si>
    <t>CASH FLOW</t>
  </si>
  <si>
    <t>Changes in assets and liabilities</t>
  </si>
  <si>
    <t>Other Adjustments</t>
  </si>
  <si>
    <t>Other Inflows (Outflows)</t>
  </si>
  <si>
    <t>Debt Borrowing</t>
  </si>
  <si>
    <t>Debt Repayment</t>
  </si>
  <si>
    <t>Lease Increases</t>
  </si>
  <si>
    <t>Lease Payments</t>
  </si>
  <si>
    <t>cash flows FINANCING</t>
  </si>
  <si>
    <t>Dividends paid</t>
  </si>
  <si>
    <t xml:space="preserve">Other Data </t>
  </si>
  <si>
    <t xml:space="preserve">Average Price </t>
  </si>
  <si>
    <t xml:space="preserve">Number of employees </t>
  </si>
  <si>
    <t>10-K</t>
  </si>
  <si>
    <t>Shares Outstanding (Thousands)</t>
  </si>
  <si>
    <t>Yahoo finance</t>
  </si>
  <si>
    <t>Dividend Yield(Yahoo Finance)</t>
  </si>
  <si>
    <t>Yahoo Finance</t>
  </si>
  <si>
    <t>Country</t>
  </si>
  <si>
    <t>Moody's rating</t>
  </si>
  <si>
    <t>Default Spread</t>
  </si>
  <si>
    <t>Country Risk Premium</t>
  </si>
  <si>
    <t>Equity Risk Premium</t>
  </si>
  <si>
    <t>Corporate Tax Rate</t>
  </si>
  <si>
    <t>Abu Dhabi</t>
  </si>
  <si>
    <t>Aa2</t>
  </si>
  <si>
    <t>Equity premium weighted average</t>
  </si>
  <si>
    <t>Albania</t>
  </si>
  <si>
    <t>B1</t>
  </si>
  <si>
    <t>Europe:</t>
  </si>
  <si>
    <t>Algeria</t>
  </si>
  <si>
    <t>NR</t>
  </si>
  <si>
    <t>Belgium</t>
  </si>
  <si>
    <t>Andorra (Principality of)</t>
  </si>
  <si>
    <t>Baa2</t>
  </si>
  <si>
    <t>Angola</t>
  </si>
  <si>
    <t>B3</t>
  </si>
  <si>
    <t>Argentina</t>
  </si>
  <si>
    <t>Ca</t>
  </si>
  <si>
    <t>Germany</t>
  </si>
  <si>
    <t>Armenia</t>
  </si>
  <si>
    <t>Ba3</t>
  </si>
  <si>
    <t>Italy</t>
  </si>
  <si>
    <t>Aruba</t>
  </si>
  <si>
    <t>Russia</t>
  </si>
  <si>
    <t>Australia</t>
  </si>
  <si>
    <t>Aaa</t>
  </si>
  <si>
    <t>Spain</t>
  </si>
  <si>
    <t>Austria</t>
  </si>
  <si>
    <t>Aa1</t>
  </si>
  <si>
    <t>United kingdom</t>
  </si>
  <si>
    <t>Azerbaijan</t>
  </si>
  <si>
    <t>Ba1</t>
  </si>
  <si>
    <t>Americas:</t>
  </si>
  <si>
    <t>Bahamas</t>
  </si>
  <si>
    <t>USA</t>
  </si>
  <si>
    <t>Bahrain</t>
  </si>
  <si>
    <t>B2</t>
  </si>
  <si>
    <t>Brazil</t>
  </si>
  <si>
    <t>Bangladesh</t>
  </si>
  <si>
    <t>Canada</t>
  </si>
  <si>
    <t>Barbados</t>
  </si>
  <si>
    <t>Caa1</t>
  </si>
  <si>
    <t>Mexico</t>
  </si>
  <si>
    <t>Belarus</t>
  </si>
  <si>
    <t>China:</t>
  </si>
  <si>
    <t>Aa3</t>
  </si>
  <si>
    <t>Asia Pacific:</t>
  </si>
  <si>
    <t>Belize</t>
  </si>
  <si>
    <t>Caa2</t>
  </si>
  <si>
    <t>Hong Kong</t>
  </si>
  <si>
    <t>Benin</t>
  </si>
  <si>
    <t>Macao</t>
  </si>
  <si>
    <t>Bermuda</t>
  </si>
  <si>
    <t>A2</t>
  </si>
  <si>
    <t>Bolivia</t>
  </si>
  <si>
    <t>Malaysia</t>
  </si>
  <si>
    <t>Bosnia and Herzegovina</t>
  </si>
  <si>
    <t>Singapore</t>
  </si>
  <si>
    <t>Botswana</t>
  </si>
  <si>
    <t>A3</t>
  </si>
  <si>
    <t>Taiwan</t>
  </si>
  <si>
    <t>Ba2</t>
  </si>
  <si>
    <t>Thailand</t>
  </si>
  <si>
    <t>Brunei</t>
  </si>
  <si>
    <t>Bulgaria</t>
  </si>
  <si>
    <t>Baa1</t>
  </si>
  <si>
    <t>New Zealand</t>
  </si>
  <si>
    <t>Burkina Faso</t>
  </si>
  <si>
    <t>Korea</t>
  </si>
  <si>
    <t>Cambodia</t>
  </si>
  <si>
    <t>Middle East and Africa:</t>
  </si>
  <si>
    <t>Cameroon</t>
  </si>
  <si>
    <t>India</t>
  </si>
  <si>
    <t>Saudi arabia</t>
  </si>
  <si>
    <t>Cape Verde</t>
  </si>
  <si>
    <t>South africa</t>
  </si>
  <si>
    <t>Cayman Islands</t>
  </si>
  <si>
    <t>United Arab Emirates</t>
  </si>
  <si>
    <t>Chile</t>
  </si>
  <si>
    <t>A1</t>
  </si>
  <si>
    <t>Colombia</t>
  </si>
  <si>
    <t>Congo (Democratic Republic of)</t>
  </si>
  <si>
    <t>Congo (Republic of)</t>
  </si>
  <si>
    <t>Cook Islands</t>
  </si>
  <si>
    <t>Costa Rica</t>
  </si>
  <si>
    <t>Côte d'Ivoire</t>
  </si>
  <si>
    <t>Croatia</t>
  </si>
  <si>
    <t>Cuba</t>
  </si>
  <si>
    <t>Curacao</t>
  </si>
  <si>
    <t>Cyprus</t>
  </si>
  <si>
    <t>Czech Republic</t>
  </si>
  <si>
    <t>Denmark</t>
  </si>
  <si>
    <t>Dominican Republic</t>
  </si>
  <si>
    <t>Ecuador</t>
  </si>
  <si>
    <t>Caa3</t>
  </si>
  <si>
    <t>Egypt</t>
  </si>
  <si>
    <t>El Salvador</t>
  </si>
  <si>
    <t>Estonia</t>
  </si>
  <si>
    <t>Ethiopia</t>
  </si>
  <si>
    <t>Fiji</t>
  </si>
  <si>
    <t>Finland</t>
  </si>
  <si>
    <t>Gabon</t>
  </si>
  <si>
    <t>Gambia</t>
  </si>
  <si>
    <t>Georgia</t>
  </si>
  <si>
    <t>Ghana</t>
  </si>
  <si>
    <t>Greece</t>
  </si>
  <si>
    <t>Guatemala</t>
  </si>
  <si>
    <t>Guernsey (States of)</t>
  </si>
  <si>
    <t>Guinea</t>
  </si>
  <si>
    <t>Guinea-Bissau</t>
  </si>
  <si>
    <t>Guyana</t>
  </si>
  <si>
    <t>Haiti</t>
  </si>
  <si>
    <t>Honduras</t>
  </si>
  <si>
    <t>Hungary</t>
  </si>
  <si>
    <t>Iceland</t>
  </si>
  <si>
    <t>Baa3</t>
  </si>
  <si>
    <t>Indonesia</t>
  </si>
  <si>
    <t>Iran</t>
  </si>
  <si>
    <t>Iraq</t>
  </si>
  <si>
    <t>Ireland</t>
  </si>
  <si>
    <t>Isle of Man</t>
  </si>
  <si>
    <t>Israel</t>
  </si>
  <si>
    <t>Jamaica</t>
  </si>
  <si>
    <t>Jersey (States of)</t>
  </si>
  <si>
    <t>Jordan</t>
  </si>
  <si>
    <t>Kazakhstan</t>
  </si>
  <si>
    <t>Kenya</t>
  </si>
  <si>
    <t>Korea, D.P.R.</t>
  </si>
  <si>
    <t>Kuwait</t>
  </si>
  <si>
    <t>Kyrgyzstan</t>
  </si>
  <si>
    <t>Laos</t>
  </si>
  <si>
    <t>Latvia</t>
  </si>
  <si>
    <t>Lebanon</t>
  </si>
  <si>
    <t>Liberia</t>
  </si>
  <si>
    <t>Libya</t>
  </si>
  <si>
    <t>Liechtenstein</t>
  </si>
  <si>
    <t>Lithuania</t>
  </si>
  <si>
    <t>Luxembourg</t>
  </si>
  <si>
    <t>Macedonia</t>
  </si>
  <si>
    <t>Madagascar</t>
  </si>
  <si>
    <t>Malawi</t>
  </si>
  <si>
    <t>Maldives</t>
  </si>
  <si>
    <t>Mali</t>
  </si>
  <si>
    <t>Malta</t>
  </si>
  <si>
    <t>Mauritius</t>
  </si>
  <si>
    <t>Moldova</t>
  </si>
  <si>
    <t>Mongolia</t>
  </si>
  <si>
    <t>Montenegro</t>
  </si>
  <si>
    <t>Montserrat</t>
  </si>
  <si>
    <t>Morocco</t>
  </si>
  <si>
    <t>Mozambique</t>
  </si>
  <si>
    <t>Myanmar</t>
  </si>
  <si>
    <t>Namibia</t>
  </si>
  <si>
    <t>Netherlands</t>
  </si>
  <si>
    <t>Nicaragua</t>
  </si>
  <si>
    <t>Niger</t>
  </si>
  <si>
    <t>Nigeria</t>
  </si>
  <si>
    <t>Norway</t>
  </si>
  <si>
    <t>Oman</t>
  </si>
  <si>
    <t>Pakistan</t>
  </si>
  <si>
    <t>Panama</t>
  </si>
  <si>
    <t>Papua New Guinea</t>
  </si>
  <si>
    <t>Paraguay</t>
  </si>
  <si>
    <t>Peru</t>
  </si>
  <si>
    <t>Philippines</t>
  </si>
  <si>
    <t>Poland</t>
  </si>
  <si>
    <t>Portugal</t>
  </si>
  <si>
    <t>Qatar</t>
  </si>
  <si>
    <t>Ras Al Khaimah (Emirate of)</t>
  </si>
  <si>
    <t>Romania</t>
  </si>
  <si>
    <t>Rwanda</t>
  </si>
  <si>
    <t>Saudi Arabia</t>
  </si>
  <si>
    <t>Senegal</t>
  </si>
  <si>
    <t>Serbia</t>
  </si>
  <si>
    <t>Sharjah</t>
  </si>
  <si>
    <t>Sierra Leone</t>
  </si>
  <si>
    <t>Slovakia</t>
  </si>
  <si>
    <t>Slovenia</t>
  </si>
  <si>
    <t>Solomon Islands</t>
  </si>
  <si>
    <t>Somalia</t>
  </si>
  <si>
    <t>South Africa</t>
  </si>
  <si>
    <t>Sri Lanka</t>
  </si>
  <si>
    <t>St. Maarten</t>
  </si>
  <si>
    <t>St. Vincent &amp; the Grenadines</t>
  </si>
  <si>
    <t>Sudan</t>
  </si>
  <si>
    <t>Suriname</t>
  </si>
  <si>
    <t>Swaziland</t>
  </si>
  <si>
    <t>Sweden</t>
  </si>
  <si>
    <t>Syria</t>
  </si>
  <si>
    <t>Tajikistan</t>
  </si>
  <si>
    <t>Tanzania</t>
  </si>
  <si>
    <t>Togo</t>
  </si>
  <si>
    <t>Trinidad and Tobago</t>
  </si>
  <si>
    <t>Tunisia</t>
  </si>
  <si>
    <t>Turkey</t>
  </si>
  <si>
    <t>Turks and Caicos Islands</t>
  </si>
  <si>
    <t>Uganda</t>
  </si>
  <si>
    <t>Ukraine</t>
  </si>
  <si>
    <t>United Kingdom</t>
  </si>
  <si>
    <t>United States</t>
  </si>
  <si>
    <t>Uruguay</t>
  </si>
  <si>
    <t>Uzbekistan</t>
  </si>
  <si>
    <t>Venezuela</t>
  </si>
  <si>
    <t>Vietnam</t>
  </si>
  <si>
    <t>Yemen, Republic</t>
  </si>
  <si>
    <t>Zambia</t>
  </si>
  <si>
    <t>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</si>
</sst>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3">
    <numFmt numFmtId="176" formatCode="&quot;$&quot;#,##0.00_);[Red]\(&quot;$&quot;#,##0.00\)"/>
    <numFmt numFmtId="177" formatCode="_(* #,##0.00_);_(* \(#,##0.00\);_(* &quot;-&quot;??_);_(@_)"/>
    <numFmt numFmtId="178" formatCode="_-&quot;$&quot;* #,##0.00_-;\-&quot;$&quot;* #,##0.00_-;_-&quot;$&quot;* &quot;-&quot;??_-;_-@_-"/>
    <numFmt numFmtId="179" formatCode="&quot;$&quot;#,##0.00"/>
    <numFmt numFmtId="180" formatCode="&quot;$&quot;#,##0"/>
    <numFmt numFmtId="181" formatCode="0.0%"/>
    <numFmt numFmtId="182" formatCode="0.0"/>
    <numFmt numFmtId="183" formatCode="#,##0.0"/>
    <numFmt numFmtId="184" formatCode="[$$-409]#,##0.00_ ;\-[$$-409]#,##0.00\ "/>
    <numFmt numFmtId="185" formatCode="_-[$$-409]* #,##0.00_ ;_-[$$-409]* \-#,##0.00\ ;_-[$$-409]* &quot;-&quot;??_ ;_-@_ "/>
    <numFmt numFmtId="186" formatCode="_([$$-409]* #,##0.00_);_([$$-409]* \(#,##0.00\);_([$$-409]* &quot;-&quot;??_);_(@_)"/>
    <numFmt numFmtId="187" formatCode="0.000%"/>
    <numFmt numFmtId="188" formatCode="_-[$€-2]\ * #,##0.00_-;\-[$€-2]\ * #,##0.00_-;_-[$€-2]\ * &quot;-&quot;??_-;_-@_-"/>
    <numFmt numFmtId="189" formatCode="_([$€-2]\ * #,##0.00_);_([$€-2]\ * \(#,##0.00\);_([$€-2]\ * &quot;-&quot;??_);_(@_)"/>
    <numFmt numFmtId="190" formatCode="_-[$€-2]\ * #,##0.000_-;\-[$€-2]\ * #,##0.000_-;_-[$€-2]\ * &quot;-&quot;???_-;_-@_-"/>
    <numFmt numFmtId="191" formatCode="0.0000"/>
    <numFmt numFmtId="192" formatCode="_-[$€-2]\ * #,##0.0000_-;\-[$€-2]\ * #,##0.0000_-;_-[$€-2]\ * &quot;-&quot;??_-;_-@_-"/>
    <numFmt numFmtId="193" formatCode="_([$€-2]\ * #,##0_);_([$€-2]\ * \(#,##0\);_([$€-2]\ * &quot;-&quot;??_);_(@_)"/>
    <numFmt numFmtId="194" formatCode="_-* #,##0\ [$CHF-100C]_-;\-* #,##0\ [$CHF-100C]_-;_-* &quot;-&quot;\ [$CHF-100C]_-;_-@_-"/>
    <numFmt numFmtId="195" formatCode="_-* #,##0.00\ [$CHF-100C]_-;\-* #,##0.00\ [$CHF-100C]_-;_-* &quot;-&quot;??\ [$CHF-100C]_-;_-@_-"/>
    <numFmt numFmtId="196" formatCode="#,##0.000"/>
    <numFmt numFmtId="197" formatCode="_(* #,##0.000_);_(* \(#,##0.000\);_(* &quot;-&quot;??_);_(@_)"/>
    <numFmt numFmtId="198" formatCode="#,##0.00\ &quot;€&quot;"/>
  </numFmts>
  <fonts count="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10"/>
      <color rgb="FF333333"/>
      <name val="Arial"/>
      <family val="2"/>
    </font>
    <font>
      <sz val="10"/>
      <color rgb="FFFFFF00"/>
      <name val="Arial"/>
      <family val="2"/>
    </font>
    <font>
      <i/>
      <sz val="9"/>
      <name val="Times"/>
      <family val="1"/>
      <charset val="1"/>
    </font>
    <font>
      <sz val="9"/>
      <name val="Times"/>
      <family val="1"/>
      <charset val="1"/>
    </font>
    <font>
      <sz val="9"/>
      <name val="Geneva"/>
      <charset val="1"/>
    </font>
    <font>
      <b/>
      <sz val="10"/>
      <name val="Arial"/>
    </font>
    <font>
      <i/>
      <sz val="9"/>
      <name val="Arial"/>
      <family val="2"/>
    </font>
    <font>
      <sz val="10"/>
      <color rgb="FF000000"/>
      <name val="Arial"/>
    </font>
    <font>
      <b/>
      <sz val="10"/>
      <color rgb="FF000000"/>
      <name val="Arial"/>
    </font>
    <font>
      <b/>
      <sz val="11"/>
      <color rgb="FF000000"/>
      <name val="Arial"/>
      <family val="2"/>
    </font>
    <font>
      <sz val="11"/>
      <color rgb="FF000000"/>
      <name val="Arial"/>
      <family val="2"/>
    </font>
    <font>
      <b/>
      <sz val="14"/>
      <color rgb="FF232A31"/>
      <name val="Arial"/>
      <family val="2"/>
    </font>
    <font>
      <b/>
      <sz val="12"/>
      <name val="Arial"/>
    </font>
    <font>
      <b/>
      <sz val="9"/>
      <color rgb="FF000000"/>
      <name val="Arial"/>
    </font>
    <font>
      <sz val="9"/>
      <color rgb="FF000000"/>
      <name val="Arial"/>
    </font>
    <font>
      <sz val="9"/>
      <color rgb="FF000000"/>
      <name val="Arial"/>
      <family val="2"/>
    </font>
    <font>
      <sz val="12"/>
      <name val="Arial"/>
    </font>
    <font>
      <sz val="12"/>
      <color rgb="FF000000"/>
      <name val="Arial"/>
    </font>
  </fonts>
  <fills count="65">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FFA200"/>
        <bgColor indexed="64"/>
      </patternFill>
    </fill>
    <fill>
      <patternFill patternType="solid">
        <fgColor theme="2"/>
        <bgColor indexed="64"/>
      </patternFill>
    </fill>
    <fill>
      <patternFill patternType="solid">
        <fgColor theme="6"/>
        <bgColor indexed="64"/>
      </patternFill>
    </fill>
    <fill>
      <patternFill patternType="solid">
        <fgColor rgb="FFFFFFFF"/>
        <bgColor rgb="FF000000"/>
      </patternFill>
    </fill>
    <fill>
      <patternFill patternType="solid">
        <fgColor rgb="FFE7E6E6"/>
        <bgColor indexed="64"/>
      </patternFill>
    </fill>
    <fill>
      <patternFill patternType="solid">
        <fgColor theme="6" tint="0.59999389629810485"/>
        <bgColor indexed="64"/>
      </patternFill>
    </fill>
    <fill>
      <patternFill patternType="solid">
        <fgColor rgb="FFFCD5B4"/>
        <bgColor rgb="FF000000"/>
      </patternFill>
    </fill>
    <fill>
      <patternFill patternType="solid">
        <fgColor rgb="FF92CDDC"/>
        <bgColor rgb="FF000000"/>
      </patternFill>
    </fill>
    <fill>
      <patternFill patternType="solid">
        <fgColor rgb="FFDCE6F1"/>
        <bgColor rgb="FF000000"/>
      </patternFill>
    </fill>
    <fill>
      <patternFill patternType="solid">
        <fgColor rgb="FFC5D9F1"/>
        <bgColor rgb="FF000000"/>
      </patternFill>
    </fill>
    <fill>
      <patternFill patternType="solid">
        <fgColor rgb="FF000000"/>
        <bgColor rgb="FF000000"/>
      </patternFill>
    </fill>
    <fill>
      <patternFill patternType="solid">
        <fgColor theme="9" tint="0.5999938962981048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ABFF96"/>
        <bgColor indexed="64"/>
      </patternFill>
    </fill>
    <fill>
      <patternFill patternType="solid">
        <fgColor rgb="FFFFC000"/>
        <bgColor indexed="64"/>
      </patternFill>
    </fill>
  </fills>
  <borders count="318">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style="medium">
        <color rgb="FF1F497D"/>
      </right>
      <top style="thin">
        <color theme="0" tint="-0.24994659260841701"/>
      </top>
      <bottom style="medium">
        <color rgb="FF1F497D"/>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style="medium">
        <color indexed="64"/>
      </top>
      <bottom style="medium">
        <color rgb="FF000000"/>
      </bottom>
      <diagonal/>
    </border>
    <border>
      <left/>
      <right style="thin">
        <color indexed="64"/>
      </right>
      <top style="medium">
        <color indexed="64"/>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medium">
        <color theme="3"/>
      </left>
      <right/>
      <top style="medium">
        <color rgb="FF000000"/>
      </top>
      <bottom style="medium">
        <color rgb="FF000000"/>
      </bottom>
      <diagonal/>
    </border>
    <border>
      <left/>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indexed="64"/>
      </left>
      <right/>
      <top style="thin">
        <color indexed="64"/>
      </top>
      <bottom/>
      <diagonal/>
    </border>
    <border>
      <left style="medium">
        <color indexed="64"/>
      </left>
      <right style="thin">
        <color rgb="FF000000"/>
      </right>
      <top/>
      <bottom style="thin">
        <color rgb="FF000000"/>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style="medium">
        <color theme="3"/>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medium">
        <color theme="3"/>
      </left>
      <right/>
      <top/>
      <bottom style="thin">
        <color theme="0" tint="-0.249977111117893"/>
      </bottom>
      <diagonal/>
    </border>
    <border>
      <left style="medium">
        <color theme="3"/>
      </left>
      <right/>
      <top style="medium">
        <color theme="3"/>
      </top>
      <bottom style="medium">
        <color rgb="FF1F497D"/>
      </bottom>
      <diagonal/>
    </border>
    <border>
      <left/>
      <right style="medium">
        <color theme="3"/>
      </right>
      <top style="medium">
        <color theme="3"/>
      </top>
      <bottom style="medium">
        <color rgb="FF1F497D"/>
      </bottom>
      <diagonal/>
    </border>
    <border>
      <left style="medium">
        <color theme="3"/>
      </left>
      <right/>
      <top style="medium">
        <color rgb="FF1F497D"/>
      </top>
      <bottom style="medium">
        <color theme="0" tint="-0.24994659260841701"/>
      </bottom>
      <diagonal/>
    </border>
    <border>
      <left/>
      <right style="medium">
        <color theme="3"/>
      </right>
      <top style="medium">
        <color rgb="FF1F497D"/>
      </top>
      <bottom style="medium">
        <color theme="0" tint="-0.24994659260841701"/>
      </bottom>
      <diagonal/>
    </border>
    <border>
      <left style="medium">
        <color theme="3"/>
      </left>
      <right/>
      <top style="medium">
        <color theme="0" tint="-0.24994659260841701"/>
      </top>
      <bottom style="medium">
        <color theme="0" tint="-0.24994659260841701"/>
      </bottom>
      <diagonal/>
    </border>
    <border>
      <left/>
      <right style="medium">
        <color theme="3"/>
      </right>
      <top style="medium">
        <color theme="0" tint="-0.24994659260841701"/>
      </top>
      <bottom style="medium">
        <color theme="0" tint="-0.24994659260841701"/>
      </bottom>
      <diagonal/>
    </border>
    <border>
      <left style="medium">
        <color theme="3"/>
      </left>
      <right/>
      <top style="medium">
        <color theme="0" tint="-0.24994659260841701"/>
      </top>
      <bottom style="medium">
        <color theme="3"/>
      </bottom>
      <diagonal/>
    </border>
    <border>
      <left/>
      <right/>
      <top style="medium">
        <color theme="0" tint="-0.24994659260841701"/>
      </top>
      <bottom style="medium">
        <color theme="3"/>
      </bottom>
      <diagonal/>
    </border>
    <border>
      <left/>
      <right style="medium">
        <color theme="3"/>
      </right>
      <top style="medium">
        <color theme="0" tint="-0.24994659260841701"/>
      </top>
      <bottom style="medium">
        <color theme="3"/>
      </bottom>
      <diagonal/>
    </border>
    <border>
      <left/>
      <right/>
      <top style="thin">
        <color rgb="FFA6A6A6"/>
      </top>
      <bottom style="thin">
        <color rgb="FFA6A6A6"/>
      </bottom>
      <diagonal/>
    </border>
    <border>
      <left/>
      <right/>
      <top/>
      <bottom style="thin">
        <color rgb="FF000000"/>
      </bottom>
      <diagonal/>
    </border>
    <border>
      <left/>
      <right/>
      <top style="thin">
        <color rgb="FF000000"/>
      </top>
      <bottom style="medium">
        <color rgb="FF000000"/>
      </bottom>
      <diagonal/>
    </border>
    <border>
      <left/>
      <right/>
      <top/>
      <bottom style="double">
        <color indexed="64"/>
      </bottom>
      <diagonal/>
    </border>
    <border>
      <left/>
      <right style="thin">
        <color indexed="64"/>
      </right>
      <top style="double">
        <color indexed="64"/>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double">
        <color rgb="FF000000"/>
      </bottom>
      <diagonal/>
    </border>
    <border>
      <left/>
      <right/>
      <top/>
      <bottom style="double">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theme="0" tint="-0.249977111117893"/>
      </left>
      <right/>
      <top style="thin">
        <color theme="0" tint="-0.249977111117893"/>
      </top>
      <bottom/>
      <diagonal/>
    </border>
    <border>
      <left style="medium">
        <color theme="3"/>
      </left>
      <right/>
      <top style="medium">
        <color theme="3"/>
      </top>
      <bottom/>
      <diagonal/>
    </border>
    <border>
      <left/>
      <right style="medium">
        <color theme="3"/>
      </right>
      <top style="medium">
        <color theme="3"/>
      </top>
      <bottom/>
      <diagonal/>
    </border>
    <border>
      <left style="medium">
        <color theme="3"/>
      </left>
      <right style="thin">
        <color theme="0" tint="-0.249977111117893"/>
      </right>
      <top style="thin">
        <color theme="0" tint="-0.249977111117893"/>
      </top>
      <bottom style="medium">
        <color theme="3"/>
      </bottom>
      <diagonal/>
    </border>
    <border>
      <left style="thin">
        <color theme="0" tint="-0.249977111117893"/>
      </left>
      <right style="thin">
        <color theme="0" tint="-0.249977111117893"/>
      </right>
      <top style="thin">
        <color theme="0" tint="-0.249977111117893"/>
      </top>
      <bottom style="medium">
        <color theme="3"/>
      </bottom>
      <diagonal/>
    </border>
    <border>
      <left style="thin">
        <color theme="0" tint="-0.249977111117893"/>
      </left>
      <right/>
      <top style="thin">
        <color theme="0" tint="-0.249977111117893"/>
      </top>
      <bottom style="medium">
        <color theme="3"/>
      </bottom>
      <diagonal/>
    </border>
    <border>
      <left/>
      <right style="thin">
        <color theme="0" tint="-0.249977111117893"/>
      </right>
      <top style="thin">
        <color theme="0" tint="-0.249977111117893"/>
      </top>
      <bottom style="medium">
        <color theme="3"/>
      </bottom>
      <diagonal/>
    </border>
    <border>
      <left style="thin">
        <color theme="0" tint="-0.249977111117893"/>
      </left>
      <right style="medium">
        <color theme="3"/>
      </right>
      <top style="thin">
        <color theme="0" tint="-0.249977111117893"/>
      </top>
      <bottom style="medium">
        <color theme="3"/>
      </bottom>
      <diagonal/>
    </border>
    <border>
      <left style="medium">
        <color theme="3"/>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medium">
        <color theme="3"/>
      </left>
      <right style="medium">
        <color rgb="FF1F497D"/>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style="medium">
        <color rgb="FF1F497D"/>
      </right>
      <top style="medium">
        <color theme="3"/>
      </top>
      <bottom style="medium">
        <color theme="3"/>
      </bottom>
      <diagonal/>
    </border>
    <border>
      <left style="medium">
        <color rgb="FF1F497D"/>
      </left>
      <right style="medium">
        <color theme="3"/>
      </right>
      <top style="medium">
        <color theme="3"/>
      </top>
      <bottom style="medium">
        <color theme="3"/>
      </bottom>
      <diagonal/>
    </border>
    <border>
      <left style="medium">
        <color theme="3"/>
      </left>
      <right style="medium">
        <color theme="3"/>
      </right>
      <top style="medium">
        <color theme="3"/>
      </top>
      <bottom/>
      <diagonal/>
    </border>
    <border>
      <left style="medium">
        <color theme="3"/>
      </left>
      <right style="medium">
        <color theme="3"/>
      </right>
      <top style="medium">
        <color theme="3"/>
      </top>
      <bottom style="thin">
        <color theme="3"/>
      </bottom>
      <diagonal/>
    </border>
    <border>
      <left style="medium">
        <color theme="3"/>
      </left>
      <right style="medium">
        <color theme="3"/>
      </right>
      <top style="thin">
        <color theme="3"/>
      </top>
      <bottom style="thin">
        <color theme="3"/>
      </bottom>
      <diagonal/>
    </border>
    <border>
      <left style="medium">
        <color theme="3"/>
      </left>
      <right style="medium">
        <color theme="3"/>
      </right>
      <top style="thin">
        <color theme="3"/>
      </top>
      <bottom style="medium">
        <color theme="3"/>
      </bottom>
      <diagonal/>
    </border>
    <border>
      <left/>
      <right style="medium">
        <color theme="3"/>
      </right>
      <top style="thin">
        <color theme="0" tint="-0.499984740745262"/>
      </top>
      <bottom/>
      <diagonal/>
    </border>
    <border>
      <left style="medium">
        <color theme="3"/>
      </left>
      <right/>
      <top style="medium">
        <color theme="3"/>
      </top>
      <bottom style="thin">
        <color theme="3"/>
      </bottom>
      <diagonal/>
    </border>
    <border>
      <left style="medium">
        <color theme="3"/>
      </left>
      <right/>
      <top style="thin">
        <color theme="3"/>
      </top>
      <bottom style="thin">
        <color theme="3"/>
      </bottom>
      <diagonal/>
    </border>
    <border>
      <left style="medium">
        <color theme="3"/>
      </left>
      <right/>
      <top style="thin">
        <color theme="3"/>
      </top>
      <bottom style="medium">
        <color theme="3"/>
      </bottom>
      <diagonal/>
    </border>
    <border>
      <left/>
      <right/>
      <top style="thin">
        <color theme="0" tint="-0.499984740745262"/>
      </top>
      <bottom/>
      <diagonal/>
    </border>
    <border>
      <left/>
      <right/>
      <top style="medium">
        <color theme="3"/>
      </top>
      <bottom style="thin">
        <color theme="3"/>
      </bottom>
      <diagonal/>
    </border>
    <border>
      <left/>
      <right/>
      <top style="thin">
        <color theme="3"/>
      </top>
      <bottom style="thin">
        <color theme="3"/>
      </bottom>
      <diagonal/>
    </border>
    <border>
      <left/>
      <right/>
      <top style="thin">
        <color theme="3"/>
      </top>
      <bottom style="medium">
        <color theme="3"/>
      </bottom>
      <diagonal/>
    </border>
    <border>
      <left style="medium">
        <color theme="3"/>
      </left>
      <right/>
      <top style="medium">
        <color theme="3"/>
      </top>
      <bottom style="medium">
        <color theme="3"/>
      </bottom>
      <diagonal/>
    </border>
    <border>
      <left/>
      <right style="medium">
        <color rgb="FF1F497D"/>
      </right>
      <top style="thin">
        <color theme="0" tint="-0.24994659260841701"/>
      </top>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diagonal/>
    </border>
    <border>
      <left/>
      <right/>
      <top style="thin">
        <color rgb="FF000000"/>
      </top>
      <bottom/>
      <diagonal/>
    </border>
    <border>
      <left style="thin">
        <color rgb="FF000000"/>
      </left>
      <right/>
      <top/>
      <bottom/>
      <diagonal/>
    </border>
    <border>
      <left style="thin">
        <color rgb="FF000000"/>
      </left>
      <right style="medium">
        <color rgb="FF000000"/>
      </right>
      <top style="medium">
        <color rgb="FF000000"/>
      </top>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thin">
        <color rgb="FF000000"/>
      </right>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thin">
        <color rgb="FF000000"/>
      </top>
      <bottom/>
      <diagonal/>
    </border>
    <border>
      <left style="medium">
        <color rgb="FF000000"/>
      </left>
      <right style="medium">
        <color rgb="FF000000"/>
      </right>
      <top/>
      <bottom style="medium">
        <color rgb="FF000000"/>
      </bottom>
      <diagonal/>
    </border>
    <border>
      <left style="medium">
        <color indexed="64"/>
      </left>
      <right/>
      <top/>
      <bottom style="medium">
        <color indexed="64"/>
      </bottom>
      <diagonal/>
    </border>
    <border>
      <left style="medium">
        <color theme="3"/>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medium">
        <color theme="3"/>
      </right>
      <top/>
      <bottom style="thin">
        <color theme="0" tint="-0.24994659260841701"/>
      </bottom>
      <diagonal/>
    </border>
    <border>
      <left style="thin">
        <color indexed="64"/>
      </left>
      <right style="medium">
        <color rgb="FF000000"/>
      </right>
      <top style="medium">
        <color rgb="FF000000"/>
      </top>
      <bottom style="thin">
        <color indexed="64"/>
      </bottom>
      <diagonal/>
    </border>
    <border>
      <left style="thin">
        <color indexed="64"/>
      </left>
      <right style="medium">
        <color rgb="FF000000"/>
      </right>
      <top style="thin">
        <color indexed="64"/>
      </top>
      <bottom style="thin">
        <color indexed="64"/>
      </bottom>
      <diagonal/>
    </border>
    <border>
      <left style="thin">
        <color indexed="64"/>
      </left>
      <right style="medium">
        <color rgb="FF000000"/>
      </right>
      <top style="thin">
        <color indexed="64"/>
      </top>
      <bottom style="medium">
        <color rgb="FF000000"/>
      </bottom>
      <diagonal/>
    </border>
    <border>
      <left/>
      <right style="thin">
        <color indexed="64"/>
      </right>
      <top style="medium">
        <color rgb="FF000000"/>
      </top>
      <bottom style="thin">
        <color indexed="64"/>
      </bottom>
      <diagonal/>
    </border>
    <border>
      <left/>
      <right style="thin">
        <color indexed="64"/>
      </right>
      <top style="thin">
        <color indexed="64"/>
      </top>
      <bottom style="medium">
        <color rgb="FF000000"/>
      </bottom>
      <diagonal/>
    </border>
    <border>
      <left style="medium">
        <color theme="1"/>
      </left>
      <right style="thin">
        <color theme="0" tint="-0.24994659260841701"/>
      </right>
      <top style="medium">
        <color theme="1"/>
      </top>
      <bottom style="thin">
        <color theme="0" tint="-0.24994659260841701"/>
      </bottom>
      <diagonal/>
    </border>
    <border>
      <left style="thin">
        <color theme="0" tint="-0.24994659260841701"/>
      </left>
      <right style="thin">
        <color theme="0" tint="-0.24994659260841701"/>
      </right>
      <top style="medium">
        <color theme="1"/>
      </top>
      <bottom style="thin">
        <color theme="0" tint="-0.24994659260841701"/>
      </bottom>
      <diagonal/>
    </border>
    <border>
      <left style="thin">
        <color theme="0" tint="-0.24994659260841701"/>
      </left>
      <right style="medium">
        <color theme="1"/>
      </right>
      <top style="medium">
        <color theme="1"/>
      </top>
      <bottom style="thin">
        <color theme="0" tint="-0.24994659260841701"/>
      </bottom>
      <diagonal/>
    </border>
    <border>
      <left style="medium">
        <color theme="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theme="1"/>
      </right>
      <top style="thin">
        <color theme="0" tint="-0.24994659260841701"/>
      </top>
      <bottom style="thin">
        <color theme="0" tint="-0.24994659260841701"/>
      </bottom>
      <diagonal/>
    </border>
    <border>
      <left style="medium">
        <color theme="1"/>
      </left>
      <right/>
      <top style="thin">
        <color theme="0" tint="-0.24994659260841701"/>
      </top>
      <bottom/>
      <diagonal/>
    </border>
    <border>
      <left style="thin">
        <color theme="0" tint="-0.24994659260841701"/>
      </left>
      <right style="medium">
        <color theme="1"/>
      </right>
      <top style="thin">
        <color theme="0" tint="-0.24994659260841701"/>
      </top>
      <bottom/>
      <diagonal/>
    </border>
    <border>
      <left style="medium">
        <color theme="1"/>
      </left>
      <right/>
      <top/>
      <bottom/>
      <diagonal/>
    </border>
    <border>
      <left style="thin">
        <color theme="0" tint="-0.24994659260841701"/>
      </left>
      <right style="medium">
        <color theme="1"/>
      </right>
      <top/>
      <bottom/>
      <diagonal/>
    </border>
    <border>
      <left style="medium">
        <color theme="1"/>
      </left>
      <right/>
      <top/>
      <bottom style="medium">
        <color theme="1"/>
      </bottom>
      <diagonal/>
    </border>
    <border>
      <left/>
      <right/>
      <top/>
      <bottom style="medium">
        <color theme="1"/>
      </bottom>
      <diagonal/>
    </border>
    <border>
      <left/>
      <right style="thin">
        <color theme="0" tint="-0.24994659260841701"/>
      </right>
      <top/>
      <bottom style="medium">
        <color theme="1"/>
      </bottom>
      <diagonal/>
    </border>
    <border>
      <left style="thin">
        <color theme="0" tint="-0.24994659260841701"/>
      </left>
      <right style="medium">
        <color theme="1"/>
      </right>
      <top/>
      <bottom style="medium">
        <color theme="1"/>
      </bottom>
      <diagonal/>
    </border>
    <border>
      <left/>
      <right style="medium">
        <color theme="1"/>
      </right>
      <top style="thin">
        <color theme="0" tint="-0.24994659260841701"/>
      </top>
      <bottom/>
      <diagonal/>
    </border>
    <border>
      <left/>
      <right style="medium">
        <color theme="1"/>
      </right>
      <top/>
      <bottom/>
      <diagonal/>
    </border>
    <border>
      <left style="medium">
        <color theme="1"/>
      </left>
      <right/>
      <top/>
      <bottom style="thin">
        <color theme="0" tint="-0.24994659260841701"/>
      </bottom>
      <diagonal/>
    </border>
    <border>
      <left/>
      <right style="medium">
        <color theme="1"/>
      </right>
      <top/>
      <bottom style="thin">
        <color theme="0" tint="-0.24994659260841701"/>
      </bottom>
      <diagonal/>
    </border>
    <border>
      <left style="thin">
        <color theme="0" tint="-0.24994659260841701"/>
      </left>
      <right/>
      <top/>
      <bottom style="medium">
        <color theme="1"/>
      </bottom>
      <diagonal/>
    </border>
    <border>
      <left/>
      <right style="medium">
        <color theme="1"/>
      </right>
      <top/>
      <bottom style="medium">
        <color theme="1"/>
      </bottom>
      <diagonal/>
    </border>
    <border>
      <left/>
      <right style="thin">
        <color theme="0" tint="-0.24994659260841701"/>
      </right>
      <top style="medium">
        <color theme="1"/>
      </top>
      <bottom style="thin">
        <color theme="0" tint="-0.24994659260841701"/>
      </bottom>
      <diagonal/>
    </border>
    <border>
      <left style="medium">
        <color rgb="FF1F497D"/>
      </left>
      <right/>
      <top style="thin">
        <color theme="0" tint="-0.24994659260841701"/>
      </top>
      <bottom/>
      <diagonal/>
    </border>
    <border>
      <left/>
      <right style="medium">
        <color rgb="FF1F497D"/>
      </right>
      <top style="medium">
        <color theme="3"/>
      </top>
      <bottom style="medium">
        <color theme="3"/>
      </bottom>
      <diagonal/>
    </border>
    <border>
      <left style="medium">
        <color theme="3"/>
      </left>
      <right style="medium">
        <color theme="3"/>
      </right>
      <top style="medium">
        <color theme="3"/>
      </top>
      <bottom style="medium">
        <color theme="1" tint="0.24994659260841701"/>
      </bottom>
      <diagonal/>
    </border>
    <border>
      <left style="medium">
        <color theme="3"/>
      </left>
      <right style="medium">
        <color theme="3"/>
      </right>
      <top style="medium">
        <color theme="1" tint="0.24994659260841701"/>
      </top>
      <bottom style="medium">
        <color theme="1" tint="0.24994659260841701"/>
      </bottom>
      <diagonal/>
    </border>
    <border>
      <left style="medium">
        <color theme="3"/>
      </left>
      <right style="medium">
        <color theme="3"/>
      </right>
      <top/>
      <bottom style="medium">
        <color theme="0" tint="-0.24994659260841701"/>
      </bottom>
      <diagonal/>
    </border>
    <border>
      <left style="medium">
        <color theme="3"/>
      </left>
      <right style="medium">
        <color theme="3"/>
      </right>
      <top/>
      <bottom style="medium">
        <color theme="3"/>
      </bottom>
      <diagonal/>
    </border>
    <border>
      <left/>
      <right style="thin">
        <color indexed="64"/>
      </right>
      <top/>
      <bottom style="thin">
        <color rgb="FF000000"/>
      </bottom>
      <diagonal/>
    </border>
    <border>
      <left style="medium">
        <color rgb="FF000000"/>
      </left>
      <right style="medium">
        <color rgb="FF000000"/>
      </right>
      <top style="medium">
        <color rgb="FF000000"/>
      </top>
      <bottom style="medium">
        <color rgb="FF000000"/>
      </bottom>
      <diagonal/>
    </border>
  </borders>
  <cellStyleXfs count="34">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83"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78" fontId="22" fillId="0" borderId="0" applyFont="0" applyFill="0" applyBorder="0" applyAlignment="0" applyProtection="0"/>
    <xf numFmtId="178"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cellStyleXfs>
  <cellXfs count="1363">
    <xf numFmtId="0" fontId="0" fillId="0" borderId="0" xfId="0"/>
    <xf numFmtId="9" fontId="0" fillId="0" borderId="0" xfId="16" applyFont="1" applyAlignment="1">
      <alignment horizontal="center"/>
    </xf>
    <xf numFmtId="0" fontId="0" fillId="0" borderId="0" xfId="0" applyAlignment="1">
      <alignment horizontal="center"/>
    </xf>
    <xf numFmtId="180" fontId="0" fillId="0" borderId="0" xfId="0" applyNumberFormat="1"/>
    <xf numFmtId="10" fontId="0" fillId="0" borderId="0" xfId="0" applyNumberFormat="1" applyAlignment="1">
      <alignment horizontal="center"/>
    </xf>
    <xf numFmtId="181"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80" fontId="13" fillId="0" borderId="0" xfId="0" applyNumberFormat="1" applyFont="1" applyAlignment="1">
      <alignment horizontal="center"/>
    </xf>
    <xf numFmtId="9" fontId="13" fillId="0" borderId="0" xfId="16" applyFont="1"/>
    <xf numFmtId="9" fontId="8" fillId="8" borderId="19" xfId="16" applyFont="1" applyFill="1" applyBorder="1" applyAlignment="1">
      <alignment horizontal="center"/>
    </xf>
    <xf numFmtId="10" fontId="8" fillId="8" borderId="19" xfId="0" applyNumberFormat="1" applyFont="1" applyFill="1" applyBorder="1" applyAlignment="1">
      <alignment horizont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83" fontId="35" fillId="0" borderId="0" xfId="0" applyNumberFormat="1" applyFont="1" applyAlignment="1">
      <alignment horizontal="center"/>
    </xf>
    <xf numFmtId="0" fontId="38" fillId="0" borderId="0" xfId="0" applyFont="1"/>
    <xf numFmtId="0" fontId="39" fillId="0" borderId="0" xfId="0" applyFont="1"/>
    <xf numFmtId="0" fontId="40" fillId="0" borderId="0" xfId="0" applyFont="1" applyAlignment="1">
      <alignment horizontal="center"/>
    </xf>
    <xf numFmtId="182"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3" fontId="38" fillId="0" borderId="0" xfId="0" applyNumberFormat="1" applyFont="1"/>
    <xf numFmtId="3" fontId="0" fillId="25" borderId="1" xfId="0" applyNumberFormat="1" applyFill="1" applyBorder="1" applyAlignment="1">
      <alignment horizontal="center"/>
    </xf>
    <xf numFmtId="181" fontId="13" fillId="26" borderId="1"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44"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82" fontId="0" fillId="0" borderId="0" xfId="0" applyNumberFormat="1" applyAlignment="1">
      <alignment horizontal="center"/>
    </xf>
    <xf numFmtId="0" fontId="35" fillId="19" borderId="0" xfId="0" applyFont="1" applyFill="1" applyAlignment="1">
      <alignment horizontal="center"/>
    </xf>
    <xf numFmtId="181" fontId="35" fillId="19" borderId="0" xfId="0" applyNumberFormat="1" applyFont="1" applyFill="1" applyAlignment="1">
      <alignment horizontal="center"/>
    </xf>
    <xf numFmtId="9" fontId="35" fillId="0" borderId="0" xfId="16" applyFont="1" applyFill="1" applyAlignment="1">
      <alignment horizontal="center"/>
    </xf>
    <xf numFmtId="181" fontId="35" fillId="0" borderId="0" xfId="16" applyNumberFormat="1" applyFont="1" applyFill="1" applyAlignment="1">
      <alignment horizontal="center"/>
    </xf>
    <xf numFmtId="9" fontId="35" fillId="0" borderId="0" xfId="22" applyFont="1" applyFill="1" applyAlignment="1">
      <alignment horizontal="center"/>
    </xf>
    <xf numFmtId="0" fontId="13" fillId="0" borderId="37"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3" xfId="0" applyFont="1" applyBorder="1"/>
    <xf numFmtId="0" fontId="13" fillId="0" borderId="1" xfId="0" applyFont="1" applyBorder="1"/>
    <xf numFmtId="0" fontId="13" fillId="0" borderId="44" xfId="0" applyFont="1" applyBorder="1"/>
    <xf numFmtId="0" fontId="35" fillId="19" borderId="0" xfId="0" applyFont="1" applyFill="1" applyAlignment="1">
      <alignment horizontal="left" indent="1"/>
    </xf>
    <xf numFmtId="183"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1" xfId="16" applyFont="1" applyFill="1" applyBorder="1" applyAlignment="1">
      <alignment horizontal="center"/>
    </xf>
    <xf numFmtId="9" fontId="8" fillId="8" borderId="51" xfId="16" applyFont="1" applyFill="1" applyBorder="1" applyAlignment="1">
      <alignment horizontal="center"/>
    </xf>
    <xf numFmtId="0" fontId="13" fillId="0" borderId="51" xfId="0" applyFont="1" applyBorder="1" applyAlignment="1">
      <alignment horizontal="center"/>
    </xf>
    <xf numFmtId="181" fontId="33" fillId="24" borderId="51" xfId="16" applyNumberFormat="1" applyFont="1" applyFill="1" applyBorder="1" applyAlignment="1">
      <alignment horizontal="center"/>
    </xf>
    <xf numFmtId="0" fontId="27" fillId="32" borderId="19" xfId="0" applyFont="1" applyFill="1" applyBorder="1" applyAlignment="1">
      <alignment horizontal="center" vertical="center" wrapText="1"/>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3" fontId="8" fillId="0" borderId="0" xfId="0" applyNumberFormat="1" applyFont="1"/>
    <xf numFmtId="0" fontId="8" fillId="17" borderId="43" xfId="0" applyFont="1" applyFill="1" applyBorder="1"/>
    <xf numFmtId="0" fontId="8" fillId="0" borderId="43" xfId="0" applyFont="1" applyBorder="1" applyAlignment="1">
      <alignment horizontal="left" indent="1"/>
    </xf>
    <xf numFmtId="0" fontId="8" fillId="0" borderId="43" xfId="0" applyFont="1" applyBorder="1" applyAlignment="1">
      <alignment horizontal="left"/>
    </xf>
    <xf numFmtId="0" fontId="8" fillId="17" borderId="43" xfId="0" applyFont="1" applyFill="1" applyBorder="1" applyAlignment="1">
      <alignment horizontal="left" indent="1"/>
    </xf>
    <xf numFmtId="0" fontId="13" fillId="0" borderId="43" xfId="0" applyFont="1" applyBorder="1" applyAlignment="1">
      <alignment horizontal="left"/>
    </xf>
    <xf numFmtId="0" fontId="13" fillId="17" borderId="43" xfId="0" applyFont="1" applyFill="1" applyBorder="1"/>
    <xf numFmtId="0" fontId="8" fillId="0" borderId="43" xfId="0" applyFont="1" applyBorder="1"/>
    <xf numFmtId="9" fontId="8" fillId="24" borderId="19" xfId="16" applyFont="1" applyFill="1" applyBorder="1" applyAlignment="1">
      <alignment horizontal="center"/>
    </xf>
    <xf numFmtId="180"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1" xfId="16" applyFont="1" applyFill="1" applyBorder="1" applyAlignment="1">
      <alignment horizontal="center"/>
    </xf>
    <xf numFmtId="0" fontId="8" fillId="7" borderId="19" xfId="0" applyFont="1" applyFill="1" applyBorder="1"/>
    <xf numFmtId="9" fontId="8" fillId="7" borderId="19" xfId="16" applyFont="1" applyFill="1" applyBorder="1" applyAlignment="1">
      <alignment horizontal="center"/>
    </xf>
    <xf numFmtId="181" fontId="8" fillId="7" borderId="19" xfId="16" applyNumberFormat="1" applyFont="1" applyFill="1" applyBorder="1" applyAlignment="1">
      <alignment horizontal="center"/>
    </xf>
    <xf numFmtId="0" fontId="0" fillId="0" borderId="49" xfId="0" applyBorder="1"/>
    <xf numFmtId="0" fontId="0" fillId="0" borderId="69" xfId="0" applyBorder="1"/>
    <xf numFmtId="0" fontId="13" fillId="0" borderId="80" xfId="0" applyFont="1" applyBorder="1" applyAlignment="1">
      <alignment horizontal="left"/>
    </xf>
    <xf numFmtId="9" fontId="0" fillId="0" borderId="80" xfId="16" applyFont="1" applyBorder="1"/>
    <xf numFmtId="9" fontId="0" fillId="0" borderId="81" xfId="16" applyFont="1" applyBorder="1"/>
    <xf numFmtId="9" fontId="0" fillId="0" borderId="65" xfId="0" applyNumberFormat="1" applyBorder="1"/>
    <xf numFmtId="180" fontId="0" fillId="0" borderId="78" xfId="0" applyNumberFormat="1" applyBorder="1" applyAlignment="1">
      <alignment horizontal="center"/>
    </xf>
    <xf numFmtId="180" fontId="0" fillId="0" borderId="79" xfId="0" applyNumberFormat="1" applyBorder="1" applyAlignment="1">
      <alignment horizontal="center"/>
    </xf>
    <xf numFmtId="0" fontId="0" fillId="33" borderId="82" xfId="0" applyFill="1" applyBorder="1"/>
    <xf numFmtId="0" fontId="0" fillId="33" borderId="83" xfId="0" applyFill="1" applyBorder="1"/>
    <xf numFmtId="10" fontId="0" fillId="33" borderId="83" xfId="0" applyNumberFormat="1" applyFill="1" applyBorder="1"/>
    <xf numFmtId="9" fontId="0" fillId="0" borderId="84" xfId="16" applyFont="1" applyBorder="1"/>
    <xf numFmtId="0" fontId="13" fillId="0" borderId="84" xfId="0" applyFont="1" applyBorder="1"/>
    <xf numFmtId="0" fontId="13" fillId="14" borderId="64" xfId="0" applyFont="1" applyFill="1" applyBorder="1" applyAlignment="1">
      <alignment horizontal="center"/>
    </xf>
    <xf numFmtId="9" fontId="13" fillId="14" borderId="64" xfId="16" applyFont="1" applyFill="1" applyBorder="1" applyAlignment="1">
      <alignment horizontal="center"/>
    </xf>
    <xf numFmtId="0" fontId="13" fillId="0" borderId="64" xfId="0" applyFont="1" applyBorder="1" applyAlignment="1">
      <alignment horizontal="center"/>
    </xf>
    <xf numFmtId="180" fontId="0" fillId="0" borderId="85" xfId="0" applyNumberFormat="1" applyBorder="1" applyAlignment="1">
      <alignment horizontal="center"/>
    </xf>
    <xf numFmtId="0" fontId="13" fillId="0" borderId="86" xfId="0" applyFont="1" applyBorder="1"/>
    <xf numFmtId="0" fontId="0" fillId="0" borderId="50" xfId="0" applyBorder="1"/>
    <xf numFmtId="0" fontId="0" fillId="0" borderId="74" xfId="0" applyBorder="1"/>
    <xf numFmtId="0" fontId="0" fillId="0" borderId="75" xfId="0" applyBorder="1"/>
    <xf numFmtId="9" fontId="0" fillId="0" borderId="0" xfId="0" applyNumberFormat="1"/>
    <xf numFmtId="0" fontId="0" fillId="33" borderId="71" xfId="0" applyFill="1" applyBorder="1"/>
    <xf numFmtId="0" fontId="0" fillId="33" borderId="73" xfId="0" applyFill="1" applyBorder="1"/>
    <xf numFmtId="0" fontId="0" fillId="31" borderId="72" xfId="0" applyFill="1" applyBorder="1"/>
    <xf numFmtId="0" fontId="27" fillId="31" borderId="72" xfId="0" applyFont="1" applyFill="1" applyBorder="1" applyAlignment="1">
      <alignment horizontal="left"/>
    </xf>
    <xf numFmtId="184" fontId="27" fillId="31" borderId="73" xfId="0" applyNumberFormat="1" applyFont="1" applyFill="1" applyBorder="1" applyAlignment="1">
      <alignment horizontal="center" vertical="center"/>
    </xf>
    <xf numFmtId="0" fontId="0" fillId="32" borderId="99" xfId="0" applyFill="1" applyBorder="1"/>
    <xf numFmtId="0" fontId="13" fillId="0" borderId="92" xfId="0" applyFont="1" applyBorder="1" applyAlignment="1">
      <alignment horizontal="left" vertical="center"/>
    </xf>
    <xf numFmtId="0" fontId="46" fillId="5" borderId="71" xfId="0" applyFont="1" applyFill="1" applyBorder="1" applyAlignment="1">
      <alignment horizontal="left" vertical="center"/>
    </xf>
    <xf numFmtId="0" fontId="46" fillId="31" borderId="71" xfId="0" applyFont="1" applyFill="1" applyBorder="1" applyAlignment="1">
      <alignment horizontal="left" vertical="center"/>
    </xf>
    <xf numFmtId="0" fontId="13" fillId="8" borderId="92" xfId="0" applyFont="1" applyFill="1" applyBorder="1" applyAlignment="1">
      <alignment horizontal="left" vertical="center"/>
    </xf>
    <xf numFmtId="0" fontId="13" fillId="8" borderId="94" xfId="0" applyFont="1" applyFill="1" applyBorder="1" applyAlignment="1">
      <alignment horizontal="left" vertical="center"/>
    </xf>
    <xf numFmtId="0" fontId="0" fillId="31" borderId="72" xfId="0" applyFill="1" applyBorder="1" applyAlignment="1">
      <alignment horizontal="center"/>
    </xf>
    <xf numFmtId="0" fontId="8" fillId="0" borderId="66" xfId="0" applyFont="1" applyBorder="1"/>
    <xf numFmtId="0" fontId="49" fillId="5" borderId="63" xfId="0" applyFont="1" applyFill="1" applyBorder="1" applyAlignment="1">
      <alignment horizontal="center"/>
    </xf>
    <xf numFmtId="0" fontId="49" fillId="5" borderId="63" xfId="0" applyFont="1" applyFill="1" applyBorder="1"/>
    <xf numFmtId="0" fontId="0" fillId="0" borderId="63" xfId="0" applyBorder="1"/>
    <xf numFmtId="0" fontId="29" fillId="0" borderId="10" xfId="26" applyFont="1" applyBorder="1" applyAlignment="1">
      <alignment horizontal="center"/>
    </xf>
    <xf numFmtId="0" fontId="29" fillId="0" borderId="16" xfId="26" applyFont="1" applyBorder="1" applyAlignment="1">
      <alignment horizontal="center"/>
    </xf>
    <xf numFmtId="0" fontId="29" fillId="0" borderId="10" xfId="26" applyFont="1" applyBorder="1" applyAlignment="1">
      <alignment horizontal="center" vertical="center"/>
    </xf>
    <xf numFmtId="0" fontId="29" fillId="0" borderId="16" xfId="26" applyFont="1" applyBorder="1" applyAlignment="1">
      <alignment horizontal="center" vertical="center"/>
    </xf>
    <xf numFmtId="0" fontId="29" fillId="0" borderId="14" xfId="26" applyFont="1" applyBorder="1" applyAlignment="1">
      <alignment horizontal="center"/>
    </xf>
    <xf numFmtId="0" fontId="29" fillId="0" borderId="17" xfId="26" applyFont="1" applyBorder="1" applyAlignment="1">
      <alignment horizontal="center"/>
    </xf>
    <xf numFmtId="0" fontId="50" fillId="5" borderId="103" xfId="4" applyFont="1" applyFill="1" applyBorder="1" applyAlignment="1">
      <alignment horizontal="center" vertical="center"/>
    </xf>
    <xf numFmtId="0" fontId="50" fillId="5" borderId="103" xfId="3" applyFont="1" applyFill="1" applyBorder="1" applyAlignment="1">
      <alignment horizontal="center" vertical="center" wrapText="1"/>
    </xf>
    <xf numFmtId="0" fontId="50" fillId="5" borderId="103" xfId="3" applyFont="1" applyFill="1" applyBorder="1" applyAlignment="1">
      <alignment horizontal="center" vertical="center"/>
    </xf>
    <xf numFmtId="0" fontId="8" fillId="3" borderId="103" xfId="10" applyFont="1" applyBorder="1" applyAlignment="1">
      <alignment horizontal="center" vertical="center"/>
    </xf>
    <xf numFmtId="183" fontId="8" fillId="8" borderId="103" xfId="6" applyFont="1" applyFill="1" applyBorder="1" applyAlignment="1">
      <alignment horizontal="right" vertical="center" wrapText="1"/>
    </xf>
    <xf numFmtId="0" fontId="29" fillId="3" borderId="103" xfId="10" applyFont="1" applyBorder="1" applyAlignment="1">
      <alignment vertical="center"/>
    </xf>
    <xf numFmtId="183" fontId="8" fillId="3" borderId="103" xfId="6" applyFont="1" applyBorder="1" applyAlignment="1">
      <alignment horizontal="right" vertical="center" wrapText="1"/>
    </xf>
    <xf numFmtId="0" fontId="29" fillId="3" borderId="103" xfId="10" applyFont="1" applyBorder="1" applyAlignment="1">
      <alignment horizontal="center" vertical="center"/>
    </xf>
    <xf numFmtId="3" fontId="13" fillId="34" borderId="105"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03" xfId="9" applyFont="1" applyFill="1" applyBorder="1" applyAlignment="1">
      <alignment horizontal="center" vertical="center"/>
    </xf>
    <xf numFmtId="3" fontId="51" fillId="34" borderId="104" xfId="5" applyFont="1" applyFill="1" applyBorder="1" applyAlignment="1">
      <alignment horizontal="right" vertical="center"/>
    </xf>
    <xf numFmtId="3" fontId="51" fillId="34" borderId="105" xfId="5" applyFont="1" applyFill="1" applyBorder="1" applyAlignment="1">
      <alignment horizontal="right" vertical="center"/>
    </xf>
    <xf numFmtId="3" fontId="51" fillId="34" borderId="106" xfId="5" applyFont="1" applyFill="1" applyBorder="1" applyAlignment="1">
      <alignment horizontal="right" vertical="center"/>
    </xf>
    <xf numFmtId="183" fontId="8" fillId="3" borderId="103" xfId="6" applyFont="1" applyBorder="1" applyAlignment="1">
      <alignment horizontal="center" vertical="center"/>
    </xf>
    <xf numFmtId="4" fontId="32" fillId="0" borderId="103" xfId="7" applyFont="1" applyFill="1" applyBorder="1" applyAlignment="1">
      <alignment horizontal="right" vertical="center"/>
    </xf>
    <xf numFmtId="0" fontId="0" fillId="34" borderId="105" xfId="0" applyFill="1" applyBorder="1" applyAlignment="1">
      <alignment horizontal="center" vertical="center"/>
    </xf>
    <xf numFmtId="4" fontId="8" fillId="34" borderId="105" xfId="7" applyFont="1" applyFill="1" applyBorder="1" applyAlignment="1">
      <alignment horizontal="right" vertical="center"/>
    </xf>
    <xf numFmtId="3" fontId="13" fillId="34" borderId="106" xfId="5" applyFont="1" applyFill="1" applyBorder="1" applyAlignment="1">
      <alignment horizontal="right" vertical="center" wrapText="1"/>
    </xf>
    <xf numFmtId="4" fontId="8" fillId="8" borderId="103" xfId="7" applyFont="1" applyFill="1" applyBorder="1" applyAlignment="1">
      <alignment horizontal="right" vertical="center" wrapText="1"/>
    </xf>
    <xf numFmtId="4" fontId="8" fillId="3" borderId="103" xfId="7" applyFont="1" applyBorder="1" applyAlignment="1">
      <alignment horizontal="center" vertical="center"/>
    </xf>
    <xf numFmtId="4" fontId="8" fillId="3" borderId="103" xfId="7" applyFont="1" applyBorder="1" applyAlignment="1">
      <alignment horizontal="right" vertical="center" wrapText="1"/>
    </xf>
    <xf numFmtId="0" fontId="8" fillId="0" borderId="103" xfId="10" applyFont="1" applyFill="1" applyBorder="1" applyAlignment="1">
      <alignment horizontal="center" vertical="center"/>
    </xf>
    <xf numFmtId="3" fontId="13" fillId="34" borderId="104" xfId="5" applyFont="1" applyFill="1" applyBorder="1" applyAlignment="1">
      <alignment horizontal="right" vertical="center"/>
    </xf>
    <xf numFmtId="4" fontId="8" fillId="6" borderId="103" xfId="7" applyFont="1" applyFill="1" applyBorder="1" applyAlignment="1">
      <alignment horizontal="right" vertical="center"/>
    </xf>
    <xf numFmtId="4" fontId="8" fillId="6" borderId="103" xfId="7" applyFont="1" applyFill="1" applyBorder="1" applyAlignment="1">
      <alignment horizontal="center" vertical="center"/>
    </xf>
    <xf numFmtId="4" fontId="8" fillId="0" borderId="103" xfId="7" applyFont="1" applyFill="1" applyBorder="1" applyAlignment="1">
      <alignment horizontal="right" vertical="center" wrapText="1"/>
    </xf>
    <xf numFmtId="4" fontId="8" fillId="0" borderId="103" xfId="7" applyFont="1" applyFill="1" applyBorder="1" applyAlignment="1">
      <alignment horizontal="center" vertical="center"/>
    </xf>
    <xf numFmtId="0" fontId="50" fillId="32" borderId="103" xfId="3" applyFont="1" applyFill="1" applyBorder="1" applyAlignment="1">
      <alignment horizontal="center" vertical="center" wrapText="1"/>
    </xf>
    <xf numFmtId="0" fontId="8" fillId="0" borderId="103" xfId="26" applyBorder="1"/>
    <xf numFmtId="0" fontId="8" fillId="0" borderId="103" xfId="26" applyBorder="1" applyAlignment="1">
      <alignment vertical="center"/>
    </xf>
    <xf numFmtId="0" fontId="35" fillId="12" borderId="103" xfId="26" applyFont="1" applyFill="1" applyBorder="1" applyAlignment="1">
      <alignment horizontal="center" vertical="center"/>
    </xf>
    <xf numFmtId="0" fontId="53" fillId="0" borderId="0" xfId="0" applyFont="1"/>
    <xf numFmtId="0" fontId="55"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5" fillId="0" borderId="38" xfId="0" applyFont="1" applyBorder="1" applyAlignment="1">
      <alignment horizontal="center"/>
    </xf>
    <xf numFmtId="0" fontId="55" fillId="0" borderId="36" xfId="0" applyFont="1" applyBorder="1" applyAlignment="1">
      <alignment horizontal="center"/>
    </xf>
    <xf numFmtId="0" fontId="55" fillId="0" borderId="32" xfId="0" applyFont="1" applyBorder="1"/>
    <xf numFmtId="0" fontId="55" fillId="0" borderId="108" xfId="0" applyFont="1" applyBorder="1" applyAlignment="1">
      <alignment horizontal="center" vertical="center"/>
    </xf>
    <xf numFmtId="0" fontId="55" fillId="0" borderId="111" xfId="0" applyFont="1" applyBorder="1" applyAlignment="1">
      <alignment horizontal="center" vertical="center"/>
    </xf>
    <xf numFmtId="0" fontId="8" fillId="0" borderId="32" xfId="0" applyFont="1" applyBorder="1"/>
    <xf numFmtId="0" fontId="13" fillId="12" borderId="112" xfId="0" applyFont="1" applyFill="1" applyBorder="1" applyAlignment="1">
      <alignment horizontal="center"/>
    </xf>
    <xf numFmtId="0" fontId="55" fillId="12" borderId="112" xfId="0" applyFont="1" applyFill="1" applyBorder="1"/>
    <xf numFmtId="0" fontId="55" fillId="12" borderId="118" xfId="0" applyFont="1" applyFill="1" applyBorder="1"/>
    <xf numFmtId="0" fontId="53" fillId="12" borderId="118" xfId="0" applyFont="1" applyFill="1" applyBorder="1"/>
    <xf numFmtId="10" fontId="0" fillId="0" borderId="115" xfId="0" applyNumberFormat="1" applyBorder="1" applyAlignment="1">
      <alignment horizontal="center" vertical="center"/>
    </xf>
    <xf numFmtId="10" fontId="0" fillId="0" borderId="119" xfId="0" applyNumberFormat="1" applyBorder="1" applyAlignment="1">
      <alignment horizontal="center" vertical="center"/>
    </xf>
    <xf numFmtId="10" fontId="0" fillId="0" borderId="120" xfId="0" applyNumberFormat="1" applyBorder="1" applyAlignment="1">
      <alignment horizontal="center" vertical="center"/>
    </xf>
    <xf numFmtId="10" fontId="0" fillId="0" borderId="121" xfId="0" applyNumberFormat="1" applyBorder="1" applyAlignment="1">
      <alignment horizontal="center" vertical="center"/>
    </xf>
    <xf numFmtId="0" fontId="55" fillId="0" borderId="122" xfId="0" applyFont="1" applyBorder="1" applyAlignment="1">
      <alignment horizontal="center" vertical="center"/>
    </xf>
    <xf numFmtId="0" fontId="55" fillId="0" borderId="123" xfId="0" applyFont="1" applyBorder="1" applyAlignment="1">
      <alignment horizontal="center" vertical="center"/>
    </xf>
    <xf numFmtId="0" fontId="27" fillId="5" borderId="8" xfId="26" applyFont="1" applyFill="1" applyBorder="1" applyAlignment="1">
      <alignment horizontal="center"/>
    </xf>
    <xf numFmtId="0" fontId="53" fillId="8" borderId="0" xfId="0" applyFont="1" applyFill="1"/>
    <xf numFmtId="0" fontId="8" fillId="37" borderId="32" xfId="0" applyFont="1" applyFill="1" applyBorder="1"/>
    <xf numFmtId="0" fontId="55" fillId="0" borderId="128" xfId="0" applyFont="1" applyBorder="1" applyAlignment="1">
      <alignment horizontal="center"/>
    </xf>
    <xf numFmtId="0" fontId="53" fillId="12" borderId="129" xfId="0" applyFont="1" applyFill="1" applyBorder="1" applyAlignment="1">
      <alignment horizontal="center"/>
    </xf>
    <xf numFmtId="0" fontId="8" fillId="39" borderId="129" xfId="0" applyFont="1" applyFill="1" applyBorder="1"/>
    <xf numFmtId="0" fontId="55" fillId="0" borderId="130" xfId="0" applyFont="1" applyBorder="1" applyAlignment="1">
      <alignment horizontal="center"/>
    </xf>
    <xf numFmtId="0" fontId="56" fillId="0" borderId="131" xfId="0" applyFont="1" applyBorder="1" applyAlignment="1">
      <alignment horizontal="center"/>
    </xf>
    <xf numFmtId="0" fontId="13" fillId="0" borderId="132" xfId="0" applyFont="1" applyBorder="1" applyAlignment="1">
      <alignment horizontal="center"/>
    </xf>
    <xf numFmtId="0" fontId="13" fillId="0" borderId="134" xfId="0" applyFont="1" applyBorder="1" applyAlignment="1">
      <alignment horizontal="center"/>
    </xf>
    <xf numFmtId="0" fontId="8" fillId="39" borderId="0" xfId="0" applyFont="1" applyFill="1"/>
    <xf numFmtId="0" fontId="13" fillId="41" borderId="32" xfId="0" quotePrefix="1" applyFont="1" applyFill="1" applyBorder="1"/>
    <xf numFmtId="0" fontId="13" fillId="41" borderId="0" xfId="0" quotePrefix="1" applyFont="1" applyFill="1"/>
    <xf numFmtId="0" fontId="13" fillId="37" borderId="32" xfId="0" applyFont="1" applyFill="1" applyBorder="1"/>
    <xf numFmtId="0" fontId="8" fillId="0" borderId="143" xfId="0" applyFont="1" applyBorder="1"/>
    <xf numFmtId="0" fontId="13" fillId="0" borderId="144" xfId="0" applyFont="1" applyBorder="1" applyAlignment="1">
      <alignment horizontal="center"/>
    </xf>
    <xf numFmtId="0" fontId="13" fillId="0" borderId="40" xfId="0" applyFont="1" applyBorder="1" applyAlignment="1">
      <alignment horizontal="center"/>
    </xf>
    <xf numFmtId="0" fontId="13" fillId="0" borderId="145" xfId="0" applyFont="1" applyBorder="1" applyAlignment="1">
      <alignment horizontal="center"/>
    </xf>
    <xf numFmtId="0" fontId="13" fillId="0" borderId="137" xfId="0" applyFont="1" applyBorder="1" applyAlignment="1">
      <alignment horizontal="center"/>
    </xf>
    <xf numFmtId="0" fontId="8" fillId="39" borderId="113" xfId="0" applyFont="1" applyFill="1" applyBorder="1"/>
    <xf numFmtId="14" fontId="13" fillId="0" borderId="21" xfId="0" applyNumberFormat="1" applyFont="1" applyBorder="1" applyAlignment="1">
      <alignment horizontal="center" vertical="center"/>
    </xf>
    <xf numFmtId="0" fontId="8" fillId="0" borderId="56" xfId="0" applyFont="1" applyBorder="1" applyAlignment="1">
      <alignment horizontal="center" vertical="center"/>
    </xf>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9" fontId="38" fillId="0" borderId="0" xfId="16" applyFont="1"/>
    <xf numFmtId="9" fontId="0" fillId="0" borderId="85" xfId="0" applyNumberFormat="1" applyBorder="1" applyAlignment="1">
      <alignment horizontal="center"/>
    </xf>
    <xf numFmtId="9" fontId="13" fillId="0" borderId="72" xfId="0" applyNumberFormat="1" applyFont="1" applyBorder="1" applyAlignment="1">
      <alignment horizontal="center"/>
    </xf>
    <xf numFmtId="3" fontId="0" fillId="0" borderId="0" xfId="0" applyNumberFormat="1"/>
    <xf numFmtId="10" fontId="0" fillId="0" borderId="0" xfId="0" applyNumberFormat="1"/>
    <xf numFmtId="4" fontId="32" fillId="12" borderId="103"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28" borderId="103" xfId="7" applyFont="1" applyFill="1" applyBorder="1" applyAlignment="1">
      <alignment horizontal="right" vertical="center"/>
    </xf>
    <xf numFmtId="4" fontId="25" fillId="28" borderId="103" xfId="7" applyFont="1" applyFill="1" applyBorder="1" applyAlignment="1">
      <alignment horizontal="right" vertical="center"/>
    </xf>
    <xf numFmtId="1" fontId="53" fillId="40" borderId="38" xfId="0" applyNumberFormat="1" applyFont="1" applyFill="1" applyBorder="1" applyAlignment="1">
      <alignment horizontal="center" vertical="center"/>
    </xf>
    <xf numFmtId="0" fontId="26" fillId="0" borderId="0" xfId="0" applyFont="1" applyAlignment="1">
      <alignment horizontal="center"/>
    </xf>
    <xf numFmtId="0" fontId="65" fillId="0" borderId="0" xfId="0" applyFont="1"/>
    <xf numFmtId="0" fontId="64" fillId="0" borderId="0" xfId="0" applyFont="1"/>
    <xf numFmtId="3" fontId="53" fillId="0" borderId="38" xfId="0" applyNumberFormat="1" applyFont="1" applyBorder="1" applyAlignment="1">
      <alignment horizontal="center" vertical="center"/>
    </xf>
    <xf numFmtId="0" fontId="53" fillId="0" borderId="38" xfId="0" applyFont="1" applyBorder="1" applyAlignment="1">
      <alignment horizontal="center" vertical="center"/>
    </xf>
    <xf numFmtId="1" fontId="53" fillId="40" borderId="45" xfId="0" applyNumberFormat="1" applyFont="1" applyFill="1" applyBorder="1" applyAlignment="1">
      <alignment horizontal="center" vertical="center"/>
    </xf>
    <xf numFmtId="1" fontId="53" fillId="40" borderId="139" xfId="0" applyNumberFormat="1" applyFont="1" applyFill="1" applyBorder="1" applyAlignment="1">
      <alignment horizontal="center" vertical="center"/>
    </xf>
    <xf numFmtId="1" fontId="53" fillId="40" borderId="140" xfId="0" applyNumberFormat="1" applyFont="1" applyFill="1" applyBorder="1" applyAlignment="1">
      <alignment horizontal="center" vertical="center"/>
    </xf>
    <xf numFmtId="1" fontId="53" fillId="40" borderId="141" xfId="0" applyNumberFormat="1" applyFont="1" applyFill="1" applyBorder="1" applyAlignment="1">
      <alignment horizontal="center" vertical="center"/>
    </xf>
    <xf numFmtId="1" fontId="53" fillId="40" borderId="156" xfId="0" applyNumberFormat="1" applyFont="1" applyFill="1" applyBorder="1" applyAlignment="1">
      <alignment horizontal="center" vertical="center"/>
    </xf>
    <xf numFmtId="1" fontId="53" fillId="40" borderId="43" xfId="0" applyNumberFormat="1" applyFont="1" applyFill="1" applyBorder="1" applyAlignment="1">
      <alignment horizontal="center" vertical="center"/>
    </xf>
    <xf numFmtId="1" fontId="53" fillId="40" borderId="157" xfId="0" applyNumberFormat="1" applyFont="1" applyFill="1" applyBorder="1" applyAlignment="1">
      <alignment horizontal="center" vertical="center"/>
    </xf>
    <xf numFmtId="1" fontId="53" fillId="40" borderId="132" xfId="0" applyNumberFormat="1" applyFont="1" applyFill="1" applyBorder="1" applyAlignment="1">
      <alignment horizontal="center" vertical="center"/>
    </xf>
    <xf numFmtId="1" fontId="53" fillId="40" borderId="133" xfId="0" applyNumberFormat="1" applyFont="1" applyFill="1" applyBorder="1" applyAlignment="1">
      <alignment horizontal="center" vertical="center"/>
    </xf>
    <xf numFmtId="1" fontId="53" fillId="40" borderId="134" xfId="0" applyNumberFormat="1" applyFont="1" applyFill="1" applyBorder="1" applyAlignment="1">
      <alignment horizontal="center" vertical="center"/>
    </xf>
    <xf numFmtId="1" fontId="53" fillId="40" borderId="135" xfId="0" applyNumberFormat="1" applyFont="1" applyFill="1" applyBorder="1" applyAlignment="1">
      <alignment horizontal="center" vertical="center"/>
    </xf>
    <xf numFmtId="1" fontId="53" fillId="40" borderId="136" xfId="0" applyNumberFormat="1" applyFont="1" applyFill="1" applyBorder="1" applyAlignment="1">
      <alignment horizontal="center" vertical="center"/>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6" fillId="19" borderId="0" xfId="21"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83"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4" fontId="35" fillId="19" borderId="0" xfId="21"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0" fontId="34" fillId="8" borderId="19" xfId="0" applyFont="1" applyFill="1" applyBorder="1" applyAlignment="1">
      <alignment horizontal="center" vertical="center" wrapText="1"/>
    </xf>
    <xf numFmtId="0" fontId="46" fillId="9" borderId="71" xfId="0" applyFont="1" applyFill="1" applyBorder="1" applyAlignment="1">
      <alignment horizontal="center" vertical="center" wrapText="1"/>
    </xf>
    <xf numFmtId="0" fontId="46" fillId="10" borderId="72" xfId="0" applyFont="1" applyFill="1" applyBorder="1" applyAlignment="1">
      <alignment horizontal="center" vertical="center" wrapText="1"/>
    </xf>
    <xf numFmtId="0" fontId="46" fillId="11" borderId="72" xfId="0" applyFont="1" applyFill="1" applyBorder="1" applyAlignment="1">
      <alignment horizontal="center" vertical="center" wrapText="1"/>
    </xf>
    <xf numFmtId="0" fontId="46" fillId="15" borderId="72" xfId="0" applyFont="1" applyFill="1" applyBorder="1" applyAlignment="1">
      <alignment horizontal="center" vertical="center" wrapText="1"/>
    </xf>
    <xf numFmtId="0" fontId="46" fillId="10" borderId="63" xfId="0" applyFont="1" applyFill="1" applyBorder="1" applyAlignment="1">
      <alignment horizontal="center" vertical="center" wrapText="1"/>
    </xf>
    <xf numFmtId="0" fontId="46" fillId="11" borderId="63" xfId="0" applyFont="1" applyFill="1" applyBorder="1" applyAlignment="1">
      <alignment horizontal="center" vertical="center" wrapText="1"/>
    </xf>
    <xf numFmtId="0" fontId="46" fillId="15" borderId="63" xfId="0" applyFont="1" applyFill="1" applyBorder="1" applyAlignment="1">
      <alignment horizontal="center" vertical="center" wrapText="1"/>
    </xf>
    <xf numFmtId="0" fontId="46" fillId="23" borderId="63" xfId="0" applyFont="1" applyFill="1" applyBorder="1" applyAlignment="1">
      <alignment horizontal="center" vertical="center" wrapText="1"/>
    </xf>
    <xf numFmtId="0" fontId="55"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3" xfId="0" applyNumberFormat="1" applyFont="1" applyBorder="1" applyAlignment="1">
      <alignment horizontal="center" vertical="center"/>
    </xf>
    <xf numFmtId="2" fontId="8" fillId="24" borderId="51" xfId="0" applyNumberFormat="1" applyFont="1" applyFill="1" applyBorder="1" applyAlignment="1">
      <alignment horizontal="center"/>
    </xf>
    <xf numFmtId="2" fontId="33" fillId="24" borderId="51" xfId="16" applyNumberFormat="1" applyFont="1" applyFill="1" applyBorder="1" applyAlignment="1">
      <alignment horizontal="center"/>
    </xf>
    <xf numFmtId="0" fontId="8" fillId="7" borderId="158" xfId="0" applyFont="1" applyFill="1" applyBorder="1"/>
    <xf numFmtId="0" fontId="13" fillId="0" borderId="60" xfId="0" applyFont="1" applyBorder="1" applyAlignment="1">
      <alignment horizontal="center"/>
    </xf>
    <xf numFmtId="2" fontId="33" fillId="24" borderId="60" xfId="16" applyNumberFormat="1" applyFont="1" applyFill="1" applyBorder="1" applyAlignment="1">
      <alignment horizontal="center"/>
    </xf>
    <xf numFmtId="0" fontId="8" fillId="0" borderId="0" xfId="0" applyFont="1" applyAlignment="1">
      <alignment horizontal="center"/>
    </xf>
    <xf numFmtId="1" fontId="58" fillId="40" borderId="142" xfId="0" applyNumberFormat="1" applyFont="1" applyFill="1" applyBorder="1" applyAlignment="1">
      <alignment horizontal="center" vertical="center"/>
    </xf>
    <xf numFmtId="1" fontId="58" fillId="40" borderId="155" xfId="0" applyNumberFormat="1" applyFont="1" applyFill="1" applyBorder="1" applyAlignment="1">
      <alignment horizontal="center" vertical="center"/>
    </xf>
    <xf numFmtId="10" fontId="8" fillId="0" borderId="109" xfId="0" applyNumberFormat="1" applyFont="1" applyBorder="1" applyAlignment="1">
      <alignment horizontal="center" vertical="center"/>
    </xf>
    <xf numFmtId="9" fontId="0" fillId="0" borderId="0" xfId="16" applyFont="1" applyAlignment="1">
      <alignment horizontal="left"/>
    </xf>
    <xf numFmtId="0" fontId="53" fillId="0" borderId="35" xfId="0" applyFont="1" applyBorder="1"/>
    <xf numFmtId="0" fontId="53" fillId="40" borderId="132" xfId="0" applyFont="1" applyFill="1" applyBorder="1" applyAlignment="1">
      <alignment horizontal="center" vertical="center"/>
    </xf>
    <xf numFmtId="0" fontId="53" fillId="40" borderId="2" xfId="0" applyFont="1" applyFill="1" applyBorder="1" applyAlignment="1">
      <alignment horizontal="center" vertical="center"/>
    </xf>
    <xf numFmtId="1" fontId="53" fillId="40" borderId="111" xfId="0" applyNumberFormat="1" applyFont="1" applyFill="1" applyBorder="1" applyAlignment="1">
      <alignment horizontal="center" vertical="center"/>
    </xf>
    <xf numFmtId="1" fontId="53" fillId="40" borderId="159" xfId="0" applyNumberFormat="1" applyFont="1" applyFill="1" applyBorder="1" applyAlignment="1">
      <alignment horizontal="center" vertical="center"/>
    </xf>
    <xf numFmtId="3" fontId="59" fillId="12" borderId="0" xfId="0" applyNumberFormat="1" applyFont="1" applyFill="1" applyAlignment="1">
      <alignment horizontal="center" vertical="center"/>
    </xf>
    <xf numFmtId="0" fontId="0" fillId="37" borderId="32" xfId="0" applyFill="1" applyBorder="1"/>
    <xf numFmtId="0" fontId="64" fillId="0" borderId="0" xfId="29" applyFont="1" applyAlignment="1">
      <alignment horizontal="center" vertical="center"/>
    </xf>
    <xf numFmtId="0" fontId="5" fillId="0" borderId="0" xfId="29"/>
    <xf numFmtId="0" fontId="5" fillId="0" borderId="36" xfId="29" applyBorder="1"/>
    <xf numFmtId="10" fontId="0" fillId="0" borderId="0" xfId="0" applyNumberFormat="1" applyAlignment="1">
      <alignment horizontal="center" vertical="center"/>
    </xf>
    <xf numFmtId="0" fontId="55" fillId="0" borderId="45" xfId="0" applyFont="1" applyBorder="1"/>
    <xf numFmtId="9" fontId="23" fillId="0" borderId="0" xfId="16" applyFont="1" applyAlignment="1">
      <alignment horizontal="center" vertical="center"/>
    </xf>
    <xf numFmtId="181" fontId="38" fillId="0" borderId="0" xfId="0" applyNumberFormat="1" applyFont="1"/>
    <xf numFmtId="1" fontId="53" fillId="40" borderId="162" xfId="0" applyNumberFormat="1" applyFont="1" applyFill="1" applyBorder="1" applyAlignment="1">
      <alignment horizontal="center" vertical="center"/>
    </xf>
    <xf numFmtId="0" fontId="53" fillId="40" borderId="37" xfId="0" applyFont="1" applyFill="1" applyBorder="1" applyAlignment="1">
      <alignment horizontal="center" vertical="center"/>
    </xf>
    <xf numFmtId="2" fontId="0" fillId="24" borderId="60" xfId="0" applyNumberFormat="1" applyFill="1" applyBorder="1" applyAlignment="1">
      <alignment horizontal="center"/>
    </xf>
    <xf numFmtId="10" fontId="0" fillId="8" borderId="23" xfId="25" applyNumberFormat="1" applyFont="1" applyFill="1" applyBorder="1" applyAlignment="1">
      <alignment horizontal="center"/>
    </xf>
    <xf numFmtId="181" fontId="0" fillId="8" borderId="23" xfId="25" applyNumberFormat="1" applyFont="1" applyFill="1" applyBorder="1" applyAlignment="1">
      <alignment horizontal="center"/>
    </xf>
    <xf numFmtId="181" fontId="0" fillId="8" borderId="23" xfId="16" quotePrefix="1" applyNumberFormat="1" applyFont="1" applyFill="1" applyBorder="1" applyAlignment="1">
      <alignment horizontal="center"/>
    </xf>
    <xf numFmtId="182" fontId="0" fillId="24" borderId="23" xfId="0" applyNumberFormat="1" applyFill="1" applyBorder="1" applyAlignment="1">
      <alignment horizontal="center"/>
    </xf>
    <xf numFmtId="182" fontId="0" fillId="24" borderId="23" xfId="16" applyNumberFormat="1" applyFont="1" applyFill="1" applyBorder="1" applyAlignment="1">
      <alignment horizontal="center"/>
    </xf>
    <xf numFmtId="181"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81"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0" borderId="57" xfId="0" applyBorder="1" applyAlignment="1">
      <alignment horizontal="center" vertical="center"/>
    </xf>
    <xf numFmtId="10" fontId="70" fillId="35" borderId="103" xfId="26" applyNumberFormat="1" applyFont="1" applyFill="1" applyBorder="1"/>
    <xf numFmtId="185" fontId="8" fillId="0" borderId="103" xfId="26" applyNumberFormat="1" applyBorder="1"/>
    <xf numFmtId="181" fontId="53" fillId="0" borderId="0" xfId="16" applyNumberFormat="1" applyFont="1"/>
    <xf numFmtId="0" fontId="65" fillId="0" borderId="0" xfId="0" applyFont="1" applyAlignment="1">
      <alignment horizontal="center"/>
    </xf>
    <xf numFmtId="1" fontId="65" fillId="0" borderId="0" xfId="0" applyNumberFormat="1" applyFont="1" applyAlignment="1">
      <alignment horizontal="center"/>
    </xf>
    <xf numFmtId="1" fontId="71" fillId="0" borderId="0" xfId="0" applyNumberFormat="1" applyFont="1" applyAlignment="1">
      <alignment horizontal="left"/>
    </xf>
    <xf numFmtId="0" fontId="8" fillId="0" borderId="0" xfId="26" applyAlignment="1">
      <alignment vertical="center" wrapText="1"/>
    </xf>
    <xf numFmtId="3" fontId="51" fillId="34" borderId="105" xfId="5" applyFont="1" applyFill="1" applyBorder="1" applyAlignment="1">
      <alignment horizontal="right" vertical="center" wrapText="1"/>
    </xf>
    <xf numFmtId="4" fontId="8" fillId="34" borderId="105" xfId="7" applyFont="1" applyFill="1" applyBorder="1" applyAlignment="1">
      <alignment horizontal="right" vertical="center" wrapText="1"/>
    </xf>
    <xf numFmtId="4" fontId="32" fillId="0" borderId="103" xfId="7" applyFont="1" applyFill="1" applyBorder="1" applyAlignment="1">
      <alignment horizontal="right" vertical="center" wrapText="1"/>
    </xf>
    <xf numFmtId="0" fontId="8" fillId="0" borderId="103" xfId="10"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9" fontId="0" fillId="8" borderId="23" xfId="16" applyFont="1" applyFill="1" applyBorder="1" applyAlignment="1">
      <alignment horizontal="center"/>
    </xf>
    <xf numFmtId="0" fontId="0" fillId="0" borderId="0" xfId="26" applyFont="1"/>
    <xf numFmtId="2" fontId="8" fillId="0" borderId="0" xfId="26" applyNumberFormat="1"/>
    <xf numFmtId="2" fontId="0" fillId="0" borderId="0" xfId="26" applyNumberFormat="1" applyFont="1"/>
    <xf numFmtId="0" fontId="58" fillId="0" borderId="0" xfId="0" applyFont="1"/>
    <xf numFmtId="0" fontId="58" fillId="0" borderId="0" xfId="0" applyFont="1" applyAlignment="1">
      <alignment horizontal="center"/>
    </xf>
    <xf numFmtId="180" fontId="8" fillId="0" borderId="0" xfId="0" applyNumberFormat="1" applyFont="1"/>
    <xf numFmtId="179" fontId="8" fillId="0" borderId="0" xfId="0" applyNumberFormat="1" applyFont="1"/>
    <xf numFmtId="180" fontId="26" fillId="0" borderId="0" xfId="0" applyNumberFormat="1" applyFont="1"/>
    <xf numFmtId="0" fontId="27" fillId="32" borderId="10" xfId="0" applyFont="1" applyFill="1" applyBorder="1" applyAlignment="1">
      <alignment horizontal="center"/>
    </xf>
    <xf numFmtId="0" fontId="46" fillId="5" borderId="113" xfId="0" applyFont="1" applyFill="1" applyBorder="1" applyAlignment="1">
      <alignment horizontal="center"/>
    </xf>
    <xf numFmtId="0" fontId="13" fillId="17" borderId="93" xfId="0" applyFont="1" applyFill="1" applyBorder="1" applyAlignment="1">
      <alignment horizontal="left" vertical="center"/>
    </xf>
    <xf numFmtId="0" fontId="13" fillId="17" borderId="94" xfId="0" applyFont="1" applyFill="1" applyBorder="1" applyAlignment="1">
      <alignment horizontal="left" vertical="center"/>
    </xf>
    <xf numFmtId="9" fontId="0" fillId="17" borderId="91" xfId="16" applyFont="1" applyFill="1" applyBorder="1" applyAlignment="1">
      <alignment horizontal="center"/>
    </xf>
    <xf numFmtId="9" fontId="0" fillId="17" borderId="90" xfId="16" applyFont="1" applyFill="1" applyBorder="1" applyAlignment="1">
      <alignment horizontal="center"/>
    </xf>
    <xf numFmtId="2" fontId="0" fillId="17" borderId="91" xfId="0" applyNumberFormat="1" applyFill="1" applyBorder="1" applyAlignment="1">
      <alignment horizontal="center"/>
    </xf>
    <xf numFmtId="0" fontId="13" fillId="17" borderId="92" xfId="0" applyFont="1" applyFill="1" applyBorder="1" applyAlignment="1">
      <alignment horizontal="left" vertical="center"/>
    </xf>
    <xf numFmtId="2" fontId="0" fillId="17" borderId="89" xfId="0" applyNumberFormat="1" applyFill="1" applyBorder="1" applyAlignment="1">
      <alignment horizontal="center"/>
    </xf>
    <xf numFmtId="2" fontId="8" fillId="17" borderId="91" xfId="0" applyNumberFormat="1" applyFont="1" applyFill="1" applyBorder="1" applyAlignment="1">
      <alignment horizontal="center"/>
    </xf>
    <xf numFmtId="182" fontId="0" fillId="17" borderId="91" xfId="0" applyNumberFormat="1" applyFill="1" applyBorder="1" applyAlignment="1">
      <alignment horizontal="center"/>
    </xf>
    <xf numFmtId="9" fontId="0" fillId="0" borderId="89" xfId="16" applyFont="1" applyFill="1" applyBorder="1" applyAlignment="1">
      <alignment horizontal="center"/>
    </xf>
    <xf numFmtId="0" fontId="13" fillId="0" borderId="94" xfId="0" applyFont="1" applyBorder="1" applyAlignment="1">
      <alignment horizontal="left" vertical="center"/>
    </xf>
    <xf numFmtId="9" fontId="0" fillId="0" borderId="91" xfId="16" applyFont="1" applyFill="1" applyBorder="1" applyAlignment="1">
      <alignment horizontal="center"/>
    </xf>
    <xf numFmtId="2" fontId="0" fillId="0" borderId="89" xfId="0" applyNumberFormat="1" applyBorder="1" applyAlignment="1">
      <alignment horizontal="center"/>
    </xf>
    <xf numFmtId="0" fontId="13" fillId="0" borderId="93" xfId="0" applyFont="1" applyBorder="1" applyAlignment="1">
      <alignment horizontal="left" vertical="center"/>
    </xf>
    <xf numFmtId="2" fontId="0" fillId="0" borderId="91" xfId="0" applyNumberFormat="1" applyBorder="1" applyAlignment="1">
      <alignment horizontal="center"/>
    </xf>
    <xf numFmtId="2" fontId="0" fillId="17" borderId="90" xfId="0" applyNumberFormat="1" applyFill="1" applyBorder="1" applyAlignment="1">
      <alignment horizontal="center"/>
    </xf>
    <xf numFmtId="0" fontId="14" fillId="17" borderId="94" xfId="0" applyFont="1" applyFill="1" applyBorder="1" applyAlignment="1">
      <alignment horizontal="left" vertical="center"/>
    </xf>
    <xf numFmtId="2" fontId="0" fillId="17" borderId="91" xfId="16" applyNumberFormat="1" applyFont="1" applyFill="1" applyBorder="1" applyAlignment="1">
      <alignment horizontal="center"/>
    </xf>
    <xf numFmtId="0" fontId="13" fillId="0" borderId="96" xfId="0" applyFont="1" applyBorder="1" applyAlignment="1">
      <alignment horizontal="left" vertical="center"/>
    </xf>
    <xf numFmtId="9" fontId="0" fillId="0" borderId="97" xfId="16" applyFont="1" applyFill="1" applyBorder="1" applyAlignment="1">
      <alignment horizontal="center"/>
    </xf>
    <xf numFmtId="10" fontId="0" fillId="0" borderId="90" xfId="16" applyNumberFormat="1" applyFont="1" applyFill="1" applyBorder="1" applyAlignment="1">
      <alignment horizontal="center"/>
    </xf>
    <xf numFmtId="182" fontId="0" fillId="0" borderId="90" xfId="0" applyNumberFormat="1" applyBorder="1" applyAlignment="1">
      <alignment horizontal="center"/>
    </xf>
    <xf numFmtId="182" fontId="0" fillId="0" borderId="89" xfId="0" applyNumberFormat="1" applyBorder="1" applyAlignment="1">
      <alignment horizontal="center"/>
    </xf>
    <xf numFmtId="2" fontId="0" fillId="0" borderId="90" xfId="0" applyNumberFormat="1" applyBorder="1" applyAlignment="1">
      <alignment horizontal="center"/>
    </xf>
    <xf numFmtId="182" fontId="0" fillId="0" borderId="91" xfId="0" applyNumberFormat="1" applyBorder="1" applyAlignment="1">
      <alignment horizontal="center"/>
    </xf>
    <xf numFmtId="181" fontId="0" fillId="0" borderId="89" xfId="16" applyNumberFormat="1" applyFont="1" applyFill="1" applyBorder="1" applyAlignment="1">
      <alignment horizontal="center"/>
    </xf>
    <xf numFmtId="9" fontId="26" fillId="31" borderId="73" xfId="16" applyFont="1" applyFill="1" applyBorder="1" applyAlignment="1">
      <alignment horizontal="center" vertical="center"/>
    </xf>
    <xf numFmtId="9" fontId="26" fillId="18" borderId="177" xfId="16" applyFont="1" applyFill="1" applyBorder="1" applyAlignment="1">
      <alignment horizontal="center"/>
    </xf>
    <xf numFmtId="9" fontId="26" fillId="18" borderId="95" xfId="16" applyFont="1" applyFill="1" applyBorder="1" applyAlignment="1">
      <alignment horizontal="center"/>
    </xf>
    <xf numFmtId="9" fontId="26" fillId="18" borderId="178" xfId="16" applyFont="1" applyFill="1" applyBorder="1" applyAlignment="1">
      <alignment horizontal="center"/>
    </xf>
    <xf numFmtId="0" fontId="26" fillId="31" borderId="73" xfId="0" applyFont="1" applyFill="1" applyBorder="1" applyAlignment="1">
      <alignment horizontal="center" vertical="center"/>
    </xf>
    <xf numFmtId="2" fontId="26" fillId="18" borderId="95" xfId="0" applyNumberFormat="1" applyFont="1" applyFill="1" applyBorder="1" applyAlignment="1">
      <alignment horizontal="center"/>
    </xf>
    <xf numFmtId="2" fontId="26" fillId="18" borderId="178" xfId="0" applyNumberFormat="1" applyFont="1" applyFill="1" applyBorder="1" applyAlignment="1">
      <alignment horizontal="center"/>
    </xf>
    <xf numFmtId="2" fontId="26" fillId="31" borderId="73" xfId="16" applyNumberFormat="1" applyFont="1" applyFill="1" applyBorder="1" applyAlignment="1">
      <alignment horizontal="center" vertical="center"/>
    </xf>
    <xf numFmtId="2" fontId="26" fillId="18" borderId="177" xfId="0" applyNumberFormat="1" applyFont="1" applyFill="1" applyBorder="1" applyAlignment="1">
      <alignment horizontal="center"/>
    </xf>
    <xf numFmtId="10" fontId="26" fillId="31" borderId="73" xfId="0" applyNumberFormat="1" applyFont="1" applyFill="1" applyBorder="1" applyAlignment="1">
      <alignment horizontal="center" vertical="center"/>
    </xf>
    <xf numFmtId="184" fontId="26" fillId="31" borderId="73" xfId="19" applyNumberFormat="1" applyFont="1" applyFill="1" applyBorder="1" applyAlignment="1">
      <alignment horizontal="center" vertical="center"/>
    </xf>
    <xf numFmtId="2" fontId="26" fillId="18" borderId="95" xfId="16" applyNumberFormat="1" applyFont="1" applyFill="1" applyBorder="1" applyAlignment="1">
      <alignment horizontal="center"/>
    </xf>
    <xf numFmtId="0" fontId="26" fillId="31" borderId="73" xfId="0" applyFont="1" applyFill="1" applyBorder="1" applyAlignment="1">
      <alignment horizontal="center"/>
    </xf>
    <xf numFmtId="9" fontId="26" fillId="18" borderId="75" xfId="16" applyFont="1" applyFill="1" applyBorder="1" applyAlignment="1">
      <alignment horizontal="center"/>
    </xf>
    <xf numFmtId="0" fontId="13" fillId="0" borderId="84" xfId="0" applyFont="1" applyBorder="1" applyAlignment="1">
      <alignment horizontal="left"/>
    </xf>
    <xf numFmtId="3" fontId="53" fillId="0" borderId="132" xfId="0" applyNumberFormat="1" applyFont="1" applyBorder="1" applyAlignment="1">
      <alignment horizontal="center" vertical="center"/>
    </xf>
    <xf numFmtId="0" fontId="53" fillId="0" borderId="179" xfId="0" applyFont="1" applyBorder="1"/>
    <xf numFmtId="0" fontId="53" fillId="0" borderId="42" xfId="0" applyFont="1" applyBorder="1"/>
    <xf numFmtId="10" fontId="5" fillId="0" borderId="0" xfId="29" quotePrefix="1" applyNumberFormat="1" applyAlignment="1">
      <alignment horizontal="right"/>
    </xf>
    <xf numFmtId="1" fontId="53" fillId="40" borderId="180" xfId="0" applyNumberFormat="1" applyFont="1" applyFill="1" applyBorder="1" applyAlignment="1">
      <alignment horizontal="center" vertical="center"/>
    </xf>
    <xf numFmtId="1" fontId="53" fillId="40" borderId="160" xfId="0" applyNumberFormat="1" applyFont="1" applyFill="1" applyBorder="1" applyAlignment="1">
      <alignment horizontal="center" vertical="center"/>
    </xf>
    <xf numFmtId="1" fontId="53" fillId="40" borderId="3" xfId="0" applyNumberFormat="1" applyFont="1" applyFill="1" applyBorder="1" applyAlignment="1">
      <alignment horizontal="center" vertical="center"/>
    </xf>
    <xf numFmtId="1" fontId="53" fillId="40" borderId="34" xfId="0" applyNumberFormat="1" applyFont="1" applyFill="1" applyBorder="1" applyAlignment="1">
      <alignment horizontal="center" vertical="center"/>
    </xf>
    <xf numFmtId="0" fontId="27" fillId="0" borderId="0" xfId="26" applyFont="1" applyAlignment="1">
      <alignment horizontal="center" vertical="center"/>
    </xf>
    <xf numFmtId="4" fontId="25" fillId="0" borderId="0" xfId="7" applyFont="1" applyFill="1" applyBorder="1">
      <alignment horizontal="right"/>
    </xf>
    <xf numFmtId="0" fontId="46" fillId="31" borderId="64" xfId="0" applyFont="1" applyFill="1" applyBorder="1" applyAlignment="1">
      <alignment horizontal="left" vertical="center"/>
    </xf>
    <xf numFmtId="10" fontId="0" fillId="0" borderId="50" xfId="0" applyNumberFormat="1" applyBorder="1" applyAlignment="1">
      <alignment horizontal="center" vertical="center"/>
    </xf>
    <xf numFmtId="0" fontId="13" fillId="8" borderId="96" xfId="0" applyFont="1" applyFill="1" applyBorder="1" applyAlignment="1">
      <alignment horizontal="left" vertical="center"/>
    </xf>
    <xf numFmtId="10" fontId="0" fillId="8" borderId="97" xfId="16" applyNumberFormat="1" applyFont="1" applyFill="1" applyBorder="1" applyAlignment="1">
      <alignment horizontal="center" vertical="center"/>
    </xf>
    <xf numFmtId="10" fontId="0" fillId="8" borderId="98" xfId="16" applyNumberFormat="1" applyFont="1" applyFill="1" applyBorder="1" applyAlignment="1">
      <alignment horizontal="center" vertical="center"/>
    </xf>
    <xf numFmtId="0" fontId="46" fillId="0" borderId="0" xfId="0" applyFont="1" applyAlignment="1">
      <alignment horizontal="left" vertical="center"/>
    </xf>
    <xf numFmtId="10" fontId="0" fillId="0" borderId="0" xfId="16" applyNumberFormat="1" applyFont="1" applyFill="1" applyBorder="1" applyAlignment="1">
      <alignment horizontal="center" vertical="center"/>
    </xf>
    <xf numFmtId="0" fontId="57" fillId="36" borderId="75" xfId="0" applyFont="1" applyFill="1" applyBorder="1" applyAlignment="1">
      <alignment horizontal="center" vertical="center"/>
    </xf>
    <xf numFmtId="0" fontId="0" fillId="31" borderId="73" xfId="0" applyFill="1" applyBorder="1" applyAlignment="1">
      <alignment horizontal="center"/>
    </xf>
    <xf numFmtId="9" fontId="0" fillId="0" borderId="177" xfId="16" applyFont="1" applyFill="1" applyBorder="1" applyAlignment="1">
      <alignment horizontal="center"/>
    </xf>
    <xf numFmtId="9" fontId="0" fillId="17" borderId="95" xfId="16" applyFont="1" applyFill="1" applyBorder="1" applyAlignment="1">
      <alignment horizontal="center"/>
    </xf>
    <xf numFmtId="9" fontId="0" fillId="0" borderId="95" xfId="16" applyFont="1" applyFill="1" applyBorder="1" applyAlignment="1">
      <alignment horizontal="center"/>
    </xf>
    <xf numFmtId="9" fontId="0" fillId="17" borderId="178" xfId="16" applyFont="1" applyFill="1" applyBorder="1" applyAlignment="1">
      <alignment horizontal="center"/>
    </xf>
    <xf numFmtId="2" fontId="0" fillId="0" borderId="177" xfId="0" applyNumberFormat="1" applyBorder="1" applyAlignment="1">
      <alignment horizontal="center"/>
    </xf>
    <xf numFmtId="2" fontId="0" fillId="17" borderId="95" xfId="0" applyNumberFormat="1" applyFill="1" applyBorder="1" applyAlignment="1">
      <alignment horizontal="center"/>
    </xf>
    <xf numFmtId="2" fontId="0" fillId="0" borderId="178" xfId="0" applyNumberFormat="1" applyBorder="1" applyAlignment="1">
      <alignment horizontal="center"/>
    </xf>
    <xf numFmtId="2" fontId="0" fillId="17" borderId="177" xfId="0" applyNumberFormat="1" applyFill="1" applyBorder="1" applyAlignment="1">
      <alignment horizontal="center"/>
    </xf>
    <xf numFmtId="2" fontId="0" fillId="0" borderId="95" xfId="0" applyNumberFormat="1" applyBorder="1" applyAlignment="1">
      <alignment horizontal="center"/>
    </xf>
    <xf numFmtId="2" fontId="0" fillId="17" borderId="178" xfId="0" applyNumberFormat="1" applyFill="1" applyBorder="1" applyAlignment="1">
      <alignment horizontal="center"/>
    </xf>
    <xf numFmtId="182" fontId="0" fillId="0" borderId="177" xfId="0" applyNumberFormat="1" applyBorder="1" applyAlignment="1">
      <alignment horizontal="center"/>
    </xf>
    <xf numFmtId="182" fontId="0" fillId="17" borderId="95" xfId="0" applyNumberFormat="1" applyFill="1" applyBorder="1" applyAlignment="1">
      <alignment horizontal="center"/>
    </xf>
    <xf numFmtId="182" fontId="0" fillId="0" borderId="95" xfId="0" applyNumberFormat="1" applyBorder="1" applyAlignment="1">
      <alignment horizontal="center"/>
    </xf>
    <xf numFmtId="182" fontId="0" fillId="0" borderId="178" xfId="0" applyNumberFormat="1" applyBorder="1" applyAlignment="1">
      <alignment horizontal="center"/>
    </xf>
    <xf numFmtId="181" fontId="0" fillId="0" borderId="177" xfId="16" applyNumberFormat="1" applyFont="1" applyFill="1" applyBorder="1" applyAlignment="1">
      <alignment horizontal="center"/>
    </xf>
    <xf numFmtId="2" fontId="0" fillId="17" borderId="95" xfId="16" applyNumberFormat="1" applyFont="1" applyFill="1" applyBorder="1" applyAlignment="1">
      <alignment horizontal="center"/>
    </xf>
    <xf numFmtId="10" fontId="0" fillId="0" borderId="178" xfId="16" applyNumberFormat="1" applyFont="1" applyFill="1" applyBorder="1" applyAlignment="1">
      <alignment horizontal="center"/>
    </xf>
    <xf numFmtId="10" fontId="0" fillId="17" borderId="95" xfId="16" applyNumberFormat="1" applyFont="1" applyFill="1" applyBorder="1" applyAlignment="1">
      <alignment horizontal="center" vertical="center"/>
    </xf>
    <xf numFmtId="9" fontId="0" fillId="0" borderId="98" xfId="16" applyFont="1" applyFill="1" applyBorder="1" applyAlignment="1">
      <alignment horizontal="center"/>
    </xf>
    <xf numFmtId="0" fontId="73" fillId="36" borderId="73" xfId="0" applyFont="1" applyFill="1" applyBorder="1" applyAlignment="1">
      <alignment horizontal="center" vertical="center" wrapText="1"/>
    </xf>
    <xf numFmtId="9" fontId="0" fillId="0" borderId="0" xfId="16" applyFont="1" applyBorder="1" applyAlignment="1">
      <alignment horizontal="center" vertical="center"/>
    </xf>
    <xf numFmtId="0" fontId="27" fillId="5" borderId="183" xfId="26" applyFont="1" applyFill="1" applyBorder="1" applyAlignment="1">
      <alignment horizontal="center" vertical="center"/>
    </xf>
    <xf numFmtId="4" fontId="25" fillId="28" borderId="184" xfId="7" applyFont="1" applyFill="1" applyBorder="1">
      <alignment horizontal="right"/>
    </xf>
    <xf numFmtId="4" fontId="8" fillId="12" borderId="184" xfId="7" applyFont="1" applyFill="1" applyBorder="1">
      <alignment horizontal="right"/>
    </xf>
    <xf numFmtId="4" fontId="32" fillId="9" borderId="185" xfId="7" applyFont="1" applyFill="1" applyBorder="1">
      <alignment horizontal="right"/>
    </xf>
    <xf numFmtId="0" fontId="57" fillId="36" borderId="0" xfId="24" applyFont="1" applyFill="1"/>
    <xf numFmtId="0" fontId="74" fillId="36" borderId="0" xfId="24" applyFont="1" applyFill="1" applyAlignment="1">
      <alignment horizontal="left" vertical="center"/>
    </xf>
    <xf numFmtId="0" fontId="74"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10" fontId="75" fillId="0" borderId="0" xfId="24" applyNumberFormat="1" applyFont="1" applyAlignment="1">
      <alignment horizontal="center"/>
    </xf>
    <xf numFmtId="10" fontId="8" fillId="0" borderId="0" xfId="24" applyNumberFormat="1"/>
    <xf numFmtId="181" fontId="0" fillId="0" borderId="0" xfId="16" applyNumberFormat="1" applyFont="1"/>
    <xf numFmtId="0" fontId="75" fillId="0" borderId="0" xfId="24" applyFont="1"/>
    <xf numFmtId="0" fontId="49" fillId="31" borderId="0" xfId="24" applyFont="1" applyFill="1"/>
    <xf numFmtId="181" fontId="38" fillId="0" borderId="0" xfId="24" applyNumberFormat="1" applyFont="1"/>
    <xf numFmtId="0" fontId="13" fillId="0" borderId="194" xfId="0" applyFont="1" applyBorder="1" applyAlignment="1">
      <alignment horizontal="center"/>
    </xf>
    <xf numFmtId="0" fontId="0" fillId="0" borderId="194" xfId="0" applyBorder="1" applyAlignment="1">
      <alignment horizontal="center"/>
    </xf>
    <xf numFmtId="0" fontId="27" fillId="23" borderId="64" xfId="0" applyFont="1" applyFill="1" applyBorder="1" applyAlignment="1">
      <alignment horizontal="center" vertical="center" wrapText="1"/>
    </xf>
    <xf numFmtId="0" fontId="56" fillId="0" borderId="0" xfId="24" applyFont="1" applyAlignment="1">
      <alignment horizontal="center"/>
    </xf>
    <xf numFmtId="0" fontId="8" fillId="24" borderId="0" xfId="0" applyFont="1" applyFill="1" applyAlignment="1">
      <alignment horizontal="center" vertical="center"/>
    </xf>
    <xf numFmtId="187" fontId="76" fillId="45" borderId="0" xfId="16" applyNumberFormat="1" applyFont="1" applyFill="1" applyBorder="1" applyAlignment="1">
      <alignment horizontal="center"/>
    </xf>
    <xf numFmtId="0" fontId="57" fillId="0" borderId="0" xfId="24" applyFont="1"/>
    <xf numFmtId="0" fontId="74" fillId="0" borderId="0" xfId="24" applyFont="1" applyAlignment="1">
      <alignment horizontal="center" vertical="center"/>
    </xf>
    <xf numFmtId="0" fontId="75" fillId="0" borderId="0" xfId="0" applyFont="1" applyAlignment="1">
      <alignment horizontal="center"/>
    </xf>
    <xf numFmtId="0" fontId="13" fillId="8" borderId="0" xfId="24" applyFont="1" applyFill="1" applyAlignment="1">
      <alignment horizontal="center" vertical="center"/>
    </xf>
    <xf numFmtId="0" fontId="8" fillId="0" borderId="0" xfId="24" applyAlignment="1">
      <alignment horizontal="center" vertical="center"/>
    </xf>
    <xf numFmtId="0" fontId="46" fillId="23" borderId="72" xfId="0" applyFont="1" applyFill="1" applyBorder="1" applyAlignment="1">
      <alignment horizontal="center" vertical="center" wrapText="1"/>
    </xf>
    <xf numFmtId="187" fontId="76" fillId="45" borderId="0" xfId="16" applyNumberFormat="1" applyFont="1" applyFill="1" applyAlignment="1">
      <alignment horizontal="center"/>
    </xf>
    <xf numFmtId="9" fontId="8" fillId="0" borderId="99" xfId="16" applyFont="1" applyBorder="1" applyAlignment="1">
      <alignment horizontal="center" vertical="center"/>
    </xf>
    <xf numFmtId="9" fontId="8" fillId="17" borderId="91" xfId="16" applyFont="1" applyFill="1" applyBorder="1" applyAlignment="1">
      <alignment horizontal="center" vertical="center"/>
    </xf>
    <xf numFmtId="179" fontId="1" fillId="0" borderId="45" xfId="0" applyNumberFormat="1" applyFont="1" applyBorder="1" applyAlignment="1">
      <alignment horizontal="center"/>
    </xf>
    <xf numFmtId="179" fontId="1" fillId="0" borderId="0" xfId="0" applyNumberFormat="1" applyFont="1" applyAlignment="1">
      <alignment horizontal="center"/>
    </xf>
    <xf numFmtId="0" fontId="8" fillId="8" borderId="0" xfId="0" applyFont="1" applyFill="1" applyAlignment="1">
      <alignment vertical="center" wrapText="1"/>
    </xf>
    <xf numFmtId="183" fontId="8" fillId="8" borderId="103" xfId="6" applyFont="1" applyFill="1" applyBorder="1" applyAlignment="1">
      <alignment horizontal="center" vertical="center" wrapText="1"/>
    </xf>
    <xf numFmtId="0" fontId="79" fillId="3" borderId="103" xfId="10" applyFont="1" applyBorder="1" applyAlignment="1">
      <alignment vertical="center"/>
    </xf>
    <xf numFmtId="186" fontId="8" fillId="0" borderId="103" xfId="26" applyNumberFormat="1" applyBorder="1"/>
    <xf numFmtId="3" fontId="8" fillId="0" borderId="103" xfId="26" applyNumberFormat="1" applyBorder="1" applyAlignment="1">
      <alignment vertical="center"/>
    </xf>
    <xf numFmtId="188" fontId="0" fillId="0" borderId="89" xfId="0" applyNumberFormat="1" applyBorder="1" applyAlignment="1">
      <alignment horizontal="center"/>
    </xf>
    <xf numFmtId="188" fontId="0" fillId="17" borderId="90" xfId="0" applyNumberFormat="1" applyFill="1" applyBorder="1" applyAlignment="1">
      <alignment horizontal="center"/>
    </xf>
    <xf numFmtId="188" fontId="26" fillId="18" borderId="177" xfId="0" applyNumberFormat="1" applyFont="1" applyFill="1" applyBorder="1" applyAlignment="1">
      <alignment horizontal="center"/>
    </xf>
    <xf numFmtId="188" fontId="0" fillId="0" borderId="177" xfId="0" applyNumberFormat="1" applyBorder="1" applyAlignment="1">
      <alignment horizontal="center"/>
    </xf>
    <xf numFmtId="188" fontId="26" fillId="18" borderId="178" xfId="0" applyNumberFormat="1" applyFont="1" applyFill="1" applyBorder="1" applyAlignment="1">
      <alignment horizontal="center"/>
    </xf>
    <xf numFmtId="188" fontId="0" fillId="17" borderId="178" xfId="0" applyNumberFormat="1" applyFill="1" applyBorder="1" applyAlignment="1">
      <alignment horizontal="center"/>
    </xf>
    <xf numFmtId="188" fontId="0" fillId="24" borderId="91" xfId="0" applyNumberFormat="1" applyFill="1" applyBorder="1" applyAlignment="1">
      <alignment horizontal="center"/>
    </xf>
    <xf numFmtId="188" fontId="0" fillId="0" borderId="91" xfId="0" applyNumberFormat="1" applyBorder="1" applyAlignment="1">
      <alignment horizontal="center"/>
    </xf>
    <xf numFmtId="188" fontId="34" fillId="24" borderId="91" xfId="0" applyNumberFormat="1" applyFont="1" applyFill="1" applyBorder="1" applyAlignment="1">
      <alignment horizontal="center"/>
    </xf>
    <xf numFmtId="188" fontId="0" fillId="0" borderId="91" xfId="0" applyNumberFormat="1" applyBorder="1" applyAlignment="1">
      <alignment horizontal="center" wrapText="1"/>
    </xf>
    <xf numFmtId="188" fontId="0" fillId="32" borderId="91" xfId="0" applyNumberFormat="1" applyFill="1" applyBorder="1"/>
    <xf numFmtId="0" fontId="46" fillId="13" borderId="73" xfId="0" applyFont="1" applyFill="1" applyBorder="1" applyAlignment="1">
      <alignment horizontal="center" vertical="center"/>
    </xf>
    <xf numFmtId="4" fontId="35" fillId="19" borderId="0" xfId="0" applyNumberFormat="1" applyFont="1" applyFill="1"/>
    <xf numFmtId="189" fontId="0" fillId="0" borderId="0" xfId="0" applyNumberFormat="1"/>
    <xf numFmtId="188" fontId="8" fillId="0" borderId="19" xfId="0" applyNumberFormat="1" applyFont="1" applyBorder="1" applyAlignment="1">
      <alignment horizontal="center"/>
    </xf>
    <xf numFmtId="188" fontId="8" fillId="24" borderId="19" xfId="0" applyNumberFormat="1" applyFont="1" applyFill="1" applyBorder="1" applyAlignment="1">
      <alignment horizontal="center"/>
    </xf>
    <xf numFmtId="188" fontId="8" fillId="8" borderId="51" xfId="0" applyNumberFormat="1" applyFont="1" applyFill="1" applyBorder="1" applyAlignment="1">
      <alignment horizontal="center"/>
    </xf>
    <xf numFmtId="188" fontId="33" fillId="8" borderId="51" xfId="16" applyNumberFormat="1" applyFont="1" applyFill="1" applyBorder="1" applyAlignment="1">
      <alignment horizontal="center"/>
    </xf>
    <xf numFmtId="188" fontId="0" fillId="24" borderId="23" xfId="0" applyNumberFormat="1" applyFill="1" applyBorder="1" applyAlignment="1">
      <alignment horizontal="center"/>
    </xf>
    <xf numFmtId="188" fontId="13" fillId="24" borderId="19" xfId="0" applyNumberFormat="1" applyFont="1" applyFill="1" applyBorder="1" applyAlignment="1">
      <alignment horizontal="center"/>
    </xf>
    <xf numFmtId="188" fontId="0" fillId="8" borderId="91" xfId="0" applyNumberFormat="1" applyFill="1" applyBorder="1" applyAlignment="1">
      <alignment horizontal="center"/>
    </xf>
    <xf numFmtId="0" fontId="79" fillId="0" borderId="103" xfId="10" applyFont="1" applyFill="1" applyBorder="1" applyAlignment="1">
      <alignment vertical="center"/>
    </xf>
    <xf numFmtId="0" fontId="47" fillId="11" borderId="64" xfId="0" applyFont="1" applyFill="1" applyBorder="1" applyAlignment="1">
      <alignment horizontal="center" vertical="center" wrapText="1"/>
    </xf>
    <xf numFmtId="0" fontId="27" fillId="46" borderId="64" xfId="0" applyFont="1" applyFill="1" applyBorder="1" applyAlignment="1">
      <alignment horizontal="center" vertical="center" wrapText="1"/>
    </xf>
    <xf numFmtId="190" fontId="0" fillId="0" borderId="0" xfId="0" applyNumberFormat="1"/>
    <xf numFmtId="188" fontId="0" fillId="8" borderId="95" xfId="0" applyNumberFormat="1" applyFill="1" applyBorder="1" applyAlignment="1">
      <alignment horizontal="right" vertical="center"/>
    </xf>
    <xf numFmtId="188" fontId="0" fillId="17" borderId="95" xfId="0" applyNumberFormat="1" applyFill="1" applyBorder="1" applyAlignment="1">
      <alignment horizontal="center"/>
    </xf>
    <xf numFmtId="10" fontId="8" fillId="0" borderId="99" xfId="16" applyNumberFormat="1" applyFont="1" applyBorder="1" applyAlignment="1">
      <alignment horizontal="center" vertical="center"/>
    </xf>
    <xf numFmtId="10" fontId="8" fillId="17" borderId="91" xfId="16" applyNumberFormat="1" applyFont="1" applyFill="1" applyBorder="1" applyAlignment="1">
      <alignment horizontal="center" vertical="center"/>
    </xf>
    <xf numFmtId="188" fontId="8" fillId="8" borderId="91" xfId="0" applyNumberFormat="1" applyFont="1" applyFill="1" applyBorder="1" applyAlignment="1">
      <alignment horizontal="center"/>
    </xf>
    <xf numFmtId="181" fontId="0" fillId="0" borderId="89" xfId="16" applyNumberFormat="1" applyFont="1" applyBorder="1" applyAlignment="1">
      <alignment horizontal="center"/>
    </xf>
    <xf numFmtId="10" fontId="0" fillId="0" borderId="99" xfId="16" applyNumberFormat="1" applyFont="1" applyBorder="1" applyAlignment="1">
      <alignment horizontal="center" vertical="center"/>
    </xf>
    <xf numFmtId="10" fontId="0" fillId="17" borderId="91" xfId="16" applyNumberFormat="1" applyFont="1" applyFill="1" applyBorder="1" applyAlignment="1">
      <alignment horizontal="center" vertical="center"/>
    </xf>
    <xf numFmtId="0" fontId="79" fillId="3" borderId="103" xfId="10" applyFont="1" applyBorder="1" applyAlignment="1">
      <alignment vertical="center" wrapText="1"/>
    </xf>
    <xf numFmtId="0" fontId="46" fillId="31" borderId="203" xfId="0" applyFont="1" applyFill="1" applyBorder="1" applyAlignment="1">
      <alignment horizontal="center" vertical="center"/>
    </xf>
    <xf numFmtId="0" fontId="46" fillId="9" borderId="88" xfId="0" applyFont="1" applyFill="1" applyBorder="1" applyAlignment="1">
      <alignment horizontal="center" vertical="center" wrapText="1"/>
    </xf>
    <xf numFmtId="0" fontId="46" fillId="10" borderId="70" xfId="0" applyFont="1" applyFill="1" applyBorder="1" applyAlignment="1">
      <alignment horizontal="center" vertical="center" wrapText="1"/>
    </xf>
    <xf numFmtId="0" fontId="46" fillId="11" borderId="70" xfId="0" applyFont="1" applyFill="1" applyBorder="1" applyAlignment="1">
      <alignment horizontal="center" vertical="center" wrapText="1"/>
    </xf>
    <xf numFmtId="0" fontId="46" fillId="46" borderId="70" xfId="0" applyFont="1" applyFill="1" applyBorder="1" applyAlignment="1">
      <alignment horizontal="center" vertical="center" wrapText="1"/>
    </xf>
    <xf numFmtId="0" fontId="46" fillId="23" borderId="204" xfId="0" applyFont="1" applyFill="1" applyBorder="1" applyAlignment="1">
      <alignment horizontal="center" vertical="center" wrapText="1"/>
    </xf>
    <xf numFmtId="0" fontId="27" fillId="32" borderId="205" xfId="0" applyFont="1" applyFill="1" applyBorder="1" applyAlignment="1">
      <alignment horizontal="center"/>
    </xf>
    <xf numFmtId="0" fontId="0" fillId="32" borderId="206" xfId="0" applyFill="1" applyBorder="1"/>
    <xf numFmtId="0" fontId="13" fillId="17" borderId="207" xfId="0" applyFont="1" applyFill="1" applyBorder="1"/>
    <xf numFmtId="188" fontId="0" fillId="0" borderId="208" xfId="0" applyNumberFormat="1" applyBorder="1" applyAlignment="1">
      <alignment horizontal="center"/>
    </xf>
    <xf numFmtId="0" fontId="27" fillId="32" borderId="207" xfId="0" applyFont="1" applyFill="1" applyBorder="1" applyAlignment="1">
      <alignment horizontal="center"/>
    </xf>
    <xf numFmtId="188" fontId="0" fillId="32" borderId="208" xfId="0" applyNumberFormat="1" applyFill="1" applyBorder="1"/>
    <xf numFmtId="0" fontId="13" fillId="17" borderId="209" xfId="0" applyFont="1" applyFill="1" applyBorder="1"/>
    <xf numFmtId="188" fontId="0" fillId="24" borderId="210" xfId="0" applyNumberFormat="1" applyFill="1" applyBorder="1" applyAlignment="1">
      <alignment horizontal="center"/>
    </xf>
    <xf numFmtId="188" fontId="0" fillId="0" borderId="210" xfId="0" applyNumberFormat="1" applyBorder="1" applyAlignment="1">
      <alignment horizontal="center"/>
    </xf>
    <xf numFmtId="188" fontId="0" fillId="0" borderId="211" xfId="0" applyNumberFormat="1" applyBorder="1" applyAlignment="1">
      <alignment horizontal="center"/>
    </xf>
    <xf numFmtId="188" fontId="0" fillId="47" borderId="91" xfId="0" applyNumberFormat="1" applyFill="1" applyBorder="1" applyAlignment="1">
      <alignment horizontal="center"/>
    </xf>
    <xf numFmtId="9" fontId="0" fillId="12" borderId="89" xfId="16" applyFont="1" applyFill="1" applyBorder="1" applyAlignment="1">
      <alignment horizontal="center"/>
    </xf>
    <xf numFmtId="9" fontId="0" fillId="12" borderId="91" xfId="16" applyFont="1" applyFill="1" applyBorder="1" applyAlignment="1">
      <alignment horizontal="center"/>
    </xf>
    <xf numFmtId="191" fontId="0" fillId="0" borderId="89" xfId="0" applyNumberFormat="1" applyBorder="1" applyAlignment="1">
      <alignment horizontal="center"/>
    </xf>
    <xf numFmtId="9" fontId="0" fillId="8" borderId="91" xfId="16" applyFont="1" applyFill="1" applyBorder="1" applyAlignment="1">
      <alignment horizontal="center"/>
    </xf>
    <xf numFmtId="2" fontId="0" fillId="9" borderId="89" xfId="0" applyNumberFormat="1" applyFill="1" applyBorder="1" applyAlignment="1">
      <alignment horizontal="center"/>
    </xf>
    <xf numFmtId="2" fontId="8" fillId="47" borderId="91" xfId="0" applyNumberFormat="1" applyFont="1" applyFill="1" applyBorder="1" applyAlignment="1">
      <alignment horizontal="center" vertical="center"/>
    </xf>
    <xf numFmtId="2" fontId="8" fillId="12" borderId="89" xfId="0" applyNumberFormat="1" applyFont="1" applyFill="1" applyBorder="1" applyAlignment="1">
      <alignment horizontal="center"/>
    </xf>
    <xf numFmtId="0" fontId="13" fillId="0" borderId="77" xfId="0" applyFont="1" applyBorder="1" applyAlignment="1">
      <alignment horizontal="center"/>
    </xf>
    <xf numFmtId="2" fontId="0" fillId="28" borderId="91" xfId="0" applyNumberFormat="1" applyFill="1" applyBorder="1" applyAlignment="1">
      <alignment horizontal="center"/>
    </xf>
    <xf numFmtId="2" fontId="0" fillId="12" borderId="91" xfId="0" applyNumberFormat="1" applyFill="1" applyBorder="1" applyAlignment="1">
      <alignment horizontal="center"/>
    </xf>
    <xf numFmtId="181" fontId="0" fillId="48" borderId="89" xfId="16" applyNumberFormat="1" applyFont="1" applyFill="1" applyBorder="1" applyAlignment="1">
      <alignment horizontal="center"/>
    </xf>
    <xf numFmtId="10" fontId="8" fillId="28" borderId="91" xfId="16" applyNumberFormat="1" applyFont="1" applyFill="1" applyBorder="1" applyAlignment="1">
      <alignment horizontal="center" vertical="center"/>
    </xf>
    <xf numFmtId="9" fontId="0" fillId="28" borderId="97" xfId="16" applyFont="1" applyFill="1" applyBorder="1" applyAlignment="1">
      <alignment horizontal="center"/>
    </xf>
    <xf numFmtId="3" fontId="53" fillId="49" borderId="212" xfId="0" applyNumberFormat="1" applyFont="1" applyFill="1" applyBorder="1"/>
    <xf numFmtId="3" fontId="0" fillId="0" borderId="103" xfId="26" applyNumberFormat="1" applyFont="1" applyBorder="1" applyAlignment="1">
      <alignment vertical="center"/>
    </xf>
    <xf numFmtId="185" fontId="0" fillId="0" borderId="103" xfId="26" applyNumberFormat="1" applyFont="1" applyBorder="1"/>
    <xf numFmtId="4" fontId="0" fillId="0" borderId="103" xfId="26" applyNumberFormat="1" applyFont="1" applyBorder="1" applyAlignment="1">
      <alignment vertical="center"/>
    </xf>
    <xf numFmtId="183" fontId="8" fillId="0" borderId="103" xfId="26" applyNumberFormat="1" applyBorder="1" applyAlignment="1">
      <alignment vertical="center"/>
    </xf>
    <xf numFmtId="0" fontId="75" fillId="0" borderId="0" xfId="26" applyFont="1"/>
    <xf numFmtId="0" fontId="0" fillId="0" borderId="213" xfId="0" applyBorder="1"/>
    <xf numFmtId="192" fontId="0" fillId="0" borderId="213" xfId="0" applyNumberFormat="1" applyBorder="1"/>
    <xf numFmtId="0" fontId="0" fillId="0" borderId="214" xfId="0" applyBorder="1"/>
    <xf numFmtId="192" fontId="0" fillId="0" borderId="214" xfId="0" applyNumberFormat="1" applyBorder="1"/>
    <xf numFmtId="4" fontId="35" fillId="19" borderId="0" xfId="0" applyNumberFormat="1" applyFont="1" applyFill="1" applyAlignment="1">
      <alignment horizontal="center"/>
    </xf>
    <xf numFmtId="0" fontId="35" fillId="0" borderId="0" xfId="0" applyFont="1" applyAlignment="1">
      <alignment horizontal="center"/>
    </xf>
    <xf numFmtId="0" fontId="35" fillId="19" borderId="0" xfId="0" applyFont="1" applyFill="1" applyAlignment="1">
      <alignment horizontal="center" indent="1"/>
    </xf>
    <xf numFmtId="0" fontId="35" fillId="30" borderId="0" xfId="0" applyFont="1" applyFill="1" applyAlignment="1">
      <alignment horizontal="center" indent="1"/>
    </xf>
    <xf numFmtId="3" fontId="35" fillId="19" borderId="0" xfId="0" applyNumberFormat="1" applyFont="1" applyFill="1" applyAlignment="1">
      <alignment horizontal="center" indent="1"/>
    </xf>
    <xf numFmtId="0" fontId="23" fillId="19" borderId="0" xfId="0" applyFont="1" applyFill="1" applyAlignment="1">
      <alignment horizontal="center"/>
    </xf>
    <xf numFmtId="4" fontId="23" fillId="0" borderId="0" xfId="0" applyNumberFormat="1" applyFont="1" applyAlignment="1">
      <alignment horizontal="center"/>
    </xf>
    <xf numFmtId="9" fontId="35" fillId="19" borderId="0" xfId="0" applyNumberFormat="1" applyFont="1" applyFill="1" applyAlignment="1">
      <alignment horizontal="center"/>
    </xf>
    <xf numFmtId="0" fontId="8" fillId="0" borderId="0" xfId="24" applyAlignment="1">
      <alignment horizontal="center"/>
    </xf>
    <xf numFmtId="3" fontId="8" fillId="0" borderId="0" xfId="24" applyNumberFormat="1" applyAlignment="1">
      <alignment horizontal="center"/>
    </xf>
    <xf numFmtId="10" fontId="8" fillId="0" borderId="0" xfId="24" applyNumberFormat="1" applyAlignment="1">
      <alignment horizontal="center"/>
    </xf>
    <xf numFmtId="1" fontId="8" fillId="0" borderId="0" xfId="24" applyNumberFormat="1" applyAlignment="1">
      <alignment horizontal="center"/>
    </xf>
    <xf numFmtId="9" fontId="8" fillId="0" borderId="0" xfId="16" applyBorder="1"/>
    <xf numFmtId="0" fontId="81" fillId="0" borderId="45" xfId="0" applyFont="1" applyBorder="1"/>
    <xf numFmtId="0" fontId="82" fillId="0" borderId="44" xfId="0" applyFont="1" applyBorder="1"/>
    <xf numFmtId="0" fontId="81" fillId="0" borderId="44" xfId="0" applyFont="1" applyBorder="1"/>
    <xf numFmtId="0" fontId="81" fillId="50" borderId="44" xfId="0" applyFont="1" applyFill="1" applyBorder="1"/>
    <xf numFmtId="0" fontId="82" fillId="0" borderId="2" xfId="0" applyFont="1" applyBorder="1"/>
    <xf numFmtId="0" fontId="82" fillId="0" borderId="38" xfId="0" applyFont="1" applyBorder="1"/>
    <xf numFmtId="10" fontId="82" fillId="0" borderId="38" xfId="0" applyNumberFormat="1" applyFont="1" applyBorder="1"/>
    <xf numFmtId="10" fontId="82" fillId="50" borderId="38" xfId="0" applyNumberFormat="1" applyFont="1" applyFill="1" applyBorder="1"/>
    <xf numFmtId="0" fontId="83" fillId="0" borderId="2" xfId="0" applyFont="1" applyBorder="1"/>
    <xf numFmtId="0" fontId="83" fillId="0" borderId="38" xfId="0" applyFont="1" applyBorder="1"/>
    <xf numFmtId="10" fontId="83" fillId="0" borderId="38" xfId="0" applyNumberFormat="1" applyFont="1" applyBorder="1"/>
    <xf numFmtId="0" fontId="13" fillId="0" borderId="216" xfId="0" applyFont="1" applyBorder="1"/>
    <xf numFmtId="0" fontId="8" fillId="0" borderId="36" xfId="0" applyFont="1" applyBorder="1"/>
    <xf numFmtId="0" fontId="13" fillId="0" borderId="36" xfId="0" applyFont="1" applyBorder="1"/>
    <xf numFmtId="10" fontId="13" fillId="0" borderId="0" xfId="0" applyNumberFormat="1" applyFont="1"/>
    <xf numFmtId="193" fontId="8" fillId="0" borderId="0" xfId="24" applyNumberFormat="1"/>
    <xf numFmtId="10" fontId="8" fillId="0" borderId="109" xfId="24" applyNumberFormat="1" applyBorder="1"/>
    <xf numFmtId="0" fontId="0" fillId="0" borderId="0" xfId="24" applyFont="1"/>
    <xf numFmtId="9" fontId="0" fillId="0" borderId="0" xfId="24" applyNumberFormat="1" applyFont="1"/>
    <xf numFmtId="10" fontId="8" fillId="0" borderId="0" xfId="0" applyNumberFormat="1" applyFont="1" applyAlignment="1">
      <alignment horizontal="center" vertical="center"/>
    </xf>
    <xf numFmtId="0" fontId="84" fillId="0" borderId="0" xfId="24" applyFont="1" applyAlignment="1">
      <alignment horizontal="center" wrapText="1"/>
    </xf>
    <xf numFmtId="0" fontId="0" fillId="0" borderId="0" xfId="24" applyFont="1" applyAlignment="1">
      <alignment horizontal="center" wrapText="1"/>
    </xf>
    <xf numFmtId="189" fontId="8" fillId="0" borderId="0" xfId="24" applyNumberFormat="1"/>
    <xf numFmtId="0" fontId="13" fillId="0" borderId="218" xfId="24" applyFont="1" applyBorder="1"/>
    <xf numFmtId="0" fontId="13" fillId="14" borderId="219" xfId="24" applyFont="1" applyFill="1" applyBorder="1"/>
    <xf numFmtId="0" fontId="13" fillId="0" borderId="220" xfId="24" applyFont="1" applyBorder="1"/>
    <xf numFmtId="0" fontId="13" fillId="14" borderId="161" xfId="24" applyFont="1" applyFill="1" applyBorder="1"/>
    <xf numFmtId="10" fontId="8" fillId="0" borderId="217" xfId="24" applyNumberFormat="1" applyBorder="1"/>
    <xf numFmtId="0" fontId="63" fillId="14" borderId="161" xfId="24" applyFont="1" applyFill="1" applyBorder="1"/>
    <xf numFmtId="10" fontId="0" fillId="0" borderId="109" xfId="24" applyNumberFormat="1" applyFont="1" applyBorder="1"/>
    <xf numFmtId="0" fontId="0" fillId="0" borderId="221" xfId="24" applyFont="1" applyBorder="1"/>
    <xf numFmtId="10" fontId="0" fillId="0" borderId="222" xfId="24" applyNumberFormat="1" applyFont="1" applyBorder="1"/>
    <xf numFmtId="0" fontId="0" fillId="0" borderId="223" xfId="24" applyFont="1" applyBorder="1"/>
    <xf numFmtId="10" fontId="0" fillId="0" borderId="224" xfId="24" applyNumberFormat="1" applyFont="1" applyBorder="1"/>
    <xf numFmtId="0" fontId="0" fillId="0" borderId="225" xfId="24" applyFont="1" applyBorder="1"/>
    <xf numFmtId="10" fontId="0" fillId="0" borderId="226" xfId="24" applyNumberFormat="1" applyFont="1" applyBorder="1"/>
    <xf numFmtId="0" fontId="85" fillId="0" borderId="0" xfId="24" applyFont="1"/>
    <xf numFmtId="177" fontId="8" fillId="0" borderId="111" xfId="24" applyNumberFormat="1" applyBorder="1"/>
    <xf numFmtId="177" fontId="0" fillId="0" borderId="111" xfId="24" applyNumberFormat="1" applyFont="1" applyBorder="1"/>
    <xf numFmtId="0" fontId="13" fillId="14" borderId="109" xfId="24" applyFont="1" applyFill="1" applyBorder="1"/>
    <xf numFmtId="0" fontId="13" fillId="24" borderId="109" xfId="24" applyFont="1" applyFill="1" applyBorder="1"/>
    <xf numFmtId="0" fontId="34" fillId="14" borderId="161" xfId="24" applyFont="1" applyFill="1" applyBorder="1"/>
    <xf numFmtId="10" fontId="8" fillId="0" borderId="110" xfId="24" applyNumberFormat="1" applyBorder="1"/>
    <xf numFmtId="181" fontId="0" fillId="0" borderId="84" xfId="16" applyNumberFormat="1" applyFont="1" applyBorder="1"/>
    <xf numFmtId="10" fontId="8" fillId="0" borderId="161" xfId="24" applyNumberFormat="1" applyBorder="1"/>
    <xf numFmtId="10" fontId="0" fillId="0" borderId="217" xfId="24" applyNumberFormat="1" applyFont="1" applyBorder="1"/>
    <xf numFmtId="0" fontId="13" fillId="24" borderId="110" xfId="24" applyFont="1" applyFill="1" applyBorder="1"/>
    <xf numFmtId="0" fontId="13" fillId="8" borderId="0" xfId="24" applyFont="1" applyFill="1" applyAlignment="1">
      <alignment horizontal="center"/>
    </xf>
    <xf numFmtId="3" fontId="0" fillId="0" borderId="224" xfId="0" applyNumberFormat="1" applyBorder="1" applyAlignment="1">
      <alignment horizontal="center"/>
    </xf>
    <xf numFmtId="188" fontId="0" fillId="0" borderId="226" xfId="0" applyNumberFormat="1" applyBorder="1" applyAlignment="1">
      <alignment horizontal="center"/>
    </xf>
    <xf numFmtId="188" fontId="0" fillId="0" borderId="123" xfId="0" applyNumberFormat="1" applyBorder="1" applyAlignment="1">
      <alignment horizontal="center"/>
    </xf>
    <xf numFmtId="195" fontId="0" fillId="0" borderId="162" xfId="0" applyNumberFormat="1" applyBorder="1" applyAlignment="1">
      <alignment horizontal="center"/>
    </xf>
    <xf numFmtId="3" fontId="0" fillId="0" borderId="217" xfId="0" applyNumberFormat="1" applyBorder="1" applyAlignment="1">
      <alignment horizontal="right"/>
    </xf>
    <xf numFmtId="194" fontId="0" fillId="0" borderId="232" xfId="0" applyNumberFormat="1" applyBorder="1" applyAlignment="1">
      <alignment horizontal="center"/>
    </xf>
    <xf numFmtId="0" fontId="84" fillId="0" borderId="229" xfId="0" applyFont="1" applyBorder="1" applyAlignment="1">
      <alignment horizontal="right"/>
    </xf>
    <xf numFmtId="0" fontId="84" fillId="0" borderId="230" xfId="0" applyFont="1" applyBorder="1" applyAlignment="1">
      <alignment horizontal="right"/>
    </xf>
    <xf numFmtId="0" fontId="84" fillId="0" borderId="231" xfId="0" applyFont="1" applyBorder="1" applyAlignment="1">
      <alignment horizontal="right"/>
    </xf>
    <xf numFmtId="0" fontId="84" fillId="0" borderId="227" xfId="0" applyFont="1" applyBorder="1" applyAlignment="1">
      <alignment horizontal="right"/>
    </xf>
    <xf numFmtId="0" fontId="84" fillId="0" borderId="228" xfId="0" applyFont="1" applyBorder="1" applyAlignment="1">
      <alignment horizontal="right"/>
    </xf>
    <xf numFmtId="188" fontId="0" fillId="0" borderId="0" xfId="0" applyNumberFormat="1"/>
    <xf numFmtId="3" fontId="8" fillId="8" borderId="15" xfId="0" applyNumberFormat="1" applyFont="1" applyFill="1" applyBorder="1" applyAlignment="1">
      <alignment horizontal="right"/>
    </xf>
    <xf numFmtId="181" fontId="33" fillId="24" borderId="19" xfId="16" applyNumberFormat="1" applyFont="1" applyFill="1" applyBorder="1" applyAlignment="1">
      <alignment horizontal="right"/>
    </xf>
    <xf numFmtId="0" fontId="8" fillId="7" borderId="22" xfId="0" applyFont="1" applyFill="1" applyBorder="1"/>
    <xf numFmtId="0" fontId="0" fillId="7" borderId="0" xfId="0" applyFill="1"/>
    <xf numFmtId="0" fontId="13" fillId="0" borderId="236" xfId="0" applyFont="1" applyBorder="1" applyAlignment="1">
      <alignment horizontal="center"/>
    </xf>
    <xf numFmtId="0" fontId="8" fillId="7" borderId="237" xfId="0" applyFont="1" applyFill="1" applyBorder="1"/>
    <xf numFmtId="181" fontId="8" fillId="7" borderId="237" xfId="16" applyNumberFormat="1" applyFont="1" applyFill="1" applyBorder="1" applyAlignment="1">
      <alignment horizontal="center"/>
    </xf>
    <xf numFmtId="9" fontId="13" fillId="8" borderId="238" xfId="16" applyFont="1" applyFill="1" applyBorder="1" applyAlignment="1">
      <alignment horizontal="left"/>
    </xf>
    <xf numFmtId="9" fontId="13" fillId="8" borderId="239" xfId="16" applyFont="1" applyFill="1" applyBorder="1" applyAlignment="1">
      <alignment horizontal="left"/>
    </xf>
    <xf numFmtId="9" fontId="8" fillId="8" borderId="237" xfId="16" applyFont="1" applyFill="1" applyBorder="1" applyAlignment="1">
      <alignment horizontal="center"/>
    </xf>
    <xf numFmtId="9" fontId="8" fillId="7" borderId="237" xfId="16" applyFont="1" applyFill="1" applyBorder="1" applyAlignment="1">
      <alignment horizontal="center"/>
    </xf>
    <xf numFmtId="9" fontId="8" fillId="7" borderId="240" xfId="16" applyFont="1" applyFill="1" applyBorder="1" applyAlignment="1">
      <alignment horizontal="center"/>
    </xf>
    <xf numFmtId="0" fontId="8" fillId="8" borderId="242" xfId="0" applyFont="1" applyFill="1" applyBorder="1" applyAlignment="1">
      <alignment vertical="center" wrapText="1"/>
    </xf>
    <xf numFmtId="0" fontId="34" fillId="8" borderId="242" xfId="0" applyFont="1" applyFill="1" applyBorder="1" applyAlignment="1">
      <alignment horizontal="center" vertical="center" wrapText="1"/>
    </xf>
    <xf numFmtId="0" fontId="8" fillId="8" borderId="242" xfId="0" applyFont="1" applyFill="1" applyBorder="1" applyAlignment="1">
      <alignment horizontal="center" vertical="center" wrapText="1"/>
    </xf>
    <xf numFmtId="10" fontId="0" fillId="33" borderId="49" xfId="0" applyNumberFormat="1" applyFill="1" applyBorder="1"/>
    <xf numFmtId="9" fontId="13" fillId="0" borderId="69" xfId="0" applyNumberFormat="1" applyFont="1" applyBorder="1" applyAlignment="1">
      <alignment horizontal="center"/>
    </xf>
    <xf numFmtId="9" fontId="13" fillId="0" borderId="74" xfId="0" applyNumberFormat="1" applyFont="1" applyBorder="1" applyAlignment="1">
      <alignment horizontal="center"/>
    </xf>
    <xf numFmtId="0" fontId="13" fillId="14" borderId="243" xfId="0" applyFont="1" applyFill="1" applyBorder="1" applyAlignment="1">
      <alignment horizontal="center"/>
    </xf>
    <xf numFmtId="0" fontId="13" fillId="14" borderId="244" xfId="0" applyFont="1" applyFill="1" applyBorder="1" applyAlignment="1">
      <alignment horizontal="center"/>
    </xf>
    <xf numFmtId="0" fontId="13" fillId="0" borderId="245" xfId="0" applyFont="1" applyBorder="1" applyAlignment="1">
      <alignment horizontal="center"/>
    </xf>
    <xf numFmtId="0" fontId="13" fillId="0" borderId="246" xfId="0" applyFont="1" applyBorder="1" applyAlignment="1">
      <alignment horizontal="center"/>
    </xf>
    <xf numFmtId="0" fontId="0" fillId="33" borderId="66" xfId="0" applyFill="1" applyBorder="1"/>
    <xf numFmtId="0" fontId="0" fillId="33" borderId="68" xfId="0" applyFill="1" applyBorder="1"/>
    <xf numFmtId="0" fontId="13" fillId="8" borderId="247" xfId="0" applyFont="1" applyFill="1" applyBorder="1" applyAlignment="1">
      <alignment horizontal="center"/>
    </xf>
    <xf numFmtId="9" fontId="8" fillId="0" borderId="249" xfId="0" applyNumberFormat="1" applyFont="1" applyBorder="1" applyAlignment="1">
      <alignment horizontal="center"/>
    </xf>
    <xf numFmtId="9" fontId="8" fillId="0" borderId="250" xfId="0" applyNumberFormat="1" applyFont="1" applyBorder="1" applyAlignment="1">
      <alignment horizontal="center"/>
    </xf>
    <xf numFmtId="0" fontId="0" fillId="33" borderId="0" xfId="0" applyFill="1"/>
    <xf numFmtId="0" fontId="13" fillId="8" borderId="251" xfId="0" applyFont="1" applyFill="1" applyBorder="1" applyAlignment="1">
      <alignment horizontal="center"/>
    </xf>
    <xf numFmtId="0" fontId="13" fillId="8" borderId="234" xfId="0" applyFont="1" applyFill="1" applyBorder="1" applyAlignment="1">
      <alignment horizontal="center"/>
    </xf>
    <xf numFmtId="9" fontId="8" fillId="0" borderId="252" xfId="0" applyNumberFormat="1" applyFont="1" applyBorder="1" applyAlignment="1">
      <alignment horizontal="center"/>
    </xf>
    <xf numFmtId="9" fontId="8" fillId="0" borderId="253" xfId="0" applyNumberFormat="1" applyFont="1" applyBorder="1" applyAlignment="1">
      <alignment horizontal="center"/>
    </xf>
    <xf numFmtId="9" fontId="8" fillId="0" borderId="254" xfId="0" applyNumberFormat="1" applyFont="1" applyBorder="1" applyAlignment="1">
      <alignment horizontal="center"/>
    </xf>
    <xf numFmtId="0" fontId="13" fillId="8" borderId="255" xfId="0" applyFont="1" applyFill="1" applyBorder="1" applyAlignment="1">
      <alignment horizontal="center"/>
    </xf>
    <xf numFmtId="9" fontId="8" fillId="0" borderId="256" xfId="0" applyNumberFormat="1" applyFont="1" applyBorder="1" applyAlignment="1">
      <alignment horizontal="center"/>
    </xf>
    <xf numFmtId="9" fontId="8" fillId="0" borderId="257" xfId="0" applyNumberFormat="1" applyFont="1" applyBorder="1" applyAlignment="1">
      <alignment horizontal="center"/>
    </xf>
    <xf numFmtId="9" fontId="8" fillId="0" borderId="258" xfId="0" applyNumberFormat="1" applyFont="1" applyBorder="1" applyAlignment="1">
      <alignment horizontal="center"/>
    </xf>
    <xf numFmtId="180" fontId="13" fillId="0" borderId="259" xfId="0" applyNumberFormat="1" applyFont="1" applyBorder="1" applyAlignment="1">
      <alignment horizontal="center"/>
    </xf>
    <xf numFmtId="180" fontId="13" fillId="0" borderId="39" xfId="0" applyNumberFormat="1" applyFont="1" applyBorder="1" applyAlignment="1">
      <alignment horizontal="center"/>
    </xf>
    <xf numFmtId="180" fontId="13" fillId="0" borderId="244" xfId="0" applyNumberFormat="1" applyFont="1" applyBorder="1" applyAlignment="1">
      <alignment horizontal="center"/>
    </xf>
    <xf numFmtId="0" fontId="13" fillId="0" borderId="259" xfId="0" applyFont="1" applyBorder="1" applyAlignment="1">
      <alignment horizontal="center"/>
    </xf>
    <xf numFmtId="10" fontId="0" fillId="33" borderId="75" xfId="0" applyNumberFormat="1" applyFill="1" applyBorder="1"/>
    <xf numFmtId="180" fontId="0" fillId="0" borderId="260" xfId="0" applyNumberFormat="1" applyBorder="1" applyAlignment="1">
      <alignment horizontal="center"/>
    </xf>
    <xf numFmtId="180" fontId="0" fillId="0" borderId="50" xfId="0" applyNumberFormat="1" applyBorder="1" applyAlignment="1">
      <alignment horizontal="center"/>
    </xf>
    <xf numFmtId="10" fontId="75" fillId="0" borderId="0" xfId="0" applyNumberFormat="1" applyFont="1" applyAlignment="1">
      <alignment horizontal="center"/>
    </xf>
    <xf numFmtId="0" fontId="13" fillId="52" borderId="109" xfId="0" applyFont="1" applyFill="1" applyBorder="1"/>
    <xf numFmtId="0" fontId="13" fillId="52" borderId="217" xfId="0" applyFont="1" applyFill="1" applyBorder="1"/>
    <xf numFmtId="0" fontId="13" fillId="52" borderId="107" xfId="0" applyFont="1" applyFill="1" applyBorder="1"/>
    <xf numFmtId="0" fontId="13" fillId="52" borderId="45" xfId="0" applyFont="1" applyFill="1" applyBorder="1"/>
    <xf numFmtId="0" fontId="8" fillId="52" borderId="109" xfId="0" applyFont="1" applyFill="1" applyBorder="1"/>
    <xf numFmtId="10" fontId="8" fillId="0" borderId="162" xfId="0" applyNumberFormat="1" applyFont="1" applyBorder="1"/>
    <xf numFmtId="0" fontId="0" fillId="0" borderId="221" xfId="0" applyBorder="1"/>
    <xf numFmtId="10" fontId="0" fillId="0" borderId="261" xfId="0" applyNumberFormat="1" applyBorder="1"/>
    <xf numFmtId="0" fontId="0" fillId="0" borderId="262" xfId="0" applyBorder="1"/>
    <xf numFmtId="10" fontId="0" fillId="53" borderId="263" xfId="0" applyNumberFormat="1" applyFill="1" applyBorder="1"/>
    <xf numFmtId="10" fontId="0" fillId="0" borderId="263" xfId="0" applyNumberFormat="1" applyBorder="1"/>
    <xf numFmtId="0" fontId="0" fillId="0" borderId="264" xfId="0" applyBorder="1"/>
    <xf numFmtId="0" fontId="13" fillId="54" borderId="45" xfId="0" applyFont="1" applyFill="1" applyBorder="1"/>
    <xf numFmtId="0" fontId="13" fillId="54" borderId="44" xfId="0" applyFont="1" applyFill="1" applyBorder="1"/>
    <xf numFmtId="0" fontId="8" fillId="55" borderId="45" xfId="0" applyFont="1" applyFill="1" applyBorder="1"/>
    <xf numFmtId="9" fontId="8" fillId="0" borderId="38" xfId="0" applyNumberFormat="1" applyFont="1" applyBorder="1"/>
    <xf numFmtId="0" fontId="85" fillId="0" borderId="0" xfId="0" applyFont="1"/>
    <xf numFmtId="0" fontId="8" fillId="55" borderId="2" xfId="0" applyFont="1" applyFill="1" applyBorder="1"/>
    <xf numFmtId="4" fontId="8" fillId="0" borderId="38" xfId="0" applyNumberFormat="1" applyFont="1" applyBorder="1"/>
    <xf numFmtId="3" fontId="1" fillId="42" borderId="109" xfId="30" applyNumberFormat="1" applyFont="1" applyFill="1" applyBorder="1" applyAlignment="1">
      <alignment horizontal="center" vertical="center"/>
    </xf>
    <xf numFmtId="181" fontId="33" fillId="38" borderId="109" xfId="16" applyNumberFormat="1" applyFont="1" applyFill="1" applyBorder="1" applyAlignment="1">
      <alignment horizontal="center" vertical="center"/>
    </xf>
    <xf numFmtId="3" fontId="61" fillId="0" borderId="109" xfId="0" applyNumberFormat="1" applyFont="1" applyBorder="1" applyAlignment="1">
      <alignment horizontal="center" vertical="center"/>
    </xf>
    <xf numFmtId="3" fontId="25" fillId="38" borderId="109" xfId="0" applyNumberFormat="1" applyFont="1" applyFill="1" applyBorder="1" applyAlignment="1">
      <alignment horizontal="center" vertical="center"/>
    </xf>
    <xf numFmtId="3" fontId="61" fillId="38" borderId="109" xfId="0" applyNumberFormat="1" applyFont="1" applyFill="1" applyBorder="1" applyAlignment="1">
      <alignment horizontal="center" vertical="center"/>
    </xf>
    <xf numFmtId="3" fontId="68" fillId="38" borderId="109" xfId="0" quotePrefix="1" applyNumberFormat="1" applyFont="1" applyFill="1" applyBorder="1" applyAlignment="1">
      <alignment horizontal="center" vertical="center"/>
    </xf>
    <xf numFmtId="9" fontId="33" fillId="38" borderId="221" xfId="16" applyFont="1" applyFill="1" applyBorder="1" applyAlignment="1">
      <alignment horizontal="center" vertical="center"/>
    </xf>
    <xf numFmtId="181" fontId="33" fillId="42" borderId="265" xfId="30" applyNumberFormat="1" applyFont="1" applyFill="1" applyBorder="1" applyAlignment="1">
      <alignment horizontal="center" vertical="center"/>
    </xf>
    <xf numFmtId="3" fontId="1" fillId="42" borderId="223" xfId="30" applyNumberFormat="1" applyFont="1" applyFill="1" applyBorder="1" applyAlignment="1">
      <alignment horizontal="center" vertical="center"/>
    </xf>
    <xf numFmtId="181" fontId="33" fillId="38" borderId="223" xfId="16" applyNumberFormat="1" applyFont="1" applyFill="1" applyBorder="1" applyAlignment="1">
      <alignment horizontal="center" vertical="center"/>
    </xf>
    <xf numFmtId="3" fontId="61" fillId="0" borderId="223" xfId="0" applyNumberFormat="1" applyFont="1" applyBorder="1" applyAlignment="1">
      <alignment horizontal="center" vertical="center"/>
    </xf>
    <xf numFmtId="3" fontId="61" fillId="0" borderId="224" xfId="0" applyNumberFormat="1" applyFont="1" applyBorder="1" applyAlignment="1">
      <alignment horizontal="center" vertical="center"/>
    </xf>
    <xf numFmtId="0" fontId="68" fillId="38" borderId="223" xfId="0" applyFont="1" applyFill="1" applyBorder="1" applyAlignment="1">
      <alignment horizontal="center" vertical="center"/>
    </xf>
    <xf numFmtId="3" fontId="25" fillId="38" borderId="223" xfId="0" applyNumberFormat="1" applyFont="1" applyFill="1" applyBorder="1" applyAlignment="1">
      <alignment horizontal="center" vertical="center"/>
    </xf>
    <xf numFmtId="3" fontId="61" fillId="38" borderId="223" xfId="0" applyNumberFormat="1" applyFont="1" applyFill="1" applyBorder="1" applyAlignment="1">
      <alignment horizontal="center" vertical="center"/>
    </xf>
    <xf numFmtId="3" fontId="68" fillId="38" borderId="223" xfId="0" quotePrefix="1" applyNumberFormat="1" applyFont="1" applyFill="1" applyBorder="1" applyAlignment="1">
      <alignment horizontal="center" vertical="center"/>
    </xf>
    <xf numFmtId="0" fontId="61" fillId="38" borderId="225" xfId="0" applyFont="1" applyFill="1" applyBorder="1" applyAlignment="1">
      <alignment horizontal="center" vertical="center"/>
    </xf>
    <xf numFmtId="3" fontId="61" fillId="38" borderId="266" xfId="0" applyNumberFormat="1" applyFont="1" applyFill="1" applyBorder="1" applyAlignment="1">
      <alignment horizontal="center" vertical="center"/>
    </xf>
    <xf numFmtId="0" fontId="58" fillId="0" borderId="109" xfId="0" applyFont="1" applyBorder="1" applyAlignment="1">
      <alignment horizontal="center" vertical="center"/>
    </xf>
    <xf numFmtId="3" fontId="58" fillId="40" borderId="109" xfId="0" applyNumberFormat="1" applyFont="1" applyFill="1" applyBorder="1" applyAlignment="1">
      <alignment horizontal="center" vertical="center"/>
    </xf>
    <xf numFmtId="0" fontId="58" fillId="41" borderId="109" xfId="0" applyFont="1" applyFill="1" applyBorder="1" applyAlignment="1">
      <alignment horizontal="center" vertical="center"/>
    </xf>
    <xf numFmtId="3" fontId="58" fillId="40" borderId="109" xfId="0" quotePrefix="1" applyNumberFormat="1" applyFont="1" applyFill="1" applyBorder="1" applyAlignment="1">
      <alignment horizontal="center" vertical="center"/>
    </xf>
    <xf numFmtId="3" fontId="58" fillId="0" borderId="109" xfId="0" applyNumberFormat="1" applyFont="1" applyBorder="1" applyAlignment="1">
      <alignment horizontal="center" vertical="center"/>
    </xf>
    <xf numFmtId="1" fontId="0" fillId="0" borderId="221" xfId="0" applyNumberFormat="1" applyBorder="1" applyAlignment="1">
      <alignment horizontal="center" vertical="center"/>
    </xf>
    <xf numFmtId="1" fontId="0" fillId="0" borderId="265" xfId="0" applyNumberFormat="1" applyBorder="1" applyAlignment="1">
      <alignment horizontal="center" vertical="center"/>
    </xf>
    <xf numFmtId="1" fontId="0" fillId="0" borderId="222" xfId="0" applyNumberFormat="1" applyBorder="1" applyAlignment="1">
      <alignment horizontal="center" vertical="center"/>
    </xf>
    <xf numFmtId="0" fontId="58" fillId="0" borderId="223" xfId="0" applyFont="1" applyBorder="1" applyAlignment="1">
      <alignment horizontal="center" vertical="center"/>
    </xf>
    <xf numFmtId="0" fontId="58" fillId="0" borderId="224" xfId="0" applyFont="1" applyBorder="1" applyAlignment="1">
      <alignment horizontal="center" vertical="center"/>
    </xf>
    <xf numFmtId="3" fontId="58" fillId="40" borderId="223" xfId="0" applyNumberFormat="1" applyFont="1" applyFill="1" applyBorder="1" applyAlignment="1">
      <alignment horizontal="center" vertical="center"/>
    </xf>
    <xf numFmtId="3" fontId="58" fillId="40" borderId="224" xfId="0" applyNumberFormat="1" applyFont="1" applyFill="1" applyBorder="1" applyAlignment="1">
      <alignment horizontal="center" vertical="center"/>
    </xf>
    <xf numFmtId="0" fontId="58" fillId="41" borderId="223" xfId="0" applyFont="1" applyFill="1" applyBorder="1" applyAlignment="1">
      <alignment horizontal="center" vertical="center"/>
    </xf>
    <xf numFmtId="0" fontId="58" fillId="41" borderId="224" xfId="0" applyFont="1" applyFill="1" applyBorder="1" applyAlignment="1">
      <alignment horizontal="center" vertical="center"/>
    </xf>
    <xf numFmtId="3" fontId="58" fillId="40" borderId="223" xfId="0" quotePrefix="1" applyNumberFormat="1" applyFont="1" applyFill="1" applyBorder="1" applyAlignment="1">
      <alignment horizontal="center" vertical="center"/>
    </xf>
    <xf numFmtId="3" fontId="58" fillId="40" borderId="224" xfId="0" quotePrefix="1" applyNumberFormat="1" applyFont="1" applyFill="1" applyBorder="1" applyAlignment="1">
      <alignment horizontal="center" vertical="center"/>
    </xf>
    <xf numFmtId="3" fontId="58" fillId="0" borderId="223" xfId="0" applyNumberFormat="1" applyFont="1" applyBorder="1" applyAlignment="1">
      <alignment horizontal="center" vertical="center"/>
    </xf>
    <xf numFmtId="3" fontId="58" fillId="0" borderId="224" xfId="0" applyNumberFormat="1" applyFont="1" applyBorder="1" applyAlignment="1">
      <alignment horizontal="center" vertical="center"/>
    </xf>
    <xf numFmtId="0" fontId="8" fillId="52" borderId="110" xfId="0" applyFont="1" applyFill="1" applyBorder="1"/>
    <xf numFmtId="10" fontId="8" fillId="0" borderId="218" xfId="0" applyNumberFormat="1" applyFont="1" applyBorder="1"/>
    <xf numFmtId="0" fontId="8" fillId="52" borderId="45" xfId="0" applyFont="1" applyFill="1" applyBorder="1"/>
    <xf numFmtId="10" fontId="8" fillId="0" borderId="44" xfId="0" applyNumberFormat="1" applyFont="1" applyBorder="1"/>
    <xf numFmtId="10" fontId="0" fillId="0" borderId="138" xfId="0" applyNumberFormat="1" applyBorder="1"/>
    <xf numFmtId="0" fontId="13" fillId="54" borderId="1" xfId="0" applyFont="1" applyFill="1" applyBorder="1"/>
    <xf numFmtId="0" fontId="13" fillId="55" borderId="2" xfId="0" applyFont="1" applyFill="1" applyBorder="1"/>
    <xf numFmtId="0" fontId="0" fillId="14" borderId="0" xfId="24" applyFont="1" applyFill="1" applyAlignment="1">
      <alignment horizontal="center"/>
    </xf>
    <xf numFmtId="0" fontId="0" fillId="57" borderId="0" xfId="24" applyFont="1" applyFill="1" applyAlignment="1">
      <alignment horizontal="center"/>
    </xf>
    <xf numFmtId="177" fontId="0" fillId="0" borderId="103" xfId="26" applyNumberFormat="1" applyFont="1" applyBorder="1" applyAlignment="1">
      <alignment vertical="center"/>
    </xf>
    <xf numFmtId="3" fontId="34" fillId="0" borderId="0" xfId="0" applyNumberFormat="1" applyFont="1" applyAlignment="1">
      <alignment horizontal="center"/>
    </xf>
    <xf numFmtId="177" fontId="8" fillId="0" borderId="103" xfId="26" applyNumberFormat="1" applyBorder="1" applyAlignment="1">
      <alignment vertical="center"/>
    </xf>
    <xf numFmtId="4" fontId="80" fillId="28" borderId="103" xfId="7" applyFont="1" applyFill="1" applyBorder="1" applyAlignment="1">
      <alignment horizontal="right" vertical="center"/>
    </xf>
    <xf numFmtId="4" fontId="8" fillId="0" borderId="103" xfId="26" applyNumberFormat="1" applyBorder="1" applyAlignment="1">
      <alignment vertical="center"/>
    </xf>
    <xf numFmtId="0" fontId="8" fillId="28" borderId="103" xfId="10" applyFont="1" applyFill="1" applyBorder="1" applyAlignment="1">
      <alignment horizontal="right" vertical="center"/>
    </xf>
    <xf numFmtId="0" fontId="0" fillId="8" borderId="0" xfId="0" applyFill="1" applyAlignment="1">
      <alignment horizontal="center" vertical="center" wrapText="1"/>
    </xf>
    <xf numFmtId="0" fontId="13" fillId="52" borderId="110" xfId="0" applyFont="1" applyFill="1" applyBorder="1"/>
    <xf numFmtId="0" fontId="13" fillId="52" borderId="267" xfId="0" applyFont="1" applyFill="1" applyBorder="1"/>
    <xf numFmtId="0" fontId="13" fillId="52" borderId="268" xfId="0" applyFont="1" applyFill="1" applyBorder="1"/>
    <xf numFmtId="0" fontId="13" fillId="52" borderId="3" xfId="0" applyFont="1" applyFill="1" applyBorder="1"/>
    <xf numFmtId="0" fontId="8" fillId="57" borderId="161" xfId="24" applyFill="1" applyBorder="1"/>
    <xf numFmtId="0" fontId="0" fillId="55" borderId="45" xfId="0" applyFill="1" applyBorder="1"/>
    <xf numFmtId="10" fontId="0" fillId="58" borderId="263" xfId="0" applyNumberFormat="1" applyFill="1" applyBorder="1"/>
    <xf numFmtId="177" fontId="0" fillId="0" borderId="38" xfId="0" applyNumberFormat="1" applyBorder="1"/>
    <xf numFmtId="177" fontId="8" fillId="0" borderId="38" xfId="0" applyNumberFormat="1" applyFont="1" applyBorder="1"/>
    <xf numFmtId="177" fontId="13" fillId="0" borderId="38" xfId="0" applyNumberFormat="1" applyFont="1" applyBorder="1"/>
    <xf numFmtId="0" fontId="0" fillId="52" borderId="109" xfId="0" applyFill="1" applyBorder="1"/>
    <xf numFmtId="10" fontId="0" fillId="0" borderId="109" xfId="0" applyNumberFormat="1" applyBorder="1"/>
    <xf numFmtId="0" fontId="0" fillId="55" borderId="109" xfId="0" applyFill="1" applyBorder="1"/>
    <xf numFmtId="177" fontId="0" fillId="0" borderId="109" xfId="0" applyNumberFormat="1" applyBorder="1"/>
    <xf numFmtId="0" fontId="13" fillId="54" borderId="3" xfId="0" applyFont="1" applyFill="1" applyBorder="1"/>
    <xf numFmtId="0" fontId="13" fillId="54" borderId="35" xfId="0" applyFont="1" applyFill="1" applyBorder="1"/>
    <xf numFmtId="0" fontId="13" fillId="54" borderId="5" xfId="0" applyFont="1" applyFill="1" applyBorder="1"/>
    <xf numFmtId="0" fontId="8" fillId="14" borderId="109" xfId="24" applyFill="1" applyBorder="1"/>
    <xf numFmtId="0" fontId="84" fillId="14" borderId="109" xfId="0" applyFont="1" applyFill="1" applyBorder="1"/>
    <xf numFmtId="0" fontId="0" fillId="0" borderId="122" xfId="0" applyBorder="1"/>
    <xf numFmtId="10" fontId="0" fillId="58" borderId="224" xfId="24" applyNumberFormat="1" applyFont="1" applyFill="1" applyBorder="1"/>
    <xf numFmtId="10" fontId="0" fillId="0" borderId="113" xfId="0" applyNumberFormat="1" applyBorder="1"/>
    <xf numFmtId="10" fontId="0" fillId="0" borderId="224" xfId="0" applyNumberFormat="1" applyBorder="1"/>
    <xf numFmtId="177" fontId="8" fillId="0" borderId="109" xfId="24" applyNumberFormat="1" applyBorder="1"/>
    <xf numFmtId="0" fontId="13" fillId="59" borderId="109" xfId="24" applyFont="1" applyFill="1" applyBorder="1"/>
    <xf numFmtId="177" fontId="84" fillId="0" borderId="109" xfId="0" applyNumberFormat="1" applyFont="1" applyBorder="1"/>
    <xf numFmtId="4" fontId="0" fillId="25" borderId="1" xfId="0" applyNumberFormat="1" applyFill="1" applyBorder="1" applyAlignment="1">
      <alignment horizontal="center"/>
    </xf>
    <xf numFmtId="4" fontId="0" fillId="25" borderId="1" xfId="16" applyNumberFormat="1" applyFont="1" applyFill="1" applyBorder="1" applyAlignment="1">
      <alignment horizontal="center"/>
    </xf>
    <xf numFmtId="0" fontId="8" fillId="57" borderId="109" xfId="24" applyFill="1" applyBorder="1"/>
    <xf numFmtId="0" fontId="8" fillId="57" borderId="110" xfId="24" applyFill="1" applyBorder="1"/>
    <xf numFmtId="177" fontId="8" fillId="0" borderId="267" xfId="24" applyNumberFormat="1" applyBorder="1"/>
    <xf numFmtId="9" fontId="8" fillId="0" borderId="109" xfId="24" applyNumberFormat="1" applyBorder="1"/>
    <xf numFmtId="1" fontId="58" fillId="41" borderId="223" xfId="0" applyNumberFormat="1" applyFont="1" applyFill="1" applyBorder="1" applyAlignment="1">
      <alignment horizontal="center" vertical="center"/>
    </xf>
    <xf numFmtId="3" fontId="0" fillId="8" borderId="0" xfId="0" applyNumberFormat="1" applyFill="1" applyAlignment="1">
      <alignment horizontal="center"/>
    </xf>
    <xf numFmtId="4" fontId="32" fillId="9" borderId="103" xfId="7" applyFont="1" applyFill="1" applyBorder="1" applyAlignment="1">
      <alignment horizontal="right" vertical="center"/>
    </xf>
    <xf numFmtId="0" fontId="8" fillId="0" borderId="221" xfId="24" applyBorder="1"/>
    <xf numFmtId="0" fontId="8" fillId="0" borderId="223" xfId="24" applyBorder="1"/>
    <xf numFmtId="0" fontId="8" fillId="0" borderId="225" xfId="24" applyBorder="1"/>
    <xf numFmtId="0" fontId="8" fillId="62" borderId="109" xfId="24" applyFill="1" applyBorder="1"/>
    <xf numFmtId="177" fontId="0" fillId="0" borderId="0" xfId="0" applyNumberFormat="1"/>
    <xf numFmtId="3" fontId="8" fillId="8" borderId="109" xfId="0" applyNumberFormat="1" applyFont="1" applyFill="1" applyBorder="1"/>
    <xf numFmtId="0" fontId="0" fillId="0" borderId="164" xfId="0" applyBorder="1"/>
    <xf numFmtId="0" fontId="0" fillId="0" borderId="129" xfId="0" applyBorder="1"/>
    <xf numFmtId="0" fontId="84" fillId="0" borderId="118" xfId="0" applyFont="1" applyBorder="1"/>
    <xf numFmtId="9" fontId="0" fillId="8" borderId="0" xfId="0" applyNumberFormat="1" applyFill="1" applyAlignment="1">
      <alignment horizontal="center"/>
    </xf>
    <xf numFmtId="0" fontId="0" fillId="8" borderId="113" xfId="0" applyFill="1" applyBorder="1" applyAlignment="1">
      <alignment horizontal="center"/>
    </xf>
    <xf numFmtId="9" fontId="0" fillId="8" borderId="129" xfId="0" applyNumberFormat="1" applyFill="1" applyBorder="1" applyAlignment="1">
      <alignment horizontal="center"/>
    </xf>
    <xf numFmtId="0" fontId="62" fillId="8" borderId="138" xfId="0" applyFont="1" applyFill="1" applyBorder="1" applyAlignment="1">
      <alignment horizontal="center"/>
    </xf>
    <xf numFmtId="0" fontId="84" fillId="0" borderId="112" xfId="0" applyFont="1" applyBorder="1" applyAlignment="1">
      <alignment horizontal="center"/>
    </xf>
    <xf numFmtId="0" fontId="84" fillId="0" borderId="170" xfId="0" applyFont="1" applyBorder="1" applyAlignment="1">
      <alignment horizontal="center"/>
    </xf>
    <xf numFmtId="0" fontId="84" fillId="0" borderId="115" xfId="0" applyFont="1" applyBorder="1"/>
    <xf numFmtId="0" fontId="0" fillId="8" borderId="221" xfId="0" applyFill="1" applyBorder="1" applyAlignment="1">
      <alignment horizontal="center" vertical="center" wrapText="1"/>
    </xf>
    <xf numFmtId="0" fontId="0" fillId="8" borderId="225" xfId="0" applyFill="1" applyBorder="1" applyAlignment="1">
      <alignment horizontal="center" vertical="center" wrapText="1"/>
    </xf>
    <xf numFmtId="3" fontId="0" fillId="0" borderId="271" xfId="0" applyNumberFormat="1" applyBorder="1" applyAlignment="1">
      <alignment horizontal="right"/>
    </xf>
    <xf numFmtId="3" fontId="0" fillId="0" borderId="272" xfId="0" applyNumberFormat="1" applyBorder="1"/>
    <xf numFmtId="10" fontId="0" fillId="0" borderId="275" xfId="0" applyNumberFormat="1" applyBorder="1"/>
    <xf numFmtId="10" fontId="0" fillId="0" borderId="232" xfId="0" applyNumberFormat="1" applyBorder="1"/>
    <xf numFmtId="10" fontId="0" fillId="0" borderId="273" xfId="0" applyNumberFormat="1" applyBorder="1" applyAlignment="1">
      <alignment horizontal="right"/>
    </xf>
    <xf numFmtId="10" fontId="0" fillId="0" borderId="274" xfId="0" applyNumberFormat="1" applyBorder="1"/>
    <xf numFmtId="0" fontId="0" fillId="0" borderId="137" xfId="0" applyBorder="1" applyAlignment="1">
      <alignment horizontal="center"/>
    </xf>
    <xf numFmtId="195" fontId="0" fillId="0" borderId="138" xfId="0" applyNumberFormat="1" applyBorder="1"/>
    <xf numFmtId="195" fontId="0" fillId="0" borderId="137" xfId="0" applyNumberFormat="1" applyBorder="1"/>
    <xf numFmtId="0" fontId="0" fillId="0" borderId="164" xfId="0" applyBorder="1" applyAlignment="1">
      <alignment horizontal="center"/>
    </xf>
    <xf numFmtId="181" fontId="0" fillId="0" borderId="0" xfId="0" applyNumberFormat="1"/>
    <xf numFmtId="181" fontId="0" fillId="8" borderId="0" xfId="0" applyNumberFormat="1" applyFill="1" applyAlignment="1">
      <alignment horizontal="center"/>
    </xf>
    <xf numFmtId="181" fontId="0" fillId="8" borderId="129" xfId="0" applyNumberFormat="1" applyFill="1" applyBorder="1" applyAlignment="1">
      <alignment horizontal="center"/>
    </xf>
    <xf numFmtId="0" fontId="8" fillId="57" borderId="110" xfId="24" quotePrefix="1" applyFill="1" applyBorder="1"/>
    <xf numFmtId="0" fontId="8" fillId="24" borderId="109" xfId="24" quotePrefix="1" applyFill="1" applyBorder="1"/>
    <xf numFmtId="197" fontId="0" fillId="0" borderId="38" xfId="0" applyNumberFormat="1" applyBorder="1"/>
    <xf numFmtId="4" fontId="0" fillId="3" borderId="103" xfId="7" applyFont="1" applyBorder="1" applyAlignment="1">
      <alignment horizontal="right" vertical="center" wrapText="1"/>
    </xf>
    <xf numFmtId="0" fontId="25" fillId="20" borderId="103" xfId="10" applyFont="1" applyFill="1" applyBorder="1" applyAlignment="1">
      <alignment vertical="center"/>
    </xf>
    <xf numFmtId="0" fontId="25" fillId="20" borderId="103" xfId="26" applyFont="1" applyFill="1" applyBorder="1"/>
    <xf numFmtId="0" fontId="8" fillId="8" borderId="0" xfId="24" applyFill="1" applyAlignment="1">
      <alignment horizontal="right"/>
    </xf>
    <xf numFmtId="196" fontId="8" fillId="8" borderId="0" xfId="24" applyNumberFormat="1" applyFill="1"/>
    <xf numFmtId="0" fontId="8" fillId="57" borderId="109" xfId="24" applyFill="1" applyBorder="1" applyAlignment="1">
      <alignment horizontal="left"/>
    </xf>
    <xf numFmtId="9" fontId="8" fillId="8" borderId="109" xfId="24" applyNumberFormat="1" applyFill="1" applyBorder="1"/>
    <xf numFmtId="3" fontId="8" fillId="8" borderId="110" xfId="0" applyNumberFormat="1" applyFont="1" applyFill="1" applyBorder="1"/>
    <xf numFmtId="9" fontId="8" fillId="8" borderId="0" xfId="24" applyNumberFormat="1" applyFill="1"/>
    <xf numFmtId="9" fontId="8" fillId="8" borderId="0" xfId="24" applyNumberFormat="1" applyFill="1" applyAlignment="1">
      <alignment wrapText="1"/>
    </xf>
    <xf numFmtId="197" fontId="0" fillId="51" borderId="38" xfId="0" applyNumberFormat="1" applyFill="1" applyBorder="1"/>
    <xf numFmtId="0" fontId="34" fillId="8" borderId="0" xfId="24" applyFont="1" applyFill="1"/>
    <xf numFmtId="0" fontId="89" fillId="8" borderId="0" xfId="0" applyFont="1" applyFill="1" applyAlignment="1">
      <alignment horizontal="center" wrapText="1"/>
    </xf>
    <xf numFmtId="10" fontId="8" fillId="61" borderId="222" xfId="24" applyNumberFormat="1" applyFill="1" applyBorder="1"/>
    <xf numFmtId="10" fontId="8" fillId="0" borderId="224" xfId="24" applyNumberFormat="1" applyBorder="1"/>
    <xf numFmtId="10" fontId="8" fillId="0" borderId="226" xfId="24" applyNumberFormat="1" applyBorder="1"/>
    <xf numFmtId="2" fontId="8" fillId="0" borderId="109" xfId="0" applyNumberFormat="1" applyFont="1" applyBorder="1"/>
    <xf numFmtId="0" fontId="8" fillId="60" borderId="161" xfId="24" applyFill="1" applyBorder="1" applyAlignment="1">
      <alignment wrapText="1"/>
    </xf>
    <xf numFmtId="0" fontId="8" fillId="52" borderId="109" xfId="0" applyFont="1" applyFill="1" applyBorder="1" applyAlignment="1">
      <alignment horizontal="right"/>
    </xf>
    <xf numFmtId="3" fontId="8" fillId="0" borderId="109" xfId="0" applyNumberFormat="1" applyFont="1" applyBorder="1" applyAlignment="1">
      <alignment horizontal="right"/>
    </xf>
    <xf numFmtId="0" fontId="89" fillId="57" borderId="109" xfId="0" applyFont="1" applyFill="1" applyBorder="1" applyAlignment="1">
      <alignment horizontal="right" wrapText="1"/>
    </xf>
    <xf numFmtId="3" fontId="89" fillId="8" borderId="109" xfId="0" applyNumberFormat="1" applyFont="1" applyFill="1" applyBorder="1" applyAlignment="1">
      <alignment horizontal="right" wrapText="1"/>
    </xf>
    <xf numFmtId="10" fontId="89" fillId="8" borderId="109" xfId="0" applyNumberFormat="1" applyFont="1" applyFill="1" applyBorder="1" applyAlignment="1">
      <alignment horizontal="right" wrapText="1"/>
    </xf>
    <xf numFmtId="0" fontId="8" fillId="57" borderId="269" xfId="24" applyFill="1" applyBorder="1"/>
    <xf numFmtId="10" fontId="8" fillId="0" borderId="276" xfId="24" applyNumberFormat="1" applyBorder="1"/>
    <xf numFmtId="9" fontId="8" fillId="0" borderId="0" xfId="24" applyNumberFormat="1"/>
    <xf numFmtId="17" fontId="8" fillId="0" borderId="109" xfId="24" applyNumberFormat="1" applyBorder="1"/>
    <xf numFmtId="0" fontId="8" fillId="0" borderId="109" xfId="24" applyBorder="1"/>
    <xf numFmtId="197" fontId="8" fillId="0" borderId="0" xfId="24" applyNumberFormat="1"/>
    <xf numFmtId="0" fontId="13" fillId="61" borderId="109" xfId="24" applyFont="1" applyFill="1" applyBorder="1" applyAlignment="1">
      <alignment horizontal="right"/>
    </xf>
    <xf numFmtId="2" fontId="13" fillId="61" borderId="109" xfId="24" applyNumberFormat="1" applyFont="1" applyFill="1" applyBorder="1"/>
    <xf numFmtId="196" fontId="13" fillId="61" borderId="0" xfId="24" applyNumberFormat="1" applyFont="1" applyFill="1"/>
    <xf numFmtId="4" fontId="8" fillId="8" borderId="109" xfId="0" applyNumberFormat="1" applyFont="1" applyFill="1" applyBorder="1"/>
    <xf numFmtId="4" fontId="8" fillId="0" borderId="276" xfId="24" applyNumberFormat="1" applyBorder="1"/>
    <xf numFmtId="0" fontId="75" fillId="8" borderId="0" xfId="0" applyFont="1" applyFill="1" applyAlignment="1">
      <alignment horizontal="center"/>
    </xf>
    <xf numFmtId="10" fontId="75" fillId="8" borderId="0" xfId="0" applyNumberFormat="1" applyFont="1" applyFill="1" applyAlignment="1">
      <alignment horizontal="center"/>
    </xf>
    <xf numFmtId="0" fontId="68" fillId="38" borderId="109" xfId="0" applyFont="1" applyFill="1" applyBorder="1" applyAlignment="1">
      <alignment horizontal="center" vertical="center"/>
    </xf>
    <xf numFmtId="3" fontId="61" fillId="0" borderId="217" xfId="0" applyNumberFormat="1" applyFont="1" applyBorder="1" applyAlignment="1">
      <alignment horizontal="center" vertical="center"/>
    </xf>
    <xf numFmtId="181" fontId="33" fillId="42" borderId="271" xfId="30" applyNumberFormat="1" applyFont="1" applyFill="1" applyBorder="1" applyAlignment="1">
      <alignment horizontal="center" vertical="center"/>
    </xf>
    <xf numFmtId="3" fontId="4" fillId="42" borderId="161" xfId="30" applyNumberFormat="1" applyFill="1" applyBorder="1" applyAlignment="1">
      <alignment horizontal="center" vertical="center"/>
    </xf>
    <xf numFmtId="181" fontId="33" fillId="38" borderId="161" xfId="16" applyNumberFormat="1" applyFont="1" applyFill="1" applyBorder="1" applyAlignment="1">
      <alignment horizontal="center" vertical="center"/>
    </xf>
    <xf numFmtId="3" fontId="61" fillId="0" borderId="161" xfId="0" applyNumberFormat="1" applyFont="1" applyBorder="1" applyAlignment="1">
      <alignment horizontal="center" vertical="center"/>
    </xf>
    <xf numFmtId="0" fontId="68" fillId="38" borderId="161" xfId="0" applyFont="1" applyFill="1" applyBorder="1" applyAlignment="1">
      <alignment horizontal="center" vertical="center"/>
    </xf>
    <xf numFmtId="3" fontId="25" fillId="38" borderId="161" xfId="0" applyNumberFormat="1" applyFont="1" applyFill="1" applyBorder="1" applyAlignment="1">
      <alignment horizontal="center" vertical="center"/>
    </xf>
    <xf numFmtId="3" fontId="61" fillId="38" borderId="161" xfId="0" applyNumberFormat="1" applyFont="1" applyFill="1" applyBorder="1" applyAlignment="1">
      <alignment horizontal="center" vertical="center"/>
    </xf>
    <xf numFmtId="0" fontId="61" fillId="0" borderId="161" xfId="0" applyFont="1" applyBorder="1" applyAlignment="1">
      <alignment horizontal="center" vertical="center"/>
    </xf>
    <xf numFmtId="3" fontId="68" fillId="38" borderId="161" xfId="0" quotePrefix="1" applyNumberFormat="1" applyFont="1" applyFill="1" applyBorder="1" applyAlignment="1">
      <alignment horizontal="center" vertical="center"/>
    </xf>
    <xf numFmtId="0" fontId="61" fillId="38" borderId="272" xfId="0" applyFont="1" applyFill="1" applyBorder="1" applyAlignment="1">
      <alignment horizontal="center" vertical="center"/>
    </xf>
    <xf numFmtId="181" fontId="8" fillId="0" borderId="221" xfId="16" applyNumberFormat="1" applyFont="1" applyFill="1" applyBorder="1" applyAlignment="1">
      <alignment horizontal="center" vertical="center"/>
    </xf>
    <xf numFmtId="181" fontId="8" fillId="0" borderId="265" xfId="16" applyNumberFormat="1" applyFont="1" applyFill="1" applyBorder="1" applyAlignment="1">
      <alignment horizontal="center" vertical="center"/>
    </xf>
    <xf numFmtId="1" fontId="53" fillId="0" borderId="223" xfId="0" applyNumberFormat="1" applyFont="1" applyBorder="1" applyAlignment="1">
      <alignment horizontal="center" vertical="center"/>
    </xf>
    <xf numFmtId="1" fontId="53" fillId="0" borderId="109" xfId="0" applyNumberFormat="1" applyFont="1" applyBorder="1" applyAlignment="1">
      <alignment horizontal="center" vertical="center"/>
    </xf>
    <xf numFmtId="181" fontId="33" fillId="0" borderId="223" xfId="16" applyNumberFormat="1" applyFont="1" applyFill="1" applyBorder="1" applyAlignment="1">
      <alignment horizontal="center" vertical="center"/>
    </xf>
    <xf numFmtId="181" fontId="33" fillId="0" borderId="109" xfId="16" applyNumberFormat="1" applyFont="1" applyFill="1" applyBorder="1" applyAlignment="1">
      <alignment horizontal="center" vertical="center"/>
    </xf>
    <xf numFmtId="1" fontId="68" fillId="0" borderId="223" xfId="0" applyNumberFormat="1" applyFont="1" applyBorder="1" applyAlignment="1">
      <alignment horizontal="center" vertical="center"/>
    </xf>
    <xf numFmtId="1" fontId="68" fillId="0" borderId="109" xfId="0" applyNumberFormat="1" applyFont="1" applyBorder="1" applyAlignment="1">
      <alignment horizontal="center" vertical="center"/>
    </xf>
    <xf numFmtId="1" fontId="25" fillId="0" borderId="223" xfId="0" applyNumberFormat="1" applyFont="1" applyBorder="1" applyAlignment="1">
      <alignment horizontal="center" vertical="center"/>
    </xf>
    <xf numFmtId="1" fontId="25" fillId="0" borderId="109" xfId="0" applyNumberFormat="1" applyFont="1" applyBorder="1" applyAlignment="1">
      <alignment horizontal="center" vertical="center"/>
    </xf>
    <xf numFmtId="1" fontId="61" fillId="0" borderId="223" xfId="0" applyNumberFormat="1" applyFont="1" applyBorder="1" applyAlignment="1">
      <alignment horizontal="center" vertical="center"/>
    </xf>
    <xf numFmtId="1" fontId="61" fillId="0" borderId="109" xfId="0" applyNumberFormat="1" applyFont="1" applyBorder="1" applyAlignment="1">
      <alignment horizontal="center" vertical="center"/>
    </xf>
    <xf numFmtId="3" fontId="68" fillId="0" borderId="223" xfId="0" applyNumberFormat="1" applyFont="1" applyBorder="1" applyAlignment="1">
      <alignment horizontal="center" vertical="center"/>
    </xf>
    <xf numFmtId="3" fontId="68" fillId="0" borderId="109" xfId="0" applyNumberFormat="1" applyFont="1" applyBorder="1" applyAlignment="1">
      <alignment horizontal="center" vertical="center"/>
    </xf>
    <xf numFmtId="1" fontId="61" fillId="38" borderId="225" xfId="0" applyNumberFormat="1" applyFont="1" applyFill="1" applyBorder="1" applyAlignment="1">
      <alignment horizontal="center" vertical="center"/>
    </xf>
    <xf numFmtId="1" fontId="61" fillId="38" borderId="266" xfId="0" applyNumberFormat="1" applyFont="1" applyFill="1" applyBorder="1" applyAlignment="1">
      <alignment horizontal="center" vertical="center"/>
    </xf>
    <xf numFmtId="181" fontId="8" fillId="0" borderId="275" xfId="16" applyNumberFormat="1" applyFont="1" applyFill="1" applyBorder="1" applyAlignment="1">
      <alignment horizontal="center" vertical="center"/>
    </xf>
    <xf numFmtId="181" fontId="0" fillId="0" borderId="222" xfId="16" applyNumberFormat="1" applyFont="1" applyFill="1" applyBorder="1" applyAlignment="1">
      <alignment horizontal="center" vertical="center"/>
    </xf>
    <xf numFmtId="1" fontId="53" fillId="0" borderId="217" xfId="0" applyNumberFormat="1" applyFont="1" applyBorder="1" applyAlignment="1">
      <alignment horizontal="center" vertical="center"/>
    </xf>
    <xf numFmtId="1" fontId="53" fillId="0" borderId="224" xfId="0" applyNumberFormat="1" applyFont="1" applyBorder="1" applyAlignment="1">
      <alignment horizontal="center" vertical="center"/>
    </xf>
    <xf numFmtId="181" fontId="33" fillId="0" borderId="217" xfId="16" applyNumberFormat="1" applyFont="1" applyFill="1" applyBorder="1" applyAlignment="1">
      <alignment horizontal="center" vertical="center"/>
    </xf>
    <xf numFmtId="181" fontId="33" fillId="0" borderId="224" xfId="16" applyNumberFormat="1" applyFont="1" applyFill="1" applyBorder="1" applyAlignment="1">
      <alignment horizontal="center" vertical="center"/>
    </xf>
    <xf numFmtId="1" fontId="68" fillId="0" borderId="217" xfId="0" applyNumberFormat="1" applyFont="1" applyBorder="1" applyAlignment="1">
      <alignment horizontal="center" vertical="center"/>
    </xf>
    <xf numFmtId="1" fontId="68" fillId="0" borderId="224" xfId="0" applyNumberFormat="1" applyFont="1" applyBorder="1" applyAlignment="1">
      <alignment horizontal="center" vertical="center"/>
    </xf>
    <xf numFmtId="1" fontId="25" fillId="0" borderId="217" xfId="0" applyNumberFormat="1" applyFont="1" applyBorder="1" applyAlignment="1">
      <alignment horizontal="center" vertical="center"/>
    </xf>
    <xf numFmtId="1" fontId="25" fillId="0" borderId="224" xfId="0" applyNumberFormat="1" applyFont="1" applyBorder="1" applyAlignment="1">
      <alignment horizontal="center" vertical="center"/>
    </xf>
    <xf numFmtId="1" fontId="61" fillId="0" borderId="217" xfId="0" applyNumberFormat="1" applyFont="1" applyBorder="1" applyAlignment="1">
      <alignment horizontal="center" vertical="center"/>
    </xf>
    <xf numFmtId="1" fontId="61" fillId="0" borderId="224" xfId="0" applyNumberFormat="1" applyFont="1" applyBorder="1" applyAlignment="1">
      <alignment horizontal="center" vertical="center"/>
    </xf>
    <xf numFmtId="3" fontId="68" fillId="0" borderId="217" xfId="0" applyNumberFormat="1" applyFont="1" applyBorder="1" applyAlignment="1">
      <alignment horizontal="center" vertical="center"/>
    </xf>
    <xf numFmtId="3" fontId="68" fillId="0" borderId="224" xfId="0" applyNumberFormat="1" applyFont="1" applyBorder="1" applyAlignment="1">
      <alignment horizontal="center" vertical="center"/>
    </xf>
    <xf numFmtId="1" fontId="61" fillId="38" borderId="232" xfId="0" applyNumberFormat="1" applyFont="1" applyFill="1" applyBorder="1" applyAlignment="1">
      <alignment horizontal="center" vertical="center"/>
    </xf>
    <xf numFmtId="1" fontId="61" fillId="38" borderId="226" xfId="0" applyNumberFormat="1" applyFont="1" applyFill="1" applyBorder="1" applyAlignment="1">
      <alignment horizontal="center" vertical="center"/>
    </xf>
    <xf numFmtId="1" fontId="0" fillId="0" borderId="109" xfId="0" applyNumberFormat="1" applyBorder="1" applyAlignment="1">
      <alignment horizontal="center" vertical="center"/>
    </xf>
    <xf numFmtId="1" fontId="8" fillId="0" borderId="109" xfId="0" applyNumberFormat="1" applyFont="1" applyBorder="1" applyAlignment="1">
      <alignment horizontal="center" vertical="center"/>
    </xf>
    <xf numFmtId="3" fontId="0" fillId="0" borderId="109" xfId="0" applyNumberFormat="1" applyBorder="1" applyAlignment="1">
      <alignment horizontal="center" vertical="center"/>
    </xf>
    <xf numFmtId="1" fontId="58" fillId="41" borderId="109" xfId="0" applyNumberFormat="1" applyFont="1" applyFill="1" applyBorder="1" applyAlignment="1">
      <alignment horizontal="center" vertical="center"/>
    </xf>
    <xf numFmtId="1" fontId="58" fillId="0" borderId="109" xfId="0" applyNumberFormat="1" applyFont="1" applyBorder="1" applyAlignment="1">
      <alignment horizontal="center" vertical="center"/>
    </xf>
    <xf numFmtId="0" fontId="8" fillId="0" borderId="109" xfId="0" quotePrefix="1" applyFont="1" applyBorder="1" applyAlignment="1">
      <alignment horizontal="center" vertical="center"/>
    </xf>
    <xf numFmtId="3" fontId="58" fillId="41" borderId="110" xfId="0" applyNumberFormat="1" applyFont="1" applyFill="1" applyBorder="1" applyAlignment="1">
      <alignment horizontal="center" vertical="center"/>
    </xf>
    <xf numFmtId="1" fontId="8" fillId="0" borderId="224" xfId="0" applyNumberFormat="1" applyFont="1" applyBorder="1" applyAlignment="1">
      <alignment horizontal="center" vertical="center"/>
    </xf>
    <xf numFmtId="3" fontId="0" fillId="0" borderId="224" xfId="0" applyNumberFormat="1" applyBorder="1" applyAlignment="1">
      <alignment horizontal="center" vertical="center"/>
    </xf>
    <xf numFmtId="1" fontId="58" fillId="41" borderId="224" xfId="0" applyNumberFormat="1" applyFont="1" applyFill="1" applyBorder="1" applyAlignment="1">
      <alignment horizontal="center" vertical="center"/>
    </xf>
    <xf numFmtId="1" fontId="58" fillId="0" borderId="224" xfId="0" applyNumberFormat="1" applyFont="1" applyBorder="1" applyAlignment="1">
      <alignment horizontal="center" vertical="center"/>
    </xf>
    <xf numFmtId="0" fontId="8" fillId="0" borderId="224" xfId="0" quotePrefix="1" applyFont="1" applyBorder="1" applyAlignment="1">
      <alignment horizontal="center" vertical="center"/>
    </xf>
    <xf numFmtId="1" fontId="8" fillId="0" borderId="223" xfId="0" applyNumberFormat="1" applyFont="1" applyBorder="1" applyAlignment="1">
      <alignment horizontal="center" vertical="center"/>
    </xf>
    <xf numFmtId="3" fontId="0" fillId="0" borderId="223" xfId="0" applyNumberFormat="1" applyBorder="1" applyAlignment="1">
      <alignment horizontal="center" vertical="center"/>
    </xf>
    <xf numFmtId="1" fontId="58" fillId="0" borderId="223" xfId="0" applyNumberFormat="1" applyFont="1" applyBorder="1" applyAlignment="1">
      <alignment horizontal="center" vertical="center"/>
    </xf>
    <xf numFmtId="0" fontId="8" fillId="0" borderId="223" xfId="0" quotePrefix="1" applyFont="1" applyBorder="1" applyAlignment="1">
      <alignment horizontal="center" vertical="center"/>
    </xf>
    <xf numFmtId="1" fontId="8" fillId="0" borderId="161" xfId="0" applyNumberFormat="1" applyFont="1" applyBorder="1" applyAlignment="1">
      <alignment horizontal="center" vertical="center"/>
    </xf>
    <xf numFmtId="3" fontId="0" fillId="0" borderId="161" xfId="0" applyNumberFormat="1" applyBorder="1" applyAlignment="1">
      <alignment horizontal="center" vertical="center"/>
    </xf>
    <xf numFmtId="1" fontId="58" fillId="41" borderId="161" xfId="0" applyNumberFormat="1" applyFont="1" applyFill="1" applyBorder="1" applyAlignment="1">
      <alignment horizontal="center" vertical="center"/>
    </xf>
    <xf numFmtId="1" fontId="58" fillId="0" borderId="161" xfId="0" applyNumberFormat="1" applyFont="1" applyBorder="1" applyAlignment="1">
      <alignment horizontal="center" vertical="center"/>
    </xf>
    <xf numFmtId="0" fontId="8" fillId="0" borderId="161" xfId="0" quotePrefix="1" applyFont="1" applyBorder="1" applyAlignment="1">
      <alignment horizontal="center" vertical="center"/>
    </xf>
    <xf numFmtId="1" fontId="0" fillId="0" borderId="217" xfId="0" applyNumberFormat="1" applyBorder="1" applyAlignment="1">
      <alignment horizontal="center" vertical="center"/>
    </xf>
    <xf numFmtId="3" fontId="0" fillId="0" borderId="217" xfId="0" applyNumberFormat="1" applyBorder="1" applyAlignment="1">
      <alignment horizontal="center" vertical="center"/>
    </xf>
    <xf numFmtId="1" fontId="58" fillId="41" borderId="217" xfId="0" applyNumberFormat="1" applyFont="1" applyFill="1" applyBorder="1" applyAlignment="1">
      <alignment horizontal="center" vertical="center"/>
    </xf>
    <xf numFmtId="1" fontId="58" fillId="0" borderId="217" xfId="0" applyNumberFormat="1" applyFont="1" applyBorder="1" applyAlignment="1">
      <alignment horizontal="center" vertical="center"/>
    </xf>
    <xf numFmtId="0" fontId="8" fillId="0" borderId="217" xfId="0" quotePrefix="1" applyFont="1" applyBorder="1" applyAlignment="1">
      <alignment horizontal="center" vertical="center"/>
    </xf>
    <xf numFmtId="0" fontId="53" fillId="0" borderId="32" xfId="0" applyFont="1" applyBorder="1" applyAlignment="1">
      <alignment horizontal="center" vertical="center"/>
    </xf>
    <xf numFmtId="3" fontId="53" fillId="8" borderId="32" xfId="0" applyNumberFormat="1" applyFont="1" applyFill="1" applyBorder="1" applyAlignment="1">
      <alignment horizontal="center" vertical="center"/>
    </xf>
    <xf numFmtId="4" fontId="5" fillId="0" borderId="1" xfId="29" applyNumberFormat="1" applyBorder="1" applyAlignment="1">
      <alignment horizontal="center"/>
    </xf>
    <xf numFmtId="4" fontId="5" fillId="0" borderId="43" xfId="29" applyNumberFormat="1" applyBorder="1" applyAlignment="1">
      <alignment horizontal="center"/>
    </xf>
    <xf numFmtId="4" fontId="5" fillId="0" borderId="34" xfId="29" applyNumberFormat="1" applyBorder="1" applyAlignment="1">
      <alignment horizontal="center"/>
    </xf>
    <xf numFmtId="1" fontId="0" fillId="0" borderId="223" xfId="0" applyNumberFormat="1" applyBorder="1" applyAlignment="1">
      <alignment horizontal="center" vertical="center"/>
    </xf>
    <xf numFmtId="1" fontId="0" fillId="0" borderId="224" xfId="0" applyNumberFormat="1" applyBorder="1" applyAlignment="1">
      <alignment horizontal="center" vertical="center"/>
    </xf>
    <xf numFmtId="4" fontId="5" fillId="0" borderId="223" xfId="29" applyNumberFormat="1" applyBorder="1" applyAlignment="1">
      <alignment horizontal="center"/>
    </xf>
    <xf numFmtId="4" fontId="5" fillId="0" borderId="109" xfId="29" applyNumberFormat="1" applyBorder="1" applyAlignment="1">
      <alignment horizontal="center"/>
    </xf>
    <xf numFmtId="4" fontId="5" fillId="0" borderId="224" xfId="29" applyNumberFormat="1" applyBorder="1" applyAlignment="1">
      <alignment horizontal="center"/>
    </xf>
    <xf numFmtId="4" fontId="5" fillId="0" borderId="225" xfId="29" applyNumberFormat="1" applyBorder="1" applyAlignment="1">
      <alignment horizontal="center"/>
    </xf>
    <xf numFmtId="4" fontId="5" fillId="0" borderId="266" xfId="29" applyNumberFormat="1" applyBorder="1" applyAlignment="1">
      <alignment horizontal="center"/>
    </xf>
    <xf numFmtId="4" fontId="5" fillId="0" borderId="226" xfId="29" applyNumberFormat="1" applyBorder="1" applyAlignment="1">
      <alignment horizontal="center"/>
    </xf>
    <xf numFmtId="1" fontId="53" fillId="0" borderId="111" xfId="0" applyNumberFormat="1" applyFont="1" applyBorder="1" applyAlignment="1">
      <alignment horizontal="center" vertical="center"/>
    </xf>
    <xf numFmtId="3" fontId="59" fillId="12" borderId="40" xfId="0" applyNumberFormat="1" applyFont="1" applyFill="1" applyBorder="1" applyAlignment="1">
      <alignment horizontal="center" vertical="center"/>
    </xf>
    <xf numFmtId="1" fontId="53" fillId="0" borderId="123" xfId="0" applyNumberFormat="1" applyFont="1" applyBorder="1" applyAlignment="1">
      <alignment horizontal="center" vertical="center"/>
    </xf>
    <xf numFmtId="3" fontId="58" fillId="41" borderId="277" xfId="0" applyNumberFormat="1" applyFont="1" applyFill="1" applyBorder="1" applyAlignment="1">
      <alignment horizontal="center" vertical="center"/>
    </xf>
    <xf numFmtId="3" fontId="58" fillId="41" borderId="278" xfId="0" applyNumberFormat="1" applyFont="1" applyFill="1" applyBorder="1" applyAlignment="1">
      <alignment horizontal="center" vertical="center"/>
    </xf>
    <xf numFmtId="3" fontId="58" fillId="41" borderId="267" xfId="0" applyNumberFormat="1" applyFont="1" applyFill="1" applyBorder="1" applyAlignment="1">
      <alignment horizontal="center" vertical="center"/>
    </xf>
    <xf numFmtId="3" fontId="58" fillId="41" borderId="279" xfId="0" applyNumberFormat="1" applyFont="1" applyFill="1" applyBorder="1" applyAlignment="1">
      <alignment horizontal="center" vertical="center"/>
    </xf>
    <xf numFmtId="0" fontId="27" fillId="32" borderId="282" xfId="0" applyFont="1" applyFill="1" applyBorder="1" applyAlignment="1">
      <alignment horizontal="center"/>
    </xf>
    <xf numFmtId="0" fontId="27" fillId="32" borderId="283" xfId="0" applyFont="1" applyFill="1" applyBorder="1" applyAlignment="1">
      <alignment horizontal="center"/>
    </xf>
    <xf numFmtId="0" fontId="48" fillId="32" borderId="283" xfId="0" applyFont="1" applyFill="1" applyBorder="1" applyAlignment="1">
      <alignment horizontal="center"/>
    </xf>
    <xf numFmtId="0" fontId="47" fillId="32" borderId="283" xfId="0" applyFont="1" applyFill="1" applyBorder="1" applyAlignment="1">
      <alignment horizontal="center"/>
    </xf>
    <xf numFmtId="195" fontId="0" fillId="0" borderId="0" xfId="0" applyNumberFormat="1"/>
    <xf numFmtId="195" fontId="0" fillId="0" borderId="225" xfId="0" applyNumberFormat="1" applyBorder="1"/>
    <xf numFmtId="195" fontId="0" fillId="0" borderId="266" xfId="0" applyNumberFormat="1" applyBorder="1"/>
    <xf numFmtId="10" fontId="0" fillId="0" borderId="226" xfId="0" applyNumberFormat="1" applyBorder="1"/>
    <xf numFmtId="0" fontId="84" fillId="0" borderId="221" xfId="0" applyFont="1" applyBorder="1" applyAlignment="1">
      <alignment horizontal="right"/>
    </xf>
    <xf numFmtId="0" fontId="84" fillId="0" borderId="265" xfId="0" applyFont="1" applyBorder="1" applyAlignment="1">
      <alignment horizontal="right"/>
    </xf>
    <xf numFmtId="0" fontId="84" fillId="0" borderId="222" xfId="0" applyFont="1" applyBorder="1" applyAlignment="1">
      <alignment horizontal="right"/>
    </xf>
    <xf numFmtId="10" fontId="8" fillId="0" borderId="217" xfId="0" applyNumberFormat="1" applyFont="1" applyBorder="1" applyAlignment="1">
      <alignment horizontal="center" vertical="center"/>
    </xf>
    <xf numFmtId="0" fontId="0" fillId="0" borderId="44" xfId="0" applyBorder="1"/>
    <xf numFmtId="0" fontId="1" fillId="0" borderId="44" xfId="0" applyFont="1" applyBorder="1"/>
    <xf numFmtId="0" fontId="53" fillId="0" borderId="221" xfId="0" applyFont="1" applyBorder="1"/>
    <xf numFmtId="0" fontId="55" fillId="0" borderId="265" xfId="0" applyFont="1" applyBorder="1" applyAlignment="1">
      <alignment horizontal="center" vertical="center"/>
    </xf>
    <xf numFmtId="0" fontId="55" fillId="0" borderId="222" xfId="0" applyFont="1" applyBorder="1" applyAlignment="1">
      <alignment horizontal="center" vertical="center"/>
    </xf>
    <xf numFmtId="0" fontId="8" fillId="0" borderId="223" xfId="0" applyFont="1" applyBorder="1" applyAlignment="1">
      <alignment horizontal="left"/>
    </xf>
    <xf numFmtId="0" fontId="53" fillId="0" borderId="224" xfId="0" applyFont="1" applyBorder="1" applyAlignment="1">
      <alignment horizontal="center" vertical="center"/>
    </xf>
    <xf numFmtId="0" fontId="8" fillId="0" borderId="277" xfId="0" applyFont="1" applyBorder="1" applyAlignment="1">
      <alignment horizontal="left"/>
    </xf>
    <xf numFmtId="0" fontId="53" fillId="0" borderId="262" xfId="0" applyFont="1" applyBorder="1"/>
    <xf numFmtId="0" fontId="53" fillId="0" borderId="223" xfId="0" applyFont="1" applyBorder="1"/>
    <xf numFmtId="0" fontId="53" fillId="0" borderId="225" xfId="0" applyFont="1" applyBorder="1"/>
    <xf numFmtId="10" fontId="8" fillId="0" borderId="266" xfId="0" applyNumberFormat="1" applyFont="1" applyBorder="1" applyAlignment="1">
      <alignment horizontal="center" vertical="center"/>
    </xf>
    <xf numFmtId="0" fontId="53" fillId="0" borderId="226" xfId="0" applyFont="1" applyBorder="1" applyAlignment="1">
      <alignment horizontal="center" vertical="center"/>
    </xf>
    <xf numFmtId="0" fontId="0" fillId="0" borderId="288" xfId="0" applyBorder="1"/>
    <xf numFmtId="0" fontId="64" fillId="0" borderId="289" xfId="0" applyFont="1" applyBorder="1"/>
    <xf numFmtId="9" fontId="0" fillId="0" borderId="0" xfId="16" applyFont="1" applyBorder="1" applyAlignment="1">
      <alignment horizontal="center"/>
    </xf>
    <xf numFmtId="182" fontId="8" fillId="12" borderId="89" xfId="0" applyNumberFormat="1" applyFont="1" applyFill="1" applyBorder="1" applyAlignment="1">
      <alignment horizontal="center"/>
    </xf>
    <xf numFmtId="182" fontId="0" fillId="12" borderId="91" xfId="0" applyNumberFormat="1" applyFill="1" applyBorder="1" applyAlignment="1">
      <alignment horizontal="center"/>
    </xf>
    <xf numFmtId="182" fontId="0" fillId="12" borderId="90" xfId="0" applyNumberFormat="1" applyFill="1" applyBorder="1" applyAlignment="1">
      <alignment horizontal="center"/>
    </xf>
    <xf numFmtId="187" fontId="8" fillId="0" borderId="109" xfId="24" applyNumberFormat="1" applyBorder="1"/>
    <xf numFmtId="0" fontId="8" fillId="12" borderId="237" xfId="0" applyFont="1" applyFill="1" applyBorder="1" applyAlignment="1">
      <alignment horizontal="center"/>
    </xf>
    <xf numFmtId="0" fontId="25" fillId="28" borderId="19" xfId="0" applyFont="1" applyFill="1" applyBorder="1" applyAlignment="1">
      <alignment horizontal="center"/>
    </xf>
    <xf numFmtId="0" fontId="8" fillId="28" borderId="19" xfId="0" applyFont="1" applyFill="1" applyBorder="1" applyAlignment="1">
      <alignment horizontal="center"/>
    </xf>
    <xf numFmtId="10" fontId="8" fillId="0" borderId="0" xfId="26" applyNumberFormat="1"/>
    <xf numFmtId="10" fontId="0" fillId="0" borderId="0" xfId="26" applyNumberFormat="1" applyFont="1"/>
    <xf numFmtId="176" fontId="35" fillId="19" borderId="0" xfId="0" applyNumberFormat="1" applyFont="1" applyFill="1" applyAlignment="1">
      <alignment horizontal="center"/>
    </xf>
    <xf numFmtId="0" fontId="27" fillId="32" borderId="294" xfId="0" applyFont="1" applyFill="1" applyBorder="1" applyAlignment="1">
      <alignment horizontal="center"/>
    </xf>
    <xf numFmtId="0" fontId="13" fillId="24" borderId="76" xfId="0" applyFont="1" applyFill="1" applyBorder="1" applyAlignment="1">
      <alignment horizontal="center"/>
    </xf>
    <xf numFmtId="0" fontId="10" fillId="0" borderId="77" xfId="11" applyBorder="1" applyAlignment="1" applyProtection="1">
      <alignment horizontal="left"/>
    </xf>
    <xf numFmtId="3" fontId="0" fillId="0" borderId="164" xfId="0" applyNumberFormat="1" applyBorder="1"/>
    <xf numFmtId="3" fontId="0" fillId="0" borderId="129" xfId="0" applyNumberFormat="1" applyBorder="1"/>
    <xf numFmtId="180" fontId="84" fillId="0" borderId="85" xfId="0" applyNumberFormat="1" applyFont="1" applyBorder="1" applyAlignment="1">
      <alignment horizontal="center"/>
    </xf>
    <xf numFmtId="9" fontId="84" fillId="0" borderId="85" xfId="0" applyNumberFormat="1" applyFont="1" applyBorder="1" applyAlignment="1">
      <alignment horizontal="center"/>
    </xf>
    <xf numFmtId="9" fontId="8" fillId="12" borderId="256" xfId="0" applyNumberFormat="1" applyFont="1" applyFill="1" applyBorder="1" applyAlignment="1">
      <alignment horizontal="center"/>
    </xf>
    <xf numFmtId="9" fontId="8" fillId="12" borderId="248" xfId="0" applyNumberFormat="1" applyFont="1" applyFill="1" applyBorder="1" applyAlignment="1">
      <alignment horizontal="center"/>
    </xf>
    <xf numFmtId="9" fontId="0" fillId="12" borderId="85" xfId="0" applyNumberFormat="1" applyFill="1" applyBorder="1" applyAlignment="1">
      <alignment horizontal="center"/>
    </xf>
    <xf numFmtId="0" fontId="13" fillId="12" borderId="64" xfId="0" applyFont="1" applyFill="1" applyBorder="1" applyAlignment="1">
      <alignment horizontal="center"/>
    </xf>
    <xf numFmtId="180" fontId="0" fillId="12" borderId="85" xfId="0" applyNumberFormat="1" applyFill="1" applyBorder="1" applyAlignment="1">
      <alignment horizontal="center"/>
    </xf>
    <xf numFmtId="3" fontId="0" fillId="20" borderId="1" xfId="0" applyNumberFormat="1" applyFill="1" applyBorder="1" applyAlignment="1">
      <alignment horizontal="center"/>
    </xf>
    <xf numFmtId="3" fontId="13" fillId="20" borderId="1" xfId="16" applyNumberFormat="1" applyFont="1" applyFill="1" applyBorder="1" applyAlignment="1">
      <alignment horizontal="center"/>
    </xf>
    <xf numFmtId="181" fontId="13" fillId="20" borderId="1" xfId="16" applyNumberFormat="1" applyFont="1" applyFill="1" applyBorder="1" applyAlignment="1">
      <alignment horizontal="center"/>
    </xf>
    <xf numFmtId="0" fontId="78" fillId="5" borderId="312" xfId="4" applyFont="1" applyFill="1" applyBorder="1" applyAlignment="1">
      <alignment horizontal="center" vertical="center"/>
    </xf>
    <xf numFmtId="3" fontId="51" fillId="34" borderId="313" xfId="5" applyFont="1" applyFill="1" applyBorder="1" applyAlignment="1">
      <alignment horizontal="right" vertical="center"/>
    </xf>
    <xf numFmtId="9" fontId="34" fillId="0" borderId="314" xfId="16" applyFont="1" applyFill="1" applyBorder="1" applyAlignment="1">
      <alignment horizontal="center"/>
    </xf>
    <xf numFmtId="9" fontId="34" fillId="0" borderId="314" xfId="16" applyFont="1" applyBorder="1" applyAlignment="1">
      <alignment horizontal="center"/>
    </xf>
    <xf numFmtId="9" fontId="34" fillId="0" borderId="315" xfId="16" applyFont="1" applyBorder="1" applyAlignment="1">
      <alignment horizontal="center"/>
    </xf>
    <xf numFmtId="0" fontId="35" fillId="12" borderId="104" xfId="26" applyFont="1" applyFill="1" applyBorder="1" applyAlignment="1">
      <alignment horizontal="center" vertical="center"/>
    </xf>
    <xf numFmtId="10" fontId="70" fillId="35" borderId="104" xfId="26" applyNumberFormat="1" applyFont="1" applyFill="1" applyBorder="1"/>
    <xf numFmtId="9" fontId="70" fillId="35" borderId="104" xfId="26" applyNumberFormat="1" applyFont="1" applyFill="1" applyBorder="1"/>
    <xf numFmtId="187" fontId="13" fillId="0" borderId="111" xfId="24" applyNumberFormat="1" applyFont="1" applyBorder="1"/>
    <xf numFmtId="177" fontId="0" fillId="0" borderId="316" xfId="0" applyNumberFormat="1" applyBorder="1"/>
    <xf numFmtId="1" fontId="0" fillId="0" borderId="225" xfId="0" applyNumberFormat="1" applyBorder="1" applyAlignment="1">
      <alignment horizontal="center" vertical="center"/>
    </xf>
    <xf numFmtId="1" fontId="0" fillId="0" borderId="266" xfId="0" applyNumberFormat="1" applyBorder="1" applyAlignment="1">
      <alignment horizontal="center" vertical="center"/>
    </xf>
    <xf numFmtId="1" fontId="0" fillId="0" borderId="226" xfId="0" applyNumberFormat="1" applyBorder="1" applyAlignment="1">
      <alignment horizontal="center" vertical="center"/>
    </xf>
    <xf numFmtId="1" fontId="0" fillId="0" borderId="271" xfId="0" applyNumberFormat="1" applyBorder="1" applyAlignment="1">
      <alignment horizontal="center" vertical="center"/>
    </xf>
    <xf numFmtId="1" fontId="0" fillId="0" borderId="161" xfId="0" applyNumberFormat="1" applyBorder="1" applyAlignment="1">
      <alignment horizontal="center" vertical="center"/>
    </xf>
    <xf numFmtId="1" fontId="0" fillId="0" borderId="272" xfId="0" applyNumberFormat="1" applyBorder="1" applyAlignment="1">
      <alignment horizontal="center" vertical="center"/>
    </xf>
    <xf numFmtId="1" fontId="53" fillId="0" borderId="221" xfId="0" applyNumberFormat="1" applyFont="1" applyBorder="1" applyAlignment="1">
      <alignment horizontal="center" vertical="center"/>
    </xf>
    <xf numFmtId="1" fontId="53" fillId="0" borderId="265" xfId="0" applyNumberFormat="1" applyFont="1" applyBorder="1" applyAlignment="1">
      <alignment horizontal="center" vertical="center"/>
    </xf>
    <xf numFmtId="1" fontId="53" fillId="0" borderId="222" xfId="0" applyNumberFormat="1" applyFont="1" applyBorder="1" applyAlignment="1">
      <alignment horizontal="center" vertical="center"/>
    </xf>
    <xf numFmtId="1" fontId="53" fillId="0" borderId="162" xfId="0" applyNumberFormat="1" applyFont="1" applyBorder="1" applyAlignment="1">
      <alignment horizontal="center" vertical="center"/>
    </xf>
    <xf numFmtId="4" fontId="5" fillId="0" borderId="217" xfId="29" applyNumberFormat="1" applyBorder="1" applyAlignment="1">
      <alignment horizontal="center"/>
    </xf>
    <xf numFmtId="4" fontId="5" fillId="0" borderId="232" xfId="29" applyNumberFormat="1" applyBorder="1" applyAlignment="1">
      <alignment horizontal="center"/>
    </xf>
    <xf numFmtId="9" fontId="25" fillId="0" borderId="248" xfId="0" applyNumberFormat="1" applyFont="1" applyBorder="1" applyAlignment="1">
      <alignment horizontal="center"/>
    </xf>
    <xf numFmtId="9" fontId="25" fillId="0" borderId="249" xfId="0" applyNumberFormat="1" applyFont="1" applyBorder="1" applyAlignment="1">
      <alignment horizontal="center"/>
    </xf>
    <xf numFmtId="0" fontId="0" fillId="0" borderId="0" xfId="0" applyAlignment="1">
      <alignment vertical="center" wrapText="1"/>
    </xf>
    <xf numFmtId="10" fontId="8" fillId="48" borderId="90" xfId="16" applyNumberFormat="1" applyFont="1" applyFill="1" applyBorder="1" applyAlignment="1">
      <alignment horizontal="center"/>
    </xf>
    <xf numFmtId="9" fontId="0" fillId="48" borderId="91" xfId="16" applyFont="1" applyFill="1" applyBorder="1" applyAlignment="1">
      <alignment horizontal="center"/>
    </xf>
    <xf numFmtId="0" fontId="0" fillId="48" borderId="317" xfId="0" applyFill="1" applyBorder="1"/>
    <xf numFmtId="181" fontId="0" fillId="0" borderId="85" xfId="16" applyNumberFormat="1" applyFont="1" applyBorder="1"/>
    <xf numFmtId="2" fontId="0" fillId="12" borderId="91" xfId="16" applyNumberFormat="1" applyFont="1" applyFill="1" applyBorder="1" applyAlignment="1">
      <alignment horizontal="center"/>
    </xf>
    <xf numFmtId="3" fontId="0" fillId="64" borderId="1" xfId="0" applyNumberFormat="1" applyFill="1" applyBorder="1" applyAlignment="1">
      <alignment horizontal="center"/>
    </xf>
    <xf numFmtId="188" fontId="0" fillId="0" borderId="286" xfId="0" applyNumberFormat="1" applyBorder="1" applyAlignment="1">
      <alignment horizontal="center" vertical="center"/>
    </xf>
    <xf numFmtId="188" fontId="1" fillId="0" borderId="286" xfId="0" applyNumberFormat="1" applyFont="1" applyBorder="1" applyAlignment="1">
      <alignment horizontal="center" vertical="center"/>
    </xf>
    <xf numFmtId="188" fontId="64" fillId="0" borderId="287" xfId="0" applyNumberFormat="1" applyFont="1" applyBorder="1" applyAlignment="1">
      <alignment horizontal="center" vertical="center"/>
    </xf>
    <xf numFmtId="181" fontId="64" fillId="0" borderId="286" xfId="16" applyNumberFormat="1" applyFont="1" applyBorder="1" applyAlignment="1">
      <alignment horizontal="center" vertical="center"/>
    </xf>
    <xf numFmtId="0" fontId="93" fillId="8" borderId="23" xfId="0" applyFont="1" applyFill="1" applyBorder="1" applyAlignment="1">
      <alignment horizontal="left" vertical="center" wrapText="1"/>
    </xf>
    <xf numFmtId="0" fontId="94" fillId="8" borderId="23" xfId="0" applyFont="1" applyFill="1" applyBorder="1" applyAlignment="1">
      <alignment horizontal="left" vertical="center" wrapText="1"/>
    </xf>
    <xf numFmtId="0" fontId="40" fillId="8" borderId="23" xfId="0" applyFont="1" applyFill="1" applyBorder="1" applyAlignment="1">
      <alignment horizontal="left" vertical="center" wrapText="1"/>
    </xf>
    <xf numFmtId="0" fontId="39" fillId="8" borderId="23" xfId="0" applyFont="1" applyFill="1" applyBorder="1" applyAlignment="1">
      <alignment horizontal="left" vertical="center" wrapText="1"/>
    </xf>
    <xf numFmtId="181" fontId="0" fillId="0" borderId="38" xfId="0" applyNumberFormat="1" applyBorder="1"/>
    <xf numFmtId="0" fontId="0" fillId="0" borderId="285" xfId="0" applyBorder="1" applyAlignment="1">
      <alignment horizontal="right"/>
    </xf>
    <xf numFmtId="9" fontId="0" fillId="0" borderId="38" xfId="0" applyNumberFormat="1" applyBorder="1"/>
    <xf numFmtId="3" fontId="53" fillId="39" borderId="0" xfId="0" applyNumberFormat="1" applyFont="1" applyFill="1"/>
    <xf numFmtId="3" fontId="58" fillId="41" borderId="109" xfId="0" applyNumberFormat="1" applyFont="1" applyFill="1" applyBorder="1" applyAlignment="1">
      <alignment horizontal="center" vertical="center"/>
    </xf>
    <xf numFmtId="0" fontId="0" fillId="8" borderId="165" xfId="0" applyFill="1" applyBorder="1" applyAlignment="1">
      <alignment horizontal="left" vertical="center" wrapText="1"/>
    </xf>
    <xf numFmtId="0" fontId="0" fillId="8" borderId="163" xfId="0" applyFill="1" applyBorder="1" applyAlignment="1">
      <alignment horizontal="left" vertical="center" wrapText="1"/>
    </xf>
    <xf numFmtId="0" fontId="27" fillId="32" borderId="165" xfId="0" applyFont="1" applyFill="1" applyBorder="1" applyAlignment="1">
      <alignment horizontal="left" vertical="center"/>
    </xf>
    <xf numFmtId="0" fontId="0" fillId="8" borderId="165" xfId="0" applyFill="1" applyBorder="1" applyAlignment="1">
      <alignment horizontal="left" vertical="center"/>
    </xf>
    <xf numFmtId="4" fontId="25" fillId="0" borderId="103" xfId="7" applyFont="1" applyFill="1" applyBorder="1" applyAlignment="1">
      <alignment horizontal="right" vertical="center"/>
    </xf>
    <xf numFmtId="181" fontId="8" fillId="12" borderId="19" xfId="16" applyNumberFormat="1" applyFont="1" applyFill="1" applyBorder="1" applyAlignment="1">
      <alignment horizontal="center"/>
    </xf>
    <xf numFmtId="1" fontId="0" fillId="0" borderId="0" xfId="0" applyNumberFormat="1"/>
    <xf numFmtId="0" fontId="86" fillId="0" borderId="116" xfId="0" applyFont="1" applyBorder="1" applyAlignment="1">
      <alignment horizontal="center" wrapText="1"/>
    </xf>
    <xf numFmtId="0" fontId="62" fillId="8" borderId="128" xfId="0" applyFont="1" applyFill="1" applyBorder="1" applyAlignment="1">
      <alignment horizontal="center"/>
    </xf>
    <xf numFmtId="0" fontId="62" fillId="8" borderId="112" xfId="0" applyFont="1" applyFill="1" applyBorder="1" applyAlignment="1">
      <alignment horizontal="center"/>
    </xf>
    <xf numFmtId="0" fontId="0" fillId="0" borderId="112" xfId="0" applyBorder="1" applyAlignment="1">
      <alignment horizontal="center"/>
    </xf>
    <xf numFmtId="0" fontId="0" fillId="0" borderId="170" xfId="0" applyBorder="1" applyAlignment="1">
      <alignment horizontal="center"/>
    </xf>
    <xf numFmtId="9" fontId="84" fillId="0" borderId="270" xfId="0" applyNumberFormat="1" applyFont="1" applyBorder="1" applyAlignment="1">
      <alignment horizontal="center" vertical="center"/>
    </xf>
    <xf numFmtId="9" fontId="84" fillId="0" borderId="121" xfId="0" applyNumberFormat="1" applyFont="1" applyBorder="1" applyAlignment="1">
      <alignment horizontal="center" vertical="center"/>
    </xf>
    <xf numFmtId="0" fontId="62" fillId="8" borderId="170" xfId="0" applyFont="1" applyFill="1" applyBorder="1" applyAlignment="1">
      <alignment horizontal="center"/>
    </xf>
    <xf numFmtId="0" fontId="13" fillId="0" borderId="61" xfId="0" applyFont="1" applyBorder="1" applyAlignment="1">
      <alignment horizontal="left"/>
    </xf>
    <xf numFmtId="0" fontId="13" fillId="0" borderId="62" xfId="0" applyFont="1" applyBorder="1" applyAlignment="1">
      <alignment horizontal="left"/>
    </xf>
    <xf numFmtId="0" fontId="0" fillId="0" borderId="61" xfId="0" applyBorder="1" applyAlignment="1">
      <alignment horizontal="left"/>
    </xf>
    <xf numFmtId="0" fontId="0" fillId="0" borderId="62" xfId="0" applyBorder="1" applyAlignment="1">
      <alignment horizontal="left"/>
    </xf>
    <xf numFmtId="0" fontId="8" fillId="16" borderId="61" xfId="0" applyFont="1" applyFill="1" applyBorder="1" applyAlignment="1">
      <alignment horizontal="left"/>
    </xf>
    <xf numFmtId="0" fontId="8" fillId="16" borderId="62" xfId="0" applyFont="1" applyFill="1" applyBorder="1" applyAlignment="1">
      <alignment horizontal="left"/>
    </xf>
    <xf numFmtId="0" fontId="90" fillId="8" borderId="146" xfId="0" applyFont="1" applyFill="1" applyBorder="1" applyAlignment="1">
      <alignment horizontal="center" vertical="center"/>
    </xf>
    <xf numFmtId="0" fontId="90" fillId="8" borderId="147" xfId="0" applyFont="1" applyFill="1" applyBorder="1" applyAlignment="1">
      <alignment horizontal="center" vertical="center"/>
    </xf>
    <xf numFmtId="0" fontId="90" fillId="8" borderId="0" xfId="0" applyFont="1" applyFill="1" applyAlignment="1">
      <alignment horizontal="center" vertical="center"/>
    </xf>
    <xf numFmtId="0" fontId="90" fillId="8" borderId="148" xfId="0" applyFont="1" applyFill="1" applyBorder="1" applyAlignment="1">
      <alignment horizontal="center" vertical="center"/>
    </xf>
    <xf numFmtId="0" fontId="90" fillId="8" borderId="300" xfId="0" applyFont="1" applyFill="1" applyBorder="1" applyAlignment="1">
      <alignment horizontal="center" vertical="center"/>
    </xf>
    <xf numFmtId="0" fontId="90" fillId="8" borderId="301" xfId="0" applyFont="1" applyFill="1" applyBorder="1" applyAlignment="1">
      <alignment horizontal="center" vertical="center"/>
    </xf>
    <xf numFmtId="10" fontId="63" fillId="8" borderId="296" xfId="0" applyNumberFormat="1" applyFont="1" applyFill="1" applyBorder="1" applyAlignment="1">
      <alignment horizontal="center" vertical="center" wrapText="1"/>
    </xf>
    <xf numFmtId="10" fontId="63" fillId="8" borderId="298" xfId="0" applyNumberFormat="1" applyFont="1" applyFill="1" applyBorder="1" applyAlignment="1">
      <alignment horizontal="center" vertical="center"/>
    </xf>
    <xf numFmtId="10" fontId="63" fillId="8" borderId="302" xfId="0" applyNumberFormat="1" applyFont="1" applyFill="1" applyBorder="1" applyAlignment="1">
      <alignment horizontal="center" vertical="center"/>
    </xf>
    <xf numFmtId="0" fontId="8" fillId="0" borderId="61" xfId="0" applyFont="1" applyBorder="1" applyAlignment="1">
      <alignment horizontal="left" indent="1"/>
    </xf>
    <xf numFmtId="0" fontId="8" fillId="0" borderId="62" xfId="0" applyFont="1" applyBorder="1" applyAlignment="1">
      <alignment horizontal="left" indent="1"/>
    </xf>
    <xf numFmtId="0" fontId="8" fillId="0" borderId="61" xfId="0" applyFont="1" applyBorder="1" applyAlignment="1">
      <alignment horizontal="left"/>
    </xf>
    <xf numFmtId="0" fontId="8" fillId="0" borderId="62" xfId="0" applyFont="1" applyBorder="1" applyAlignment="1">
      <alignment horizontal="left"/>
    </xf>
    <xf numFmtId="0" fontId="46" fillId="5" borderId="0" xfId="0" applyFont="1" applyFill="1" applyAlignment="1">
      <alignment horizontal="center"/>
    </xf>
    <xf numFmtId="0" fontId="46" fillId="5" borderId="129" xfId="0" applyFont="1" applyFill="1" applyBorder="1" applyAlignment="1">
      <alignment horizontal="center"/>
    </xf>
    <xf numFmtId="0" fontId="46" fillId="5" borderId="12" xfId="0" applyFont="1" applyFill="1" applyBorder="1" applyAlignment="1">
      <alignment horizontal="center"/>
    </xf>
    <xf numFmtId="0" fontId="9" fillId="0" borderId="54" xfId="0" applyFont="1" applyBorder="1" applyAlignment="1">
      <alignment horizontal="center" vertical="center"/>
    </xf>
    <xf numFmtId="0" fontId="9" fillId="0" borderId="18" xfId="0" applyFont="1" applyBorder="1" applyAlignment="1">
      <alignment horizontal="center" vertical="center"/>
    </xf>
    <xf numFmtId="0" fontId="9" fillId="0" borderId="55"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9" fontId="13" fillId="8" borderId="26" xfId="16" applyFont="1" applyFill="1" applyBorder="1" applyAlignment="1">
      <alignment horizontal="left"/>
    </xf>
    <xf numFmtId="9" fontId="13" fillId="8" borderId="25" xfId="16" applyFont="1" applyFill="1" applyBorder="1" applyAlignment="1">
      <alignment horizontal="left"/>
    </xf>
    <xf numFmtId="0" fontId="27" fillId="32" borderId="26" xfId="0" applyFont="1" applyFill="1" applyBorder="1" applyAlignment="1">
      <alignment horizontal="center"/>
    </xf>
    <xf numFmtId="0" fontId="27" fillId="32" borderId="24" xfId="0" applyFont="1" applyFill="1" applyBorder="1" applyAlignment="1">
      <alignment horizontal="center"/>
    </xf>
    <xf numFmtId="14" fontId="13" fillId="0" borderId="26" xfId="0" applyNumberFormat="1" applyFont="1" applyBorder="1" applyAlignment="1">
      <alignment horizontal="center"/>
    </xf>
    <xf numFmtId="14" fontId="13" fillId="0" borderId="25" xfId="0" applyNumberFormat="1" applyFont="1" applyBorder="1" applyAlignment="1">
      <alignment horizontal="center"/>
    </xf>
    <xf numFmtId="0" fontId="8" fillId="0" borderId="19" xfId="0" applyFont="1" applyBorder="1" applyAlignment="1">
      <alignment horizontal="left"/>
    </xf>
    <xf numFmtId="0" fontId="8" fillId="0" borderId="19" xfId="0" quotePrefix="1" applyFont="1" applyBorder="1" applyAlignment="1">
      <alignment horizontal="left"/>
    </xf>
    <xf numFmtId="0" fontId="66" fillId="8" borderId="19" xfId="0" applyFont="1" applyFill="1" applyBorder="1" applyAlignment="1">
      <alignment horizontal="center" vertical="center" wrapText="1"/>
    </xf>
    <xf numFmtId="0" fontId="66" fillId="8" borderId="242" xfId="0" applyFont="1" applyFill="1" applyBorder="1" applyAlignment="1">
      <alignment horizontal="center" vertical="center" wrapText="1"/>
    </xf>
    <xf numFmtId="0" fontId="46" fillId="31" borderId="29" xfId="0" applyFont="1" applyFill="1" applyBorder="1" applyAlignment="1">
      <alignment horizontal="center" vertical="center" wrapText="1"/>
    </xf>
    <xf numFmtId="0" fontId="46" fillId="31" borderId="52" xfId="0" applyFont="1" applyFill="1" applyBorder="1" applyAlignment="1">
      <alignment horizontal="center" vertical="center" wrapText="1"/>
    </xf>
    <xf numFmtId="0" fontId="46" fillId="5" borderId="46" xfId="0" applyFont="1" applyFill="1" applyBorder="1" applyAlignment="1">
      <alignment horizontal="center"/>
    </xf>
    <xf numFmtId="0" fontId="46" fillId="5" borderId="47" xfId="0" applyFont="1" applyFill="1" applyBorder="1" applyAlignment="1">
      <alignment horizontal="center"/>
    </xf>
    <xf numFmtId="0" fontId="46" fillId="5" borderId="48" xfId="0" applyFont="1" applyFill="1" applyBorder="1" applyAlignment="1">
      <alignment horizontal="center"/>
    </xf>
    <xf numFmtId="0" fontId="21" fillId="0" borderId="241" xfId="0" applyFont="1" applyBorder="1" applyAlignment="1">
      <alignment horizontal="center" wrapText="1"/>
    </xf>
    <xf numFmtId="0" fontId="21" fillId="0" borderId="233" xfId="0" applyFont="1" applyBorder="1" applyAlignment="1">
      <alignment horizontal="center" wrapText="1"/>
    </xf>
    <xf numFmtId="0" fontId="46" fillId="5" borderId="33" xfId="0" applyFont="1" applyFill="1" applyBorder="1" applyAlignment="1">
      <alignment horizontal="center"/>
    </xf>
    <xf numFmtId="0" fontId="46" fillId="5" borderId="41" xfId="0" applyFont="1" applyFill="1" applyBorder="1" applyAlignment="1">
      <alignment horizontal="center"/>
    </xf>
    <xf numFmtId="0" fontId="46" fillId="5" borderId="22" xfId="0" applyFont="1" applyFill="1" applyBorder="1" applyAlignment="1">
      <alignment horizontal="center"/>
    </xf>
    <xf numFmtId="0" fontId="46" fillId="5" borderId="19" xfId="0" applyFont="1" applyFill="1" applyBorder="1" applyAlignment="1">
      <alignment horizontal="center"/>
    </xf>
    <xf numFmtId="0" fontId="46" fillId="5" borderId="28" xfId="0" applyFont="1" applyFill="1" applyBorder="1" applyAlignment="1">
      <alignment horizontal="center"/>
    </xf>
    <xf numFmtId="0" fontId="45" fillId="18" borderId="234" xfId="0" applyFont="1" applyFill="1" applyBorder="1" applyAlignment="1">
      <alignment horizontal="center"/>
    </xf>
    <xf numFmtId="0" fontId="45" fillId="18" borderId="18" xfId="0" applyFont="1" applyFill="1" applyBorder="1" applyAlignment="1">
      <alignment horizontal="center"/>
    </xf>
    <xf numFmtId="0" fontId="45" fillId="18" borderId="235" xfId="0" applyFont="1" applyFill="1" applyBorder="1" applyAlignment="1">
      <alignment horizontal="center"/>
    </xf>
    <xf numFmtId="0" fontId="27" fillId="32" borderId="293" xfId="0" applyFont="1" applyFill="1" applyBorder="1" applyAlignment="1">
      <alignment horizontal="center"/>
    </xf>
    <xf numFmtId="0" fontId="27" fillId="32" borderId="51" xfId="0" applyFont="1" applyFill="1" applyBorder="1" applyAlignment="1">
      <alignment horizontal="center"/>
    </xf>
    <xf numFmtId="0" fontId="86" fillId="0" borderId="295" xfId="0" applyFont="1" applyBorder="1" applyAlignment="1">
      <alignment horizontal="left" vertical="center" wrapText="1"/>
    </xf>
    <xf numFmtId="0" fontId="8" fillId="0" borderId="146" xfId="0" applyFont="1" applyBorder="1" applyAlignment="1">
      <alignment horizontal="left" vertical="center"/>
    </xf>
    <xf numFmtId="0" fontId="8" fillId="0" borderId="147" xfId="0" applyFont="1" applyBorder="1" applyAlignment="1">
      <alignment horizontal="left" vertical="center"/>
    </xf>
    <xf numFmtId="0" fontId="0" fillId="0" borderId="297" xfId="0" applyBorder="1" applyAlignment="1">
      <alignment horizontal="left" vertical="center"/>
    </xf>
    <xf numFmtId="0" fontId="0" fillId="0" borderId="0" xfId="0" applyAlignment="1">
      <alignment horizontal="left" vertical="center"/>
    </xf>
    <xf numFmtId="0" fontId="8" fillId="0" borderId="148" xfId="0" applyFont="1" applyBorder="1" applyAlignment="1">
      <alignment horizontal="left" vertical="center"/>
    </xf>
    <xf numFmtId="0" fontId="0" fillId="0" borderId="305" xfId="0" applyBorder="1" applyAlignment="1">
      <alignment horizontal="left" vertical="center"/>
    </xf>
    <xf numFmtId="0" fontId="8" fillId="0" borderId="149" xfId="0" applyFont="1" applyBorder="1" applyAlignment="1">
      <alignment horizontal="left" vertical="center"/>
    </xf>
    <xf numFmtId="0" fontId="8" fillId="0" borderId="150" xfId="0" applyFont="1" applyBorder="1" applyAlignment="1">
      <alignment horizontal="left" vertical="center"/>
    </xf>
    <xf numFmtId="0" fontId="46" fillId="5" borderId="309" xfId="0" applyFont="1" applyFill="1" applyBorder="1" applyAlignment="1">
      <alignment horizontal="center"/>
    </xf>
    <xf numFmtId="0" fontId="46" fillId="5" borderId="291" xfId="0" applyFont="1" applyFill="1" applyBorder="1" applyAlignment="1">
      <alignment horizontal="center"/>
    </xf>
    <xf numFmtId="0" fontId="46" fillId="5" borderId="292" xfId="0" applyFont="1" applyFill="1" applyBorder="1" applyAlignment="1">
      <alignment horizontal="center"/>
    </xf>
    <xf numFmtId="0" fontId="27" fillId="32" borderId="283" xfId="0" applyFont="1" applyFill="1" applyBorder="1" applyAlignment="1">
      <alignment horizontal="center"/>
    </xf>
    <xf numFmtId="0" fontId="27" fillId="32" borderId="284" xfId="0" applyFont="1" applyFill="1" applyBorder="1" applyAlignment="1">
      <alignment horizontal="center"/>
    </xf>
    <xf numFmtId="0" fontId="45" fillId="18" borderId="128" xfId="0" applyFont="1" applyFill="1" applyBorder="1" applyAlignment="1">
      <alignment horizontal="center"/>
    </xf>
    <xf numFmtId="0" fontId="45" fillId="18" borderId="112" xfId="0" applyFont="1" applyFill="1" applyBorder="1" applyAlignment="1">
      <alignment horizontal="center"/>
    </xf>
    <xf numFmtId="0" fontId="45" fillId="18" borderId="170" xfId="0" applyFont="1" applyFill="1" applyBorder="1" applyAlignment="1">
      <alignment horizontal="center"/>
    </xf>
    <xf numFmtId="198" fontId="9" fillId="8" borderId="164" xfId="0" applyNumberFormat="1" applyFont="1" applyFill="1" applyBorder="1" applyAlignment="1">
      <alignment horizontal="center" vertical="center"/>
    </xf>
    <xf numFmtId="198" fontId="9" fillId="8" borderId="0" xfId="0" applyNumberFormat="1" applyFont="1" applyFill="1" applyAlignment="1">
      <alignment horizontal="center" vertical="center"/>
    </xf>
    <xf numFmtId="0" fontId="0" fillId="8" borderId="171" xfId="0" applyFill="1" applyBorder="1" applyAlignment="1">
      <alignment horizontal="left" vertical="center" wrapText="1"/>
    </xf>
    <xf numFmtId="0" fontId="0" fillId="8" borderId="172" xfId="0" applyFill="1" applyBorder="1" applyAlignment="1">
      <alignment horizontal="left" vertical="center" wrapText="1"/>
    </xf>
    <xf numFmtId="0" fontId="0" fillId="8" borderId="173" xfId="0" applyFill="1" applyBorder="1" applyAlignment="1">
      <alignment horizontal="left" vertical="center" wrapText="1"/>
    </xf>
    <xf numFmtId="181" fontId="44" fillId="64" borderId="117" xfId="16" applyNumberFormat="1" applyFont="1" applyFill="1" applyBorder="1" applyAlignment="1">
      <alignment horizontal="center" vertical="center"/>
    </xf>
    <xf numFmtId="181" fontId="44" fillId="64" borderId="114" xfId="16" applyNumberFormat="1" applyFont="1" applyFill="1" applyBorder="1" applyAlignment="1">
      <alignment horizontal="center" vertical="center"/>
    </xf>
    <xf numFmtId="0" fontId="9" fillId="8" borderId="118" xfId="0" applyFont="1" applyFill="1" applyBorder="1" applyAlignment="1">
      <alignment horizontal="center" vertical="center" wrapText="1"/>
    </xf>
    <xf numFmtId="0" fontId="9" fillId="8" borderId="116" xfId="0" applyFont="1" applyFill="1" applyBorder="1" applyAlignment="1">
      <alignment horizontal="center" vertical="center" wrapText="1"/>
    </xf>
    <xf numFmtId="0" fontId="9" fillId="8" borderId="117" xfId="0" applyFont="1" applyFill="1" applyBorder="1" applyAlignment="1">
      <alignment horizontal="center" vertical="center" wrapText="1"/>
    </xf>
    <xf numFmtId="0" fontId="9" fillId="8" borderId="114" xfId="0" applyFont="1" applyFill="1" applyBorder="1" applyAlignment="1">
      <alignment horizontal="center" vertical="center" wrapText="1"/>
    </xf>
    <xf numFmtId="181" fontId="44" fillId="8" borderId="164" xfId="16" applyNumberFormat="1" applyFont="1" applyFill="1" applyBorder="1" applyAlignment="1">
      <alignment horizontal="center" vertical="center"/>
    </xf>
    <xf numFmtId="181" fontId="44" fillId="8" borderId="137" xfId="16" applyNumberFormat="1" applyFont="1" applyFill="1" applyBorder="1" applyAlignment="1">
      <alignment horizontal="center" vertical="center"/>
    </xf>
    <xf numFmtId="181" fontId="44" fillId="8" borderId="0" xfId="16" applyNumberFormat="1" applyFont="1" applyFill="1" applyBorder="1" applyAlignment="1">
      <alignment horizontal="center" vertical="center"/>
    </xf>
    <xf numFmtId="181" fontId="44" fillId="8" borderId="113" xfId="16" applyNumberFormat="1" applyFont="1" applyFill="1" applyBorder="1" applyAlignment="1">
      <alignment horizontal="center" vertical="center"/>
    </xf>
    <xf numFmtId="0" fontId="84" fillId="0" borderId="118" xfId="0" applyFont="1" applyBorder="1" applyAlignment="1">
      <alignment horizontal="center"/>
    </xf>
    <xf numFmtId="0" fontId="84" fillId="0" borderId="164" xfId="0" applyFont="1" applyBorder="1" applyAlignment="1">
      <alignment horizontal="center"/>
    </xf>
    <xf numFmtId="0" fontId="27" fillId="10" borderId="71" xfId="0" applyFont="1" applyFill="1" applyBorder="1" applyAlignment="1">
      <alignment horizontal="center" vertical="center" wrapText="1"/>
    </xf>
    <xf numFmtId="0" fontId="27" fillId="10" borderId="73" xfId="0" applyFont="1" applyFill="1" applyBorder="1" applyAlignment="1">
      <alignment horizontal="center" vertical="center" wrapText="1"/>
    </xf>
    <xf numFmtId="0" fontId="27" fillId="9" borderId="64" xfId="0" applyFont="1" applyFill="1" applyBorder="1" applyAlignment="1">
      <alignment horizontal="center" vertical="center" wrapText="1"/>
    </xf>
    <xf numFmtId="0" fontId="46" fillId="5" borderId="283" xfId="0" applyFont="1" applyFill="1" applyBorder="1" applyAlignment="1">
      <alignment horizontal="center"/>
    </xf>
    <xf numFmtId="0" fontId="46" fillId="5" borderId="284" xfId="0" applyFont="1" applyFill="1" applyBorder="1" applyAlignment="1">
      <alignment horizontal="center"/>
    </xf>
    <xf numFmtId="0" fontId="86" fillId="0" borderId="151" xfId="0" applyFont="1" applyBorder="1" applyAlignment="1">
      <alignment horizontal="left" vertical="center" wrapText="1"/>
    </xf>
    <xf numFmtId="0" fontId="69" fillId="0" borderId="146" xfId="0" applyFont="1" applyBorder="1" applyAlignment="1">
      <alignment horizontal="left" vertical="center"/>
    </xf>
    <xf numFmtId="0" fontId="69" fillId="0" borderId="303" xfId="0" applyFont="1" applyBorder="1" applyAlignment="1">
      <alignment horizontal="left" vertical="center"/>
    </xf>
    <xf numFmtId="0" fontId="69" fillId="0" borderId="152" xfId="0" applyFont="1" applyBorder="1" applyAlignment="1">
      <alignment horizontal="left" vertical="center"/>
    </xf>
    <xf numFmtId="0" fontId="69" fillId="0" borderId="0" xfId="0" applyFont="1" applyAlignment="1">
      <alignment horizontal="left" vertical="center"/>
    </xf>
    <xf numFmtId="0" fontId="69" fillId="0" borderId="304" xfId="0" applyFont="1" applyBorder="1" applyAlignment="1">
      <alignment horizontal="left" vertical="center"/>
    </xf>
    <xf numFmtId="0" fontId="69" fillId="0" borderId="307" xfId="0" applyFont="1" applyBorder="1" applyAlignment="1">
      <alignment horizontal="left" vertical="center"/>
    </xf>
    <xf numFmtId="0" fontId="69" fillId="0" borderId="300" xfId="0" applyFont="1" applyBorder="1" applyAlignment="1">
      <alignment horizontal="left" vertical="center"/>
    </xf>
    <xf numFmtId="0" fontId="69" fillId="0" borderId="308" xfId="0" applyFont="1" applyBorder="1" applyAlignment="1">
      <alignment horizontal="left" vertical="center"/>
    </xf>
    <xf numFmtId="0" fontId="8" fillId="0" borderId="303" xfId="0" applyFont="1" applyBorder="1" applyAlignment="1">
      <alignment horizontal="left" vertical="center"/>
    </xf>
    <xf numFmtId="0" fontId="8" fillId="0" borderId="152" xfId="0" applyFont="1" applyBorder="1" applyAlignment="1">
      <alignment horizontal="left" vertical="center"/>
    </xf>
    <xf numFmtId="0" fontId="8" fillId="0" borderId="304" xfId="0" applyFont="1" applyBorder="1" applyAlignment="1">
      <alignment horizontal="left" vertical="center"/>
    </xf>
    <xf numFmtId="0" fontId="8" fillId="0" borderId="153" xfId="0" applyFont="1" applyBorder="1" applyAlignment="1">
      <alignment horizontal="left" vertical="center"/>
    </xf>
    <xf numFmtId="0" fontId="8" fillId="0" borderId="306" xfId="0" applyFont="1" applyBorder="1" applyAlignment="1">
      <alignment horizontal="left" vertical="center"/>
    </xf>
    <xf numFmtId="0" fontId="27" fillId="32" borderId="62" xfId="0" applyFont="1" applyFill="1" applyBorder="1" applyAlignment="1">
      <alignment horizontal="center"/>
    </xf>
    <xf numFmtId="0" fontId="27" fillId="32" borderId="294" xfId="0" applyFont="1" applyFill="1" applyBorder="1" applyAlignment="1">
      <alignment horizontal="center"/>
    </xf>
    <xf numFmtId="0" fontId="86" fillId="0" borderId="10" xfId="0" quotePrefix="1" applyFont="1" applyBorder="1" applyAlignment="1">
      <alignment horizontal="left" vertical="top" wrapText="1"/>
    </xf>
    <xf numFmtId="0" fontId="8" fillId="0" borderId="2" xfId="0" applyFont="1" applyBorder="1" applyAlignment="1">
      <alignment horizontal="left" vertical="top" wrapText="1"/>
    </xf>
    <xf numFmtId="0" fontId="8" fillId="0" borderId="59" xfId="0" applyFont="1" applyBorder="1" applyAlignment="1">
      <alignment horizontal="left" vertical="top" wrapText="1"/>
    </xf>
    <xf numFmtId="0" fontId="0" fillId="0" borderId="195" xfId="0" applyBorder="1" applyAlignment="1">
      <alignment horizontal="left" vertical="top" wrapText="1"/>
    </xf>
    <xf numFmtId="0" fontId="8" fillId="0" borderId="45" xfId="0" applyFont="1" applyBorder="1" applyAlignment="1">
      <alignment horizontal="left" vertical="top" wrapText="1"/>
    </xf>
    <xf numFmtId="0" fontId="8" fillId="0" borderId="58" xfId="0" applyFont="1" applyBorder="1" applyAlignment="1">
      <alignment horizontal="left" vertical="top" wrapText="1"/>
    </xf>
    <xf numFmtId="0" fontId="0" fillId="0" borderId="196" xfId="0" applyBorder="1" applyAlignment="1">
      <alignment horizontal="left" vertical="top" wrapText="1"/>
    </xf>
    <xf numFmtId="0" fontId="0" fillId="0" borderId="197" xfId="0" applyBorder="1" applyAlignment="1">
      <alignment horizontal="left" vertical="top" wrapText="1"/>
    </xf>
    <xf numFmtId="0" fontId="0" fillId="0" borderId="198" xfId="0" applyBorder="1" applyAlignment="1">
      <alignment horizontal="left" vertical="top" wrapText="1"/>
    </xf>
    <xf numFmtId="0" fontId="34" fillId="0" borderId="295" xfId="0" applyFont="1" applyBorder="1" applyAlignment="1">
      <alignment horizontal="left" vertical="center" wrapText="1"/>
    </xf>
    <xf numFmtId="0" fontId="69" fillId="0" borderId="147" xfId="0" applyFont="1" applyBorder="1" applyAlignment="1">
      <alignment horizontal="left" vertical="center"/>
    </xf>
    <xf numFmtId="0" fontId="69" fillId="0" borderId="297" xfId="0" applyFont="1" applyBorder="1" applyAlignment="1">
      <alignment horizontal="left" vertical="center"/>
    </xf>
    <xf numFmtId="0" fontId="69" fillId="0" borderId="148" xfId="0" applyFont="1" applyBorder="1" applyAlignment="1">
      <alignment horizontal="left" vertical="center"/>
    </xf>
    <xf numFmtId="0" fontId="69" fillId="0" borderId="299" xfId="0" applyFont="1" applyBorder="1" applyAlignment="1">
      <alignment horizontal="left" vertical="center"/>
    </xf>
    <xf numFmtId="0" fontId="69" fillId="0" borderId="301" xfId="0" applyFont="1" applyBorder="1" applyAlignment="1">
      <alignment horizontal="left" vertical="center"/>
    </xf>
    <xf numFmtId="0" fontId="46" fillId="31" borderId="282" xfId="0" applyFont="1" applyFill="1" applyBorder="1" applyAlignment="1">
      <alignment horizontal="center"/>
    </xf>
    <xf numFmtId="0" fontId="46" fillId="31" borderId="283" xfId="0" applyFont="1" applyFill="1" applyBorder="1" applyAlignment="1">
      <alignment horizontal="center"/>
    </xf>
    <xf numFmtId="0" fontId="21" fillId="0" borderId="199" xfId="0" applyFont="1" applyBorder="1" applyAlignment="1">
      <alignment horizontal="center" vertical="center" wrapText="1"/>
    </xf>
    <xf numFmtId="0" fontId="21" fillId="0" borderId="200" xfId="0" applyFont="1" applyBorder="1" applyAlignment="1">
      <alignment horizontal="center" vertical="center" wrapText="1"/>
    </xf>
    <xf numFmtId="0" fontId="21" fillId="0" borderId="10" xfId="0" applyFont="1" applyBorder="1" applyAlignment="1">
      <alignment horizontal="center" vertical="center" wrapText="1"/>
    </xf>
    <xf numFmtId="0" fontId="21" fillId="0" borderId="201" xfId="0" applyFont="1" applyBorder="1" applyAlignment="1">
      <alignment horizontal="center" vertical="center" wrapText="1"/>
    </xf>
    <xf numFmtId="0" fontId="21" fillId="0" borderId="202" xfId="0" applyFont="1" applyBorder="1" applyAlignment="1">
      <alignment horizontal="center" vertical="center" wrapText="1"/>
    </xf>
    <xf numFmtId="0" fontId="21" fillId="0" borderId="28" xfId="0" applyFont="1" applyBorder="1" applyAlignment="1">
      <alignment horizontal="center" vertical="center" wrapText="1"/>
    </xf>
    <xf numFmtId="0" fontId="46" fillId="5" borderId="290" xfId="0" applyFont="1" applyFill="1" applyBorder="1" applyAlignment="1">
      <alignment horizontal="center"/>
    </xf>
    <xf numFmtId="0" fontId="46" fillId="5" borderId="163" xfId="0" applyFont="1" applyFill="1" applyBorder="1" applyAlignment="1">
      <alignment horizontal="center"/>
    </xf>
    <xf numFmtId="0" fontId="46" fillId="5" borderId="112" xfId="0" applyFont="1" applyFill="1" applyBorder="1" applyAlignment="1">
      <alignment horizontal="center"/>
    </xf>
    <xf numFmtId="0" fontId="46" fillId="5" borderId="27" xfId="0" applyFont="1" applyFill="1" applyBorder="1" applyAlignment="1">
      <alignment horizontal="center"/>
    </xf>
    <xf numFmtId="0" fontId="0" fillId="8" borderId="174" xfId="0" applyFill="1" applyBorder="1" applyAlignment="1">
      <alignment horizontal="left" vertical="center" wrapText="1"/>
    </xf>
    <xf numFmtId="0" fontId="0" fillId="8" borderId="175" xfId="0" applyFill="1" applyBorder="1" applyAlignment="1">
      <alignment horizontal="left" vertical="center" wrapText="1"/>
    </xf>
    <xf numFmtId="0" fontId="0" fillId="8" borderId="176" xfId="0" applyFill="1" applyBorder="1" applyAlignment="1">
      <alignment horizontal="left" vertical="center" wrapText="1"/>
    </xf>
    <xf numFmtId="0" fontId="0" fillId="8" borderId="174" xfId="0" applyFill="1" applyBorder="1" applyAlignment="1">
      <alignment horizontal="left" vertical="center"/>
    </xf>
    <xf numFmtId="0" fontId="0" fillId="8" borderId="175" xfId="0" applyFill="1" applyBorder="1" applyAlignment="1">
      <alignment horizontal="left" vertical="center"/>
    </xf>
    <xf numFmtId="0" fontId="0" fillId="8" borderId="176" xfId="0" applyFill="1" applyBorder="1" applyAlignment="1">
      <alignment horizontal="left" vertical="center"/>
    </xf>
    <xf numFmtId="0" fontId="46" fillId="5" borderId="10" xfId="0" applyFont="1" applyFill="1" applyBorder="1" applyAlignment="1">
      <alignment horizontal="left" vertical="center"/>
    </xf>
    <xf numFmtId="0" fontId="46" fillId="5" borderId="0" xfId="0" applyFont="1" applyFill="1" applyAlignment="1">
      <alignment horizontal="left" vertical="center"/>
    </xf>
    <xf numFmtId="0" fontId="46" fillId="5" borderId="113" xfId="0" applyFont="1" applyFill="1" applyBorder="1" applyAlignment="1">
      <alignment horizontal="left" vertical="center"/>
    </xf>
    <xf numFmtId="0" fontId="27" fillId="32" borderId="128" xfId="0" applyFont="1" applyFill="1" applyBorder="1" applyAlignment="1">
      <alignment horizontal="left" vertical="center"/>
    </xf>
    <xf numFmtId="0" fontId="27" fillId="32" borderId="112" xfId="0" applyFont="1" applyFill="1" applyBorder="1" applyAlignment="1">
      <alignment horizontal="left" vertical="center"/>
    </xf>
    <xf numFmtId="0" fontId="27" fillId="32" borderId="170" xfId="0" applyFont="1" applyFill="1" applyBorder="1" applyAlignment="1">
      <alignment horizontal="left" vertical="center"/>
    </xf>
    <xf numFmtId="0" fontId="27" fillId="32" borderId="115" xfId="0" applyFont="1" applyFill="1" applyBorder="1" applyAlignment="1">
      <alignment horizontal="center"/>
    </xf>
    <xf numFmtId="0" fontId="27" fillId="32" borderId="129" xfId="0" applyFont="1" applyFill="1" applyBorder="1" applyAlignment="1">
      <alignment horizontal="center"/>
    </xf>
    <xf numFmtId="0" fontId="27" fillId="32" borderId="138" xfId="0" applyFont="1" applyFill="1" applyBorder="1" applyAlignment="1">
      <alignment horizontal="center"/>
    </xf>
    <xf numFmtId="0" fontId="45" fillId="18" borderId="10" xfId="0" applyFont="1" applyFill="1" applyBorder="1" applyAlignment="1">
      <alignment horizontal="center"/>
    </xf>
    <xf numFmtId="0" fontId="45" fillId="18" borderId="0" xfId="0" applyFont="1" applyFill="1" applyAlignment="1">
      <alignment horizontal="center"/>
    </xf>
    <xf numFmtId="0" fontId="45" fillId="18" borderId="12" xfId="0" applyFont="1" applyFill="1" applyBorder="1" applyAlignment="1">
      <alignment horizontal="center"/>
    </xf>
    <xf numFmtId="0" fontId="34" fillId="8" borderId="166" xfId="0" applyFont="1" applyFill="1" applyBorder="1" applyAlignment="1">
      <alignment horizontal="left" vertical="center" wrapText="1"/>
    </xf>
    <xf numFmtId="0" fontId="0" fillId="8" borderId="167" xfId="0" applyFill="1" applyBorder="1" applyAlignment="1">
      <alignment horizontal="left" vertical="center" wrapText="1"/>
    </xf>
    <xf numFmtId="0" fontId="0" fillId="8" borderId="168" xfId="0" applyFill="1" applyBorder="1" applyAlignment="1">
      <alignment horizontal="left" vertical="center" wrapText="1"/>
    </xf>
    <xf numFmtId="0" fontId="13" fillId="0" borderId="24" xfId="0" applyFont="1" applyBorder="1" applyAlignment="1">
      <alignment horizontal="center"/>
    </xf>
    <xf numFmtId="0" fontId="13" fillId="0" borderId="25" xfId="0" applyFont="1" applyBorder="1" applyAlignment="1">
      <alignment horizontal="center"/>
    </xf>
    <xf numFmtId="0" fontId="34" fillId="8" borderId="115" xfId="0" applyFont="1" applyFill="1" applyBorder="1" applyAlignment="1">
      <alignment horizontal="left" vertical="center" wrapText="1"/>
    </xf>
    <xf numFmtId="0" fontId="34" fillId="8" borderId="129" xfId="0" applyFont="1" applyFill="1" applyBorder="1" applyAlignment="1">
      <alignment horizontal="left" vertical="center" wrapText="1"/>
    </xf>
    <xf numFmtId="0" fontId="34" fillId="8" borderId="138" xfId="0" applyFont="1" applyFill="1" applyBorder="1" applyAlignment="1">
      <alignment horizontal="left" vertical="center" wrapText="1"/>
    </xf>
    <xf numFmtId="0" fontId="46" fillId="5" borderId="128" xfId="0" applyFont="1" applyFill="1" applyBorder="1" applyAlignment="1">
      <alignment horizontal="center"/>
    </xf>
    <xf numFmtId="0" fontId="46" fillId="5" borderId="170" xfId="0" applyFont="1" applyFill="1" applyBorder="1" applyAlignment="1">
      <alignment horizontal="center"/>
    </xf>
    <xf numFmtId="0" fontId="9" fillId="64" borderId="116" xfId="0" applyFont="1" applyFill="1" applyBorder="1" applyAlignment="1">
      <alignment horizontal="center" vertical="center" wrapText="1"/>
    </xf>
    <xf numFmtId="0" fontId="9" fillId="64" borderId="0" xfId="0" applyFont="1" applyFill="1" applyAlignment="1">
      <alignment horizontal="center" vertical="center" wrapText="1"/>
    </xf>
    <xf numFmtId="0" fontId="9" fillId="64" borderId="12" xfId="0" applyFont="1" applyFill="1" applyBorder="1" applyAlignment="1">
      <alignment horizontal="center" vertical="center" wrapText="1"/>
    </xf>
    <xf numFmtId="0" fontId="9" fillId="64" borderId="115" xfId="0" applyFont="1" applyFill="1" applyBorder="1" applyAlignment="1">
      <alignment horizontal="center" vertical="center" wrapText="1"/>
    </xf>
    <xf numFmtId="0" fontId="9" fillId="64" borderId="129" xfId="0" applyFont="1" applyFill="1" applyBorder="1" applyAlignment="1">
      <alignment horizontal="center" vertical="center" wrapText="1"/>
    </xf>
    <xf numFmtId="0" fontId="9" fillId="64" borderId="169" xfId="0" applyFont="1" applyFill="1" applyBorder="1" applyAlignment="1">
      <alignment horizontal="center" vertical="center" wrapText="1"/>
    </xf>
    <xf numFmtId="0" fontId="31" fillId="5" borderId="49" xfId="0" applyFont="1" applyFill="1" applyBorder="1" applyAlignment="1">
      <alignment horizontal="center"/>
    </xf>
    <xf numFmtId="0" fontId="45" fillId="5" borderId="0" xfId="0" applyFont="1" applyFill="1" applyAlignment="1">
      <alignment horizontal="center"/>
    </xf>
    <xf numFmtId="0" fontId="31" fillId="18" borderId="49" xfId="0" applyFont="1" applyFill="1" applyBorder="1" applyAlignment="1">
      <alignment horizontal="center"/>
    </xf>
    <xf numFmtId="0" fontId="45" fillId="5" borderId="66" xfId="0" applyFont="1" applyFill="1" applyBorder="1" applyAlignment="1">
      <alignment horizontal="center"/>
    </xf>
    <xf numFmtId="0" fontId="9" fillId="0" borderId="0" xfId="0" applyFont="1" applyAlignment="1">
      <alignment horizontal="center" vertical="center"/>
    </xf>
    <xf numFmtId="0" fontId="31" fillId="5" borderId="66" xfId="0" applyFont="1" applyFill="1" applyBorder="1" applyAlignment="1">
      <alignment horizontal="center"/>
    </xf>
    <xf numFmtId="0" fontId="31" fillId="5" borderId="71" xfId="0" applyFont="1" applyFill="1" applyBorder="1" applyAlignment="1">
      <alignment horizontal="center"/>
    </xf>
    <xf numFmtId="0" fontId="0" fillId="0" borderId="87" xfId="0" applyBorder="1" applyAlignment="1">
      <alignment horizontal="center" vertical="center" wrapText="1"/>
    </xf>
    <xf numFmtId="0" fontId="34" fillId="0" borderId="87" xfId="0" applyFont="1" applyBorder="1" applyAlignment="1">
      <alignment horizontal="center" vertical="center" wrapText="1"/>
    </xf>
    <xf numFmtId="0" fontId="45" fillId="5" borderId="72" xfId="0" applyFont="1" applyFill="1" applyBorder="1" applyAlignment="1">
      <alignment horizontal="center"/>
    </xf>
    <xf numFmtId="0" fontId="9" fillId="0" borderId="71" xfId="0" applyFont="1" applyBorder="1" applyAlignment="1">
      <alignment horizontal="center" vertical="center"/>
    </xf>
    <xf numFmtId="0" fontId="31" fillId="5" borderId="259" xfId="0" applyFont="1" applyFill="1" applyBorder="1" applyAlignment="1">
      <alignment horizontal="center" vertical="center"/>
    </xf>
    <xf numFmtId="0" fontId="31" fillId="5" borderId="87" xfId="0" applyFont="1" applyFill="1" applyBorder="1" applyAlignment="1">
      <alignment horizontal="center" vertical="center"/>
    </xf>
    <xf numFmtId="0" fontId="31" fillId="5" borderId="246" xfId="0" applyFont="1" applyFill="1" applyBorder="1" applyAlignment="1">
      <alignment horizontal="center" vertical="center"/>
    </xf>
    <xf numFmtId="0" fontId="13" fillId="14" borderId="71" xfId="0" applyFont="1" applyFill="1" applyBorder="1" applyAlignment="1">
      <alignment horizontal="center"/>
    </xf>
    <xf numFmtId="0" fontId="63" fillId="24" borderId="87" xfId="0" applyFont="1" applyFill="1" applyBorder="1" applyAlignment="1">
      <alignment horizontal="center"/>
    </xf>
    <xf numFmtId="0" fontId="63" fillId="24" borderId="39" xfId="0" applyFont="1" applyFill="1" applyBorder="1" applyAlignment="1">
      <alignment horizontal="center"/>
    </xf>
    <xf numFmtId="0" fontId="63" fillId="24" borderId="244" xfId="0" applyFont="1" applyFill="1" applyBorder="1" applyAlignment="1">
      <alignment horizontal="center"/>
    </xf>
    <xf numFmtId="0" fontId="91" fillId="57" borderId="76" xfId="0" applyFont="1" applyFill="1" applyBorder="1" applyAlignment="1">
      <alignment horizontal="center" vertical="center"/>
    </xf>
    <xf numFmtId="0" fontId="35" fillId="0" borderId="76" xfId="0" applyFont="1" applyBorder="1" applyAlignment="1">
      <alignment horizontal="center" vertical="center" wrapText="1"/>
    </xf>
    <xf numFmtId="0" fontId="91" fillId="63" borderId="76" xfId="0" applyFont="1" applyFill="1" applyBorder="1" applyAlignment="1">
      <alignment horizontal="center" vertical="center"/>
    </xf>
    <xf numFmtId="10" fontId="13" fillId="0" borderId="310" xfId="16" applyNumberFormat="1" applyFont="1" applyBorder="1" applyAlignment="1">
      <alignment horizontal="center"/>
    </xf>
    <xf numFmtId="10" fontId="13" fillId="0" borderId="146" xfId="16" applyNumberFormat="1" applyFont="1" applyBorder="1" applyAlignment="1">
      <alignment horizontal="center"/>
    </xf>
    <xf numFmtId="10" fontId="13" fillId="0" borderId="260" xfId="16" applyNumberFormat="1" applyFont="1" applyBorder="1" applyAlignment="1">
      <alignment horizontal="center"/>
    </xf>
    <xf numFmtId="0" fontId="13" fillId="0" borderId="310" xfId="0" applyFont="1" applyBorder="1" applyAlignment="1">
      <alignment horizontal="center"/>
    </xf>
    <xf numFmtId="0" fontId="13" fillId="0" borderId="146" xfId="0" applyFont="1" applyBorder="1" applyAlignment="1">
      <alignment horizontal="center"/>
    </xf>
    <xf numFmtId="0" fontId="13" fillId="0" borderId="260" xfId="0" applyFont="1" applyBorder="1" applyAlignment="1">
      <alignment horizontal="center"/>
    </xf>
    <xf numFmtId="0" fontId="96" fillId="0" borderId="66" xfId="0" quotePrefix="1" applyFont="1" applyBorder="1" applyAlignment="1">
      <alignment horizontal="left" vertical="center" wrapText="1" indent="3"/>
    </xf>
    <xf numFmtId="0" fontId="95" fillId="0" borderId="67" xfId="0" applyFont="1" applyBorder="1" applyAlignment="1">
      <alignment horizontal="left" vertical="center" wrapText="1" indent="3"/>
    </xf>
    <xf numFmtId="0" fontId="95" fillId="0" borderId="68" xfId="0" applyFont="1" applyBorder="1" applyAlignment="1">
      <alignment horizontal="left" vertical="center" wrapText="1" indent="3"/>
    </xf>
    <xf numFmtId="0" fontId="95" fillId="0" borderId="49" xfId="0" applyFont="1" applyBorder="1" applyAlignment="1">
      <alignment horizontal="left" vertical="center" wrapText="1" indent="3"/>
    </xf>
    <xf numFmtId="0" fontId="95" fillId="0" borderId="0" xfId="0" applyFont="1" applyAlignment="1">
      <alignment horizontal="left" vertical="center" wrapText="1" indent="3"/>
    </xf>
    <xf numFmtId="0" fontId="95" fillId="0" borderId="50" xfId="0" applyFont="1" applyBorder="1" applyAlignment="1">
      <alignment horizontal="left" vertical="center" wrapText="1" indent="3"/>
    </xf>
    <xf numFmtId="0" fontId="95" fillId="0" borderId="69" xfId="0" applyFont="1" applyBorder="1" applyAlignment="1">
      <alignment horizontal="left" vertical="center" wrapText="1" indent="3"/>
    </xf>
    <xf numFmtId="0" fontId="95" fillId="0" borderId="74" xfId="0" applyFont="1" applyBorder="1" applyAlignment="1">
      <alignment horizontal="left" vertical="center" wrapText="1" indent="3"/>
    </xf>
    <xf numFmtId="0" fontId="95" fillId="0" borderId="75" xfId="0" applyFont="1" applyBorder="1" applyAlignment="1">
      <alignment horizontal="left" vertical="center" wrapText="1" indent="3"/>
    </xf>
    <xf numFmtId="0" fontId="31" fillId="5" borderId="72" xfId="0" applyFont="1" applyFill="1" applyBorder="1" applyAlignment="1">
      <alignment horizontal="center"/>
    </xf>
    <xf numFmtId="0" fontId="31" fillId="5" borderId="74" xfId="0" applyFont="1" applyFill="1" applyBorder="1" applyAlignment="1">
      <alignment horizontal="center"/>
    </xf>
    <xf numFmtId="0" fontId="31" fillId="5" borderId="75" xfId="0" applyFont="1" applyFill="1" applyBorder="1" applyAlignment="1">
      <alignment horizontal="center"/>
    </xf>
    <xf numFmtId="0" fontId="13" fillId="24" borderId="76" xfId="0" applyFont="1" applyFill="1" applyBorder="1" applyAlignment="1">
      <alignment horizontal="center"/>
    </xf>
    <xf numFmtId="10" fontId="63" fillId="24" borderId="259" xfId="16" applyNumberFormat="1" applyFont="1" applyFill="1" applyBorder="1" applyAlignment="1">
      <alignment horizontal="center"/>
    </xf>
    <xf numFmtId="10" fontId="63" fillId="24" borderId="39" xfId="16" applyNumberFormat="1" applyFont="1" applyFill="1" applyBorder="1" applyAlignment="1">
      <alignment horizontal="center"/>
    </xf>
    <xf numFmtId="10" fontId="63" fillId="24" borderId="311" xfId="16" applyNumberFormat="1" applyFont="1" applyFill="1" applyBorder="1" applyAlignment="1">
      <alignment horizontal="center"/>
    </xf>
    <xf numFmtId="0" fontId="13" fillId="24" borderId="71" xfId="0" applyFont="1" applyFill="1" applyBorder="1" applyAlignment="1">
      <alignment horizontal="center"/>
    </xf>
    <xf numFmtId="0" fontId="13" fillId="24" borderId="72" xfId="0" applyFont="1" applyFill="1" applyBorder="1" applyAlignment="1">
      <alignment horizontal="center"/>
    </xf>
    <xf numFmtId="0" fontId="67" fillId="0" borderId="100" xfId="0" applyFont="1" applyBorder="1" applyAlignment="1">
      <alignment horizontal="center" vertical="center" wrapText="1"/>
    </xf>
    <xf numFmtId="0" fontId="67" fillId="0" borderId="101" xfId="0" applyFont="1" applyBorder="1" applyAlignment="1">
      <alignment horizontal="center" vertical="center" wrapText="1"/>
    </xf>
    <xf numFmtId="0" fontId="67" fillId="0" borderId="102" xfId="0" applyFont="1" applyBorder="1" applyAlignment="1">
      <alignment horizontal="center" vertical="center" wrapText="1"/>
    </xf>
    <xf numFmtId="0" fontId="49" fillId="5" borderId="63" xfId="0" applyFont="1" applyFill="1" applyBorder="1" applyAlignment="1">
      <alignment horizontal="center"/>
    </xf>
    <xf numFmtId="0" fontId="0" fillId="0" borderId="129" xfId="0" applyBorder="1" applyAlignment="1">
      <alignment horizontal="center" wrapText="1"/>
    </xf>
    <xf numFmtId="0" fontId="8" fillId="39" borderId="189" xfId="0" applyFont="1" applyFill="1" applyBorder="1" applyAlignment="1">
      <alignment horizontal="center" vertical="center" wrapText="1"/>
    </xf>
    <xf numFmtId="0" fontId="72" fillId="0" borderId="63" xfId="0" applyFont="1" applyBorder="1" applyAlignment="1">
      <alignment horizontal="center" vertical="center" wrapText="1"/>
    </xf>
    <xf numFmtId="0" fontId="72" fillId="0" borderId="190" xfId="0" applyFont="1" applyBorder="1" applyAlignment="1">
      <alignment horizontal="center" vertical="center" wrapText="1"/>
    </xf>
    <xf numFmtId="0" fontId="27" fillId="5" borderId="186" xfId="26" applyFont="1" applyFill="1" applyBorder="1" applyAlignment="1">
      <alignment horizontal="center" vertical="center"/>
    </xf>
    <xf numFmtId="0" fontId="27" fillId="5" borderId="187" xfId="26" applyFont="1" applyFill="1" applyBorder="1" applyAlignment="1">
      <alignment horizontal="center" vertical="center"/>
    </xf>
    <xf numFmtId="0" fontId="27" fillId="5" borderId="188" xfId="26" applyFont="1" applyFill="1" applyBorder="1" applyAlignment="1">
      <alignment horizontal="center" vertical="center"/>
    </xf>
    <xf numFmtId="0" fontId="8" fillId="44" borderId="189" xfId="0" applyFont="1" applyFill="1" applyBorder="1" applyAlignment="1">
      <alignment horizontal="center" vertical="center" wrapText="1"/>
    </xf>
    <xf numFmtId="0" fontId="8" fillId="43" borderId="189" xfId="0" applyFont="1" applyFill="1" applyBorder="1" applyAlignment="1">
      <alignment horizontal="center" vertical="center" wrapText="1"/>
    </xf>
    <xf numFmtId="0" fontId="8" fillId="43" borderId="191" xfId="0" applyFont="1" applyFill="1" applyBorder="1" applyAlignment="1">
      <alignment horizontal="center" vertical="center" wrapText="1"/>
    </xf>
    <xf numFmtId="0" fontId="72" fillId="0" borderId="192" xfId="0" applyFont="1" applyBorder="1" applyAlignment="1">
      <alignment horizontal="center" vertical="center" wrapText="1"/>
    </xf>
    <xf numFmtId="0" fontId="72" fillId="0" borderId="193" xfId="0" applyFont="1" applyBorder="1" applyAlignment="1">
      <alignment horizontal="center" vertical="center" wrapText="1"/>
    </xf>
    <xf numFmtId="2" fontId="0" fillId="0" borderId="0" xfId="26" applyNumberFormat="1" applyFont="1" applyAlignment="1">
      <alignment horizontal="center"/>
    </xf>
    <xf numFmtId="0" fontId="16" fillId="18" borderId="103" xfId="1" applyFill="1" applyBorder="1" applyAlignment="1">
      <alignment horizontal="center" vertical="center" readingOrder="1"/>
    </xf>
    <xf numFmtId="0" fontId="52" fillId="18" borderId="103" xfId="26" applyFont="1" applyFill="1" applyBorder="1" applyAlignment="1">
      <alignment horizontal="center"/>
    </xf>
    <xf numFmtId="0" fontId="0" fillId="0" borderId="0" xfId="26" applyFont="1" applyAlignment="1">
      <alignment horizontal="center"/>
    </xf>
    <xf numFmtId="0" fontId="27" fillId="5" borderId="124" xfId="26" applyFont="1" applyFill="1" applyBorder="1" applyAlignment="1">
      <alignment horizontal="center" vertical="center"/>
    </xf>
    <xf numFmtId="0" fontId="27" fillId="5" borderId="30" xfId="26" applyFont="1" applyFill="1" applyBorder="1" applyAlignment="1">
      <alignment horizontal="center" vertical="center"/>
    </xf>
    <xf numFmtId="0" fontId="27" fillId="5" borderId="31" xfId="26" applyFont="1" applyFill="1" applyBorder="1" applyAlignment="1">
      <alignment horizontal="center" vertical="center"/>
    </xf>
    <xf numFmtId="0" fontId="29" fillId="0" borderId="125" xfId="26" applyFont="1" applyBorder="1" applyAlignment="1">
      <alignment horizontal="center" vertical="center" wrapText="1"/>
    </xf>
    <xf numFmtId="0" fontId="29" fillId="0" borderId="126" xfId="26" applyFont="1" applyBorder="1" applyAlignment="1">
      <alignment horizontal="center" vertical="center" wrapText="1"/>
    </xf>
    <xf numFmtId="0" fontId="29" fillId="0" borderId="127" xfId="26" applyFont="1" applyBorder="1" applyAlignment="1">
      <alignment horizontal="center" vertical="center" wrapText="1"/>
    </xf>
    <xf numFmtId="0" fontId="8" fillId="39" borderId="115" xfId="0" applyFont="1" applyFill="1" applyBorder="1" applyAlignment="1">
      <alignment horizontal="center"/>
    </xf>
    <xf numFmtId="0" fontId="8" fillId="39" borderId="112" xfId="0" applyFont="1" applyFill="1" applyBorder="1" applyAlignment="1">
      <alignment horizontal="center"/>
    </xf>
    <xf numFmtId="0" fontId="8" fillId="39" borderId="170" xfId="0" applyFont="1" applyFill="1" applyBorder="1" applyAlignment="1">
      <alignment horizontal="center"/>
    </xf>
    <xf numFmtId="0" fontId="64" fillId="0" borderId="3" xfId="29" applyFont="1" applyBorder="1" applyAlignment="1">
      <alignment horizontal="center" vertical="center"/>
    </xf>
    <xf numFmtId="0" fontId="64" fillId="0" borderId="2" xfId="29" applyFont="1" applyBorder="1" applyAlignment="1">
      <alignment horizontal="center" vertical="center"/>
    </xf>
    <xf numFmtId="0" fontId="54" fillId="36" borderId="0" xfId="0" applyFont="1" applyFill="1" applyAlignment="1">
      <alignment horizontal="center" vertical="center"/>
    </xf>
    <xf numFmtId="0" fontId="54" fillId="36" borderId="129" xfId="0" applyFont="1" applyFill="1" applyBorder="1" applyAlignment="1">
      <alignment horizontal="center" vertical="center"/>
    </xf>
    <xf numFmtId="0" fontId="13" fillId="0" borderId="116" xfId="0" applyFont="1" applyBorder="1" applyAlignment="1">
      <alignment horizontal="center" vertical="center" wrapText="1"/>
    </xf>
    <xf numFmtId="0" fontId="55" fillId="0" borderId="117" xfId="0" applyFont="1" applyBorder="1" applyAlignment="1">
      <alignment horizontal="center" vertical="center" wrapText="1"/>
    </xf>
    <xf numFmtId="0" fontId="55" fillId="0" borderId="114" xfId="0" applyFont="1" applyBorder="1" applyAlignment="1">
      <alignment horizontal="center" vertical="center" wrapText="1"/>
    </xf>
    <xf numFmtId="0" fontId="55" fillId="0" borderId="280" xfId="0" applyFont="1" applyBorder="1" applyAlignment="1">
      <alignment horizontal="center" vertical="center" wrapText="1"/>
    </xf>
    <xf numFmtId="0" fontId="60" fillId="28" borderId="116" xfId="0" applyFont="1" applyFill="1" applyBorder="1" applyAlignment="1">
      <alignment horizontal="center"/>
    </xf>
    <xf numFmtId="0" fontId="60" fillId="28" borderId="0" xfId="0" applyFont="1" applyFill="1" applyAlignment="1">
      <alignment horizontal="center"/>
    </xf>
    <xf numFmtId="0" fontId="60" fillId="28" borderId="128" xfId="0" applyFont="1" applyFill="1" applyBorder="1" applyAlignment="1">
      <alignment horizontal="center"/>
    </xf>
    <xf numFmtId="0" fontId="60" fillId="28" borderId="112" xfId="0" applyFont="1" applyFill="1" applyBorder="1" applyAlignment="1">
      <alignment horizontal="center"/>
    </xf>
    <xf numFmtId="0" fontId="60" fillId="28" borderId="170" xfId="0" applyFont="1" applyFill="1" applyBorder="1" applyAlignment="1">
      <alignment horizontal="center"/>
    </xf>
    <xf numFmtId="0" fontId="53" fillId="12" borderId="116" xfId="0" applyFont="1" applyFill="1" applyBorder="1" applyAlignment="1">
      <alignment horizontal="center"/>
    </xf>
    <xf numFmtId="0" fontId="53" fillId="12" borderId="112" xfId="0" applyFont="1" applyFill="1" applyBorder="1" applyAlignment="1">
      <alignment horizontal="center"/>
    </xf>
    <xf numFmtId="0" fontId="53" fillId="12" borderId="0" xfId="0" applyFont="1" applyFill="1" applyAlignment="1">
      <alignment horizontal="center"/>
    </xf>
    <xf numFmtId="0" fontId="53" fillId="12" borderId="129" xfId="0" applyFont="1" applyFill="1" applyBorder="1" applyAlignment="1">
      <alignment horizontal="center"/>
    </xf>
    <xf numFmtId="0" fontId="53" fillId="12" borderId="138" xfId="0" applyFont="1" applyFill="1" applyBorder="1" applyAlignment="1">
      <alignment horizontal="center"/>
    </xf>
    <xf numFmtId="0" fontId="53" fillId="39" borderId="281" xfId="0" applyFont="1" applyFill="1" applyBorder="1" applyAlignment="1">
      <alignment horizontal="center"/>
    </xf>
    <xf numFmtId="0" fontId="53" fillId="39" borderId="181" xfId="0" applyFont="1" applyFill="1" applyBorder="1" applyAlignment="1">
      <alignment horizontal="center"/>
    </xf>
    <xf numFmtId="0" fontId="53" fillId="39" borderId="143" xfId="0" applyFont="1" applyFill="1" applyBorder="1" applyAlignment="1">
      <alignment horizontal="center"/>
    </xf>
    <xf numFmtId="0" fontId="53" fillId="39" borderId="136" xfId="0" applyFont="1" applyFill="1" applyBorder="1" applyAlignment="1">
      <alignment horizontal="center"/>
    </xf>
    <xf numFmtId="0" fontId="55" fillId="0" borderId="114" xfId="0" applyFont="1" applyBorder="1" applyAlignment="1">
      <alignment horizontal="center" vertical="center"/>
    </xf>
    <xf numFmtId="0" fontId="55" fillId="0" borderId="117" xfId="0" applyFont="1" applyBorder="1" applyAlignment="1">
      <alignment horizontal="center" vertical="center"/>
    </xf>
    <xf numFmtId="0" fontId="55" fillId="0" borderId="280" xfId="0" applyFont="1" applyBorder="1" applyAlignment="1">
      <alignment horizontal="center" vertical="center"/>
    </xf>
    <xf numFmtId="0" fontId="55" fillId="0" borderId="182" xfId="0" applyFont="1" applyBorder="1" applyAlignment="1">
      <alignment horizontal="center" vertical="center"/>
    </xf>
    <xf numFmtId="0" fontId="55" fillId="0" borderId="154" xfId="0" applyFont="1" applyBorder="1" applyAlignment="1">
      <alignment horizontal="center" vertical="center"/>
    </xf>
    <xf numFmtId="0" fontId="55" fillId="12" borderId="118" xfId="0" applyFont="1" applyFill="1" applyBorder="1" applyAlignment="1">
      <alignment horizontal="center" vertical="center"/>
    </xf>
    <xf numFmtId="0" fontId="55" fillId="12" borderId="137" xfId="0" applyFont="1" applyFill="1" applyBorder="1" applyAlignment="1">
      <alignment horizontal="center" vertical="center"/>
    </xf>
    <xf numFmtId="0" fontId="55" fillId="12" borderId="116" xfId="0" applyFont="1" applyFill="1" applyBorder="1" applyAlignment="1">
      <alignment horizontal="center" vertical="center"/>
    </xf>
    <xf numFmtId="0" fontId="55" fillId="12" borderId="113" xfId="0" applyFont="1" applyFill="1" applyBorder="1" applyAlignment="1">
      <alignment horizontal="center" vertical="center"/>
    </xf>
    <xf numFmtId="0" fontId="55" fillId="12" borderId="115" xfId="0" applyFont="1" applyFill="1" applyBorder="1" applyAlignment="1">
      <alignment horizontal="center" vertical="center"/>
    </xf>
    <xf numFmtId="0" fontId="55" fillId="12" borderId="138" xfId="0" applyFont="1" applyFill="1" applyBorder="1" applyAlignment="1">
      <alignment horizontal="center" vertical="center"/>
    </xf>
    <xf numFmtId="0" fontId="75" fillId="0" borderId="269" xfId="24" applyFont="1" applyBorder="1" applyAlignment="1">
      <alignment horizontal="center" vertical="center"/>
    </xf>
    <xf numFmtId="0" fontId="74" fillId="56" borderId="0" xfId="0" applyFont="1" applyFill="1" applyAlignment="1">
      <alignment horizontal="center" vertical="center" wrapText="1"/>
    </xf>
    <xf numFmtId="0" fontId="74" fillId="56" borderId="0" xfId="0" applyFont="1" applyFill="1" applyAlignment="1">
      <alignment horizontal="center" wrapText="1"/>
    </xf>
    <xf numFmtId="0" fontId="77" fillId="7" borderId="0" xfId="0" applyFont="1" applyFill="1" applyAlignment="1">
      <alignment horizontal="left"/>
    </xf>
    <xf numFmtId="10" fontId="0" fillId="0" borderId="0" xfId="24" applyNumberFormat="1" applyFont="1" applyAlignment="1">
      <alignment horizontal="center" wrapText="1"/>
    </xf>
    <xf numFmtId="0" fontId="0" fillId="0" borderId="0" xfId="24" applyFont="1" applyAlignment="1">
      <alignment horizontal="center" wrapText="1"/>
    </xf>
    <xf numFmtId="10" fontId="0" fillId="61" borderId="0" xfId="24" applyNumberFormat="1" applyFont="1" applyFill="1" applyAlignment="1">
      <alignment horizontal="center" wrapText="1"/>
    </xf>
    <xf numFmtId="0" fontId="0" fillId="61" borderId="0" xfId="24" applyFont="1" applyFill="1" applyAlignment="1">
      <alignment horizontal="center" wrapText="1"/>
    </xf>
    <xf numFmtId="0" fontId="75" fillId="0" borderId="0" xfId="24" applyFont="1" applyAlignment="1">
      <alignment horizontal="center" wrapText="1"/>
    </xf>
    <xf numFmtId="0" fontId="84" fillId="0" borderId="220" xfId="24" applyFont="1" applyBorder="1" applyAlignment="1">
      <alignment horizontal="center" wrapText="1"/>
    </xf>
    <xf numFmtId="0" fontId="88" fillId="7" borderId="0" xfId="0" applyFont="1" applyFill="1" applyAlignment="1">
      <alignment horizontal="center" vertical="center" wrapText="1"/>
    </xf>
    <xf numFmtId="0" fontId="74" fillId="18" borderId="0" xfId="0" applyFont="1" applyFill="1" applyAlignment="1">
      <alignment horizontal="center" vertical="center" wrapText="1"/>
    </xf>
    <xf numFmtId="0" fontId="49" fillId="18" borderId="0" xfId="24" applyFont="1" applyFill="1" applyAlignment="1">
      <alignment horizontal="center" vertical="center" wrapText="1"/>
    </xf>
    <xf numFmtId="0" fontId="0" fillId="0" borderId="161" xfId="24" applyFont="1" applyBorder="1" applyAlignment="1">
      <alignment horizontal="center" wrapText="1"/>
    </xf>
    <xf numFmtId="0" fontId="0" fillId="0" borderId="107" xfId="24" applyFont="1" applyBorder="1" applyAlignment="1">
      <alignment horizontal="center" wrapText="1"/>
    </xf>
    <xf numFmtId="0" fontId="0" fillId="0" borderId="217" xfId="24" applyFont="1" applyBorder="1" applyAlignment="1">
      <alignment horizontal="center" wrapText="1"/>
    </xf>
    <xf numFmtId="0" fontId="13" fillId="0" borderId="161" xfId="24" applyFont="1" applyBorder="1" applyAlignment="1">
      <alignment horizontal="center" wrapText="1"/>
    </xf>
    <xf numFmtId="0" fontId="13" fillId="0" borderId="107" xfId="24" applyFont="1" applyBorder="1" applyAlignment="1">
      <alignment horizontal="center" wrapText="1"/>
    </xf>
    <xf numFmtId="0" fontId="13" fillId="0" borderId="217" xfId="24" applyFont="1" applyBorder="1" applyAlignment="1">
      <alignment horizontal="center" wrapText="1"/>
    </xf>
    <xf numFmtId="0" fontId="43" fillId="20" borderId="0" xfId="0" applyFont="1" applyFill="1" applyAlignment="1">
      <alignment horizontal="center"/>
    </xf>
    <xf numFmtId="0" fontId="9" fillId="0" borderId="0" xfId="0" applyFont="1" applyAlignment="1">
      <alignment horizontal="center"/>
    </xf>
    <xf numFmtId="0" fontId="39" fillId="0" borderId="0" xfId="0" applyFont="1" applyAlignment="1">
      <alignment horizontal="center"/>
    </xf>
    <xf numFmtId="0" fontId="43" fillId="0" borderId="0" xfId="0" applyFont="1" applyAlignment="1">
      <alignment horizont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13" fillId="0" borderId="215" xfId="0" applyFont="1" applyBorder="1" applyAlignment="1">
      <alignment horizontal="center" wrapText="1"/>
    </xf>
  </cellXfs>
  <cellStyles count="34">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2" xr:uid="{00000000-0005-0000-0000-00000B000000}"/>
    <cellStyle name="Moneda 2 2" xfId="13" xr:uid="{00000000-0005-0000-0000-00000C000000}"/>
    <cellStyle name="Normal 2" xfId="14" xr:uid="{00000000-0005-0000-0000-00000E000000}"/>
    <cellStyle name="Normal 2 2" xfId="15" xr:uid="{00000000-0005-0000-0000-00000F000000}"/>
    <cellStyle name="Normal 2 3" xfId="20" xr:uid="{00000000-0005-0000-0000-000010000000}"/>
    <cellStyle name="Normal 2 3 2" xfId="27" xr:uid="{00000000-0005-0000-0000-000011000000}"/>
    <cellStyle name="Normal 2 4" xfId="21" xr:uid="{00000000-0005-0000-0000-000012000000}"/>
    <cellStyle name="Normal 3" xfId="24" xr:uid="{00000000-0005-0000-0000-000013000000}"/>
    <cellStyle name="Normal 3 2" xfId="26" xr:uid="{00000000-0005-0000-0000-000014000000}"/>
    <cellStyle name="Normal 3 3" xfId="29" xr:uid="{00000000-0005-0000-0000-000015000000}"/>
    <cellStyle name="Normal 5" xfId="30" xr:uid="{00000000-0005-0000-0000-000016000000}"/>
    <cellStyle name="Normal 9" xfId="33" xr:uid="{00000000-0005-0000-0000-000017000000}"/>
    <cellStyle name="Porcentaje 2" xfId="17" xr:uid="{00000000-0005-0000-0000-000019000000}"/>
    <cellStyle name="Porcentaje 2 2" xfId="18" xr:uid="{00000000-0005-0000-0000-00001A000000}"/>
    <cellStyle name="Porcentaje 2 2 2" xfId="25" xr:uid="{00000000-0005-0000-0000-00001B000000}"/>
    <cellStyle name="Porcentaje 2 3" xfId="23" xr:uid="{00000000-0005-0000-0000-00001C000000}"/>
    <cellStyle name="Porcentaje 2 4" xfId="28" xr:uid="{00000000-0005-0000-0000-00001D000000}"/>
    <cellStyle name="Porcentaje 3" xfId="19" xr:uid="{00000000-0005-0000-0000-00001E000000}"/>
    <cellStyle name="Porcentaje 3 2" xfId="22" xr:uid="{00000000-0005-0000-0000-00001F000000}"/>
    <cellStyle name="Porcentaje 4 2" xfId="32" xr:uid="{00000000-0005-0000-0000-000020000000}"/>
    <cellStyle name="Porcentaje 5" xfId="31" xr:uid="{00000000-0005-0000-0000-000021000000}"/>
    <cellStyle name="百分比" xfId="16" builtinId="5"/>
    <cellStyle name="常规" xfId="0" builtinId="0"/>
    <cellStyle name="超链接" xfId="11" builtinId="8"/>
  </cellStyles>
  <dxfs count="32">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00000000-0011-0000-FFFF-FFFF00000000}"/>
  </tableStyles>
  <colors>
    <mruColors>
      <color rgb="FFFFA200"/>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06/relationships/rdRichValue" Target="richData/rdrichvalue.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RichValueTypes" Target="richData/rdRichValueTyp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52-40C5-AF07-C0DD867FF7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52-40C5-AF07-C0DD867FF7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52-40C5-AF07-C0DD867FF7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Segments!$C$21:$C$23</c:f>
              <c:strCache>
                <c:ptCount val="3"/>
                <c:pt idx="0">
                  <c:v>Jewellery Maisons</c:v>
                </c:pt>
                <c:pt idx="1">
                  <c:v>Specialist Watchmakers</c:v>
                </c:pt>
                <c:pt idx="2">
                  <c:v>Others</c:v>
                </c:pt>
              </c:strCache>
            </c:strRef>
          </c:cat>
          <c:val>
            <c:numRef>
              <c:f>Segments!$D$21:$D$23</c:f>
              <c:numCache>
                <c:formatCode>"$"#,##0</c:formatCode>
                <c:ptCount val="3"/>
                <c:pt idx="0">
                  <c:v>13427</c:v>
                </c:pt>
                <c:pt idx="1">
                  <c:v>3875</c:v>
                </c:pt>
                <c:pt idx="2">
                  <c:v>2651</c:v>
                </c:pt>
              </c:numCache>
            </c:numRef>
          </c:val>
          <c:extLst>
            <c:ext xmlns:c16="http://schemas.microsoft.com/office/drawing/2014/chart" uri="{C3380CC4-5D6E-409C-BE32-E72D297353CC}">
              <c16:uniqueId val="{0000000A-A516-4348-994B-F95B089D098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Segments!$C$5:$C$13</c:f>
              <c:strCache>
                <c:ptCount val="9"/>
                <c:pt idx="0">
                  <c:v>Greater China</c:v>
                </c:pt>
                <c:pt idx="1">
                  <c:v>Americas (majorly USA)</c:v>
                </c:pt>
                <c:pt idx="2">
                  <c:v>Rest of Europe</c:v>
                </c:pt>
                <c:pt idx="3">
                  <c:v>Rest of Asia-Pacific</c:v>
                </c:pt>
                <c:pt idx="4">
                  <c:v>Japan</c:v>
                </c:pt>
                <c:pt idx="5">
                  <c:v>Middle East and Africa</c:v>
                </c:pt>
                <c:pt idx="6">
                  <c:v>South Korea</c:v>
                </c:pt>
                <c:pt idx="7">
                  <c:v>France</c:v>
                </c:pt>
                <c:pt idx="8">
                  <c:v>Switzerland</c:v>
                </c:pt>
              </c:strCache>
            </c:strRef>
          </c:cat>
          <c:val>
            <c:numRef>
              <c:f>Segments!$D$5:$D$13</c:f>
              <c:numCache>
                <c:formatCode>"$"#,##0</c:formatCode>
                <c:ptCount val="9"/>
                <c:pt idx="0">
                  <c:v>5033</c:v>
                </c:pt>
                <c:pt idx="1">
                  <c:v>4467</c:v>
                </c:pt>
                <c:pt idx="2">
                  <c:v>2775</c:v>
                </c:pt>
                <c:pt idx="3">
                  <c:v>1827</c:v>
                </c:pt>
                <c:pt idx="4">
                  <c:v>1616</c:v>
                </c:pt>
                <c:pt idx="5">
                  <c:v>1562</c:v>
                </c:pt>
                <c:pt idx="6">
                  <c:v>1077</c:v>
                </c:pt>
                <c:pt idx="7">
                  <c:v>1001</c:v>
                </c:pt>
                <c:pt idx="8">
                  <c:v>595</c:v>
                </c:pt>
              </c:numCache>
            </c:numRef>
          </c:val>
          <c:extLst>
            <c:ext xmlns:c16="http://schemas.microsoft.com/office/drawing/2014/chart" uri="{C3380CC4-5D6E-409C-BE32-E72D297353CC}">
              <c16:uniqueId val="{00000001-1E21-4098-A1BF-201551758191}"/>
            </c:ext>
          </c:extLst>
        </c:ser>
        <c:dLbls>
          <c:showLegendKey val="0"/>
          <c:showVal val="0"/>
          <c:showCatName val="0"/>
          <c:showSerName val="0"/>
          <c:showPercent val="0"/>
          <c:showBubbleSize val="0"/>
        </c:dLbls>
        <c:gapWidth val="182"/>
        <c:axId val="1075701767"/>
        <c:axId val="1094061575"/>
      </c:barChart>
      <c:catAx>
        <c:axId val="1075701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061575"/>
        <c:crosses val="autoZero"/>
        <c:auto val="1"/>
        <c:lblAlgn val="ctr"/>
        <c:lblOffset val="100"/>
        <c:noMultiLvlLbl val="0"/>
      </c:catAx>
      <c:valAx>
        <c:axId val="1094061575"/>
        <c:scaling>
          <c:orientation val="minMax"/>
          <c:max val="5100"/>
          <c:min val="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701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Peers!$C$7</c:f>
              <c:strCache>
                <c:ptCount val="1"/>
                <c:pt idx="0">
                  <c:v>Compagnie Financiere Richemont SA (XSWX:CFR)</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Peers!$C$20</c:f>
              <c:numCache>
                <c:formatCode>0.00</c:formatCode>
                <c:ptCount val="1"/>
                <c:pt idx="0">
                  <c:v>-0.40977559176145095</c:v>
                </c:pt>
              </c:numCache>
            </c:numRef>
          </c:xVal>
          <c:yVal>
            <c:numRef>
              <c:f>Peers!$C$36</c:f>
              <c:numCache>
                <c:formatCode>0.0</c:formatCode>
                <c:ptCount val="1"/>
                <c:pt idx="0">
                  <c:v>9.8579760021625411</c:v>
                </c:pt>
              </c:numCache>
            </c:numRef>
          </c:yVal>
          <c:smooth val="0"/>
          <c:extLst>
            <c:ext xmlns:c16="http://schemas.microsoft.com/office/drawing/2014/chart" uri="{C3380CC4-5D6E-409C-BE32-E72D297353CC}">
              <c16:uniqueId val="{00000001-B547-4DF9-892F-3129917FB3B3}"/>
            </c:ext>
          </c:extLst>
        </c:ser>
        <c:ser>
          <c:idx val="1"/>
          <c:order val="1"/>
          <c:tx>
            <c:strRef>
              <c:f>Peers!$D$7</c:f>
              <c:strCache>
                <c:ptCount val="1"/>
                <c:pt idx="0">
                  <c:v>LVMH Moet Hennessy Louis Vuitton SE (XPAR:MC)</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Peers!$D$20</c:f>
              <c:numCache>
                <c:formatCode>0.00</c:formatCode>
                <c:ptCount val="1"/>
                <c:pt idx="0">
                  <c:v>0.5907860365708858</c:v>
                </c:pt>
              </c:numCache>
            </c:numRef>
          </c:xVal>
          <c:yVal>
            <c:numRef>
              <c:f>Peers!$D$36</c:f>
              <c:numCache>
                <c:formatCode>0.0</c:formatCode>
                <c:ptCount val="1"/>
                <c:pt idx="0">
                  <c:v>14.187609075279033</c:v>
                </c:pt>
              </c:numCache>
            </c:numRef>
          </c:yVal>
          <c:smooth val="0"/>
          <c:extLst>
            <c:ext xmlns:c16="http://schemas.microsoft.com/office/drawing/2014/chart" uri="{C3380CC4-5D6E-409C-BE32-E72D297353CC}">
              <c16:uniqueId val="{00000002-B547-4DF9-892F-3129917FB3B3}"/>
            </c:ext>
          </c:extLst>
        </c:ser>
        <c:ser>
          <c:idx val="2"/>
          <c:order val="2"/>
          <c:tx>
            <c:strRef>
              <c:f>Peers!$E$7</c:f>
              <c:strCache>
                <c:ptCount val="1"/>
                <c:pt idx="0">
                  <c:v>Kering SA (XPAR:KER)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Peers!$E$20</c:f>
              <c:numCache>
                <c:formatCode>0.00</c:formatCode>
                <c:ptCount val="1"/>
                <c:pt idx="0">
                  <c:v>0.31784975878704341</c:v>
                </c:pt>
              </c:numCache>
            </c:numRef>
          </c:xVal>
          <c:yVal>
            <c:numRef>
              <c:f>Peers!$E$36</c:f>
              <c:numCache>
                <c:formatCode>0.0</c:formatCode>
                <c:ptCount val="1"/>
                <c:pt idx="0">
                  <c:v>3.9073451137146793</c:v>
                </c:pt>
              </c:numCache>
            </c:numRef>
          </c:yVal>
          <c:smooth val="0"/>
          <c:extLst>
            <c:ext xmlns:c16="http://schemas.microsoft.com/office/drawing/2014/chart" uri="{C3380CC4-5D6E-409C-BE32-E72D297353CC}">
              <c16:uniqueId val="{00000003-B547-4DF9-892F-3129917FB3B3}"/>
            </c:ext>
          </c:extLst>
        </c:ser>
        <c:ser>
          <c:idx val="3"/>
          <c:order val="3"/>
          <c:tx>
            <c:strRef>
              <c:f>Peers!$F$7</c:f>
              <c:strCache>
                <c:ptCount val="1"/>
                <c:pt idx="0">
                  <c:v>Hermes International SCA (XPAR:RMS)</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Peers!$F$20</c:f>
              <c:numCache>
                <c:formatCode>0.00</c:formatCode>
                <c:ptCount val="1"/>
                <c:pt idx="0">
                  <c:v>-1.7504286530767765</c:v>
                </c:pt>
              </c:numCache>
            </c:numRef>
          </c:xVal>
          <c:yVal>
            <c:numRef>
              <c:f>Peers!$F$36</c:f>
              <c:numCache>
                <c:formatCode>0.0</c:formatCode>
                <c:ptCount val="1"/>
                <c:pt idx="0">
                  <c:v>38.051789407506192</c:v>
                </c:pt>
              </c:numCache>
            </c:numRef>
          </c:yVal>
          <c:smooth val="0"/>
          <c:extLst>
            <c:ext xmlns:c16="http://schemas.microsoft.com/office/drawing/2014/chart" uri="{C3380CC4-5D6E-409C-BE32-E72D297353CC}">
              <c16:uniqueId val="{00000004-B547-4DF9-892F-3129917FB3B3}"/>
            </c:ext>
          </c:extLst>
        </c:ser>
        <c:ser>
          <c:idx val="4"/>
          <c:order val="4"/>
          <c:tx>
            <c:strRef>
              <c:f>Peers!$G$7</c:f>
              <c:strCache>
                <c:ptCount val="1"/>
                <c:pt idx="0">
                  <c:v>The Swatch Group Ltd (OTCM:SWGAY)</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Peers!$G$20</c:f>
              <c:numCache>
                <c:formatCode>0.00</c:formatCode>
                <c:ptCount val="1"/>
                <c:pt idx="0">
                  <c:v>-1.3840255591054311</c:v>
                </c:pt>
              </c:numCache>
            </c:numRef>
          </c:xVal>
          <c:yVal>
            <c:numRef>
              <c:f>Peers!$G$36</c:f>
              <c:numCache>
                <c:formatCode>0.0</c:formatCode>
                <c:ptCount val="1"/>
                <c:pt idx="0">
                  <c:v>-0.56630249975224278</c:v>
                </c:pt>
              </c:numCache>
            </c:numRef>
          </c:yVal>
          <c:smooth val="0"/>
          <c:extLst>
            <c:ext xmlns:c16="http://schemas.microsoft.com/office/drawing/2014/chart" uri="{C3380CC4-5D6E-409C-BE32-E72D297353CC}">
              <c16:uniqueId val="{00000005-B547-4DF9-892F-3129917FB3B3}"/>
            </c:ext>
          </c:extLst>
        </c:ser>
        <c:ser>
          <c:idx val="5"/>
          <c:order val="5"/>
          <c:tx>
            <c:strRef>
              <c:f>Peers!#REF!</c:f>
              <c:strCache>
                <c:ptCount val="1"/>
                <c:pt idx="0">
                  <c:v>#REF!</c:v>
                </c:pt>
              </c:strCache>
            </c:strRef>
          </c:tx>
          <c:spPr>
            <a:ln w="25400" cap="rnd">
              <a:noFill/>
              <a:round/>
            </a:ln>
            <a:effectLst/>
          </c:spPr>
          <c:marker>
            <c:symbol val="circle"/>
            <c:size val="5"/>
            <c:spPr>
              <a:solidFill>
                <a:schemeClr val="accent6"/>
              </a:solidFill>
              <a:ln w="9525">
                <a:solidFill>
                  <a:schemeClr val="accent6"/>
                </a:solidFill>
              </a:ln>
              <a:effectLst/>
            </c:spPr>
          </c:marker>
          <c:xVal>
            <c:strRef>
              <c:f>Peers!#REF!</c:f>
              <c:strCache>
                <c:ptCount val="1"/>
                <c:pt idx="0">
                  <c:v>#REF!</c:v>
                </c:pt>
              </c:strCache>
            </c:strRef>
          </c:xVal>
          <c:yVal>
            <c:numRef>
              <c:f>Peers!#REF!</c:f>
              <c:numCache>
                <c:formatCode>0.0</c:formatCode>
                <c:ptCount val="1"/>
                <c:pt idx="0">
                  <c:v>1</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Peers!$C$7</c:f>
              <c:strCache>
                <c:ptCount val="1"/>
                <c:pt idx="0">
                  <c:v>Compagnie Financiere Richemont SA (XSWX:CFR)</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Peers!$C$43</c:f>
              <c:numCache>
                <c:formatCode>0.00%</c:formatCode>
                <c:ptCount val="1"/>
                <c:pt idx="0">
                  <c:v>1.0252173913043481</c:v>
                </c:pt>
              </c:numCache>
            </c:numRef>
          </c:xVal>
          <c:yVal>
            <c:numRef>
              <c:f>Peers!$C$48</c:f>
              <c:numCache>
                <c:formatCode>0%</c:formatCode>
                <c:ptCount val="1"/>
                <c:pt idx="0">
                  <c:v>1.2892398815399801</c:v>
                </c:pt>
              </c:numCache>
            </c:numRef>
          </c:yVal>
          <c:smooth val="0"/>
          <c:extLst>
            <c:ext xmlns:c16="http://schemas.microsoft.com/office/drawing/2014/chart" uri="{C3380CC4-5D6E-409C-BE32-E72D297353CC}">
              <c16:uniqueId val="{00000000-A0AB-4E28-9E73-D8DF3D5B0514}"/>
            </c:ext>
          </c:extLst>
        </c:ser>
        <c:ser>
          <c:idx val="1"/>
          <c:order val="1"/>
          <c:tx>
            <c:strRef>
              <c:f>Peers!$D$7</c:f>
              <c:strCache>
                <c:ptCount val="1"/>
                <c:pt idx="0">
                  <c:v>LVMH Moet Hennessy Louis Vuitton SE (XPAR:MC)</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Peers!$D$43</c:f>
              <c:numCache>
                <c:formatCode>0.00%</c:formatCode>
                <c:ptCount val="1"/>
                <c:pt idx="0">
                  <c:v>0.42281879194630867</c:v>
                </c:pt>
              </c:numCache>
            </c:numRef>
          </c:xVal>
          <c:yVal>
            <c:numRef>
              <c:f>Peers!$D$48</c:f>
              <c:numCache>
                <c:formatCode>0.00%</c:formatCode>
                <c:ptCount val="1"/>
              </c:numCache>
            </c:numRef>
          </c:yVal>
          <c:smooth val="0"/>
          <c:extLst>
            <c:ext xmlns:c16="http://schemas.microsoft.com/office/drawing/2014/chart" uri="{C3380CC4-5D6E-409C-BE32-E72D297353CC}">
              <c16:uniqueId val="{00000001-A0AB-4E28-9E73-D8DF3D5B0514}"/>
            </c:ext>
          </c:extLst>
        </c:ser>
        <c:ser>
          <c:idx val="2"/>
          <c:order val="2"/>
          <c:tx>
            <c:strRef>
              <c:f>Peers!$E$7</c:f>
              <c:strCache>
                <c:ptCount val="1"/>
                <c:pt idx="0">
                  <c:v>Kering SA (XPAR:KER)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Peers!$E$43</c:f>
              <c:numCache>
                <c:formatCode>0%</c:formatCode>
                <c:ptCount val="1"/>
                <c:pt idx="0">
                  <c:v>-0.59305689488910318</c:v>
                </c:pt>
              </c:numCache>
            </c:numRef>
          </c:xVal>
          <c:yVal>
            <c:numRef>
              <c:f>Peers!$E$48</c:f>
              <c:numCache>
                <c:formatCode>0.00%</c:formatCode>
                <c:ptCount val="1"/>
              </c:numCache>
            </c:numRef>
          </c:yVal>
          <c:smooth val="0"/>
          <c:extLst>
            <c:ext xmlns:c16="http://schemas.microsoft.com/office/drawing/2014/chart" uri="{C3380CC4-5D6E-409C-BE32-E72D297353CC}">
              <c16:uniqueId val="{00000002-A0AB-4E28-9E73-D8DF3D5B0514}"/>
            </c:ext>
          </c:extLst>
        </c:ser>
        <c:ser>
          <c:idx val="3"/>
          <c:order val="3"/>
          <c:tx>
            <c:strRef>
              <c:f>Peers!$F$7</c:f>
              <c:strCache>
                <c:ptCount val="1"/>
                <c:pt idx="0">
                  <c:v>Hermes International SCA (XPAR:RMS)</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Peers!$F$43</c:f>
              <c:numCache>
                <c:formatCode>0%</c:formatCode>
                <c:ptCount val="1"/>
                <c:pt idx="0">
                  <c:v>1.4768460575719651</c:v>
                </c:pt>
              </c:numCache>
            </c:numRef>
          </c:xVal>
          <c:yVal>
            <c:numRef>
              <c:f>Peers!$F$48</c:f>
              <c:numCache>
                <c:formatCode>0.00%</c:formatCode>
                <c:ptCount val="1"/>
              </c:numCache>
            </c:numRef>
          </c:yVal>
          <c:smooth val="0"/>
          <c:extLst>
            <c:ext xmlns:c16="http://schemas.microsoft.com/office/drawing/2014/chart" uri="{C3380CC4-5D6E-409C-BE32-E72D297353CC}">
              <c16:uniqueId val="{00000003-A0AB-4E28-9E73-D8DF3D5B0514}"/>
            </c:ext>
          </c:extLst>
        </c:ser>
        <c:ser>
          <c:idx val="5"/>
          <c:order val="4"/>
          <c:tx>
            <c:strRef>
              <c:f>Peers!$G$7</c:f>
              <c:strCache>
                <c:ptCount val="1"/>
                <c:pt idx="0">
                  <c:v>The Swatch Group Ltd (OTCM:SWGAY)</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Peers!$G$43</c:f>
              <c:numCache>
                <c:formatCode>0.00%</c:formatCode>
                <c:ptCount val="1"/>
                <c:pt idx="0">
                  <c:v>-0.14980916030534353</c:v>
                </c:pt>
              </c:numCache>
            </c:numRef>
          </c:xVal>
          <c:yVal>
            <c:numRef>
              <c:f>Peers!$G$48</c:f>
              <c:numCache>
                <c:formatCode>0.00%</c:formatCode>
                <c:ptCount val="1"/>
              </c:numCache>
            </c:numRef>
          </c:yVal>
          <c:smooth val="0"/>
          <c:extLst>
            <c:ext xmlns:c16="http://schemas.microsoft.com/office/drawing/2014/chart" uri="{C3380CC4-5D6E-409C-BE32-E72D297353CC}">
              <c16:uniqueId val="{00000005-A0AB-4E28-9E73-D8DF3D5B0514}"/>
            </c:ext>
          </c:extLst>
        </c:ser>
        <c:ser>
          <c:idx val="6"/>
          <c:order val="5"/>
          <c:tx>
            <c:strRef>
              <c:f>Peers!#REF!</c:f>
              <c:strCache>
                <c:ptCount val="1"/>
                <c:pt idx="0">
                  <c:v>#REF!</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Peers!#REF!</c:f>
              <c:strCache>
                <c:ptCount val="1"/>
                <c:pt idx="0">
                  <c:v>#REF!</c:v>
                </c:pt>
              </c:strCache>
            </c:strRef>
          </c:xVal>
          <c:yVal>
            <c:numRef>
              <c:f>Peers!#REF!</c:f>
              <c:numCache>
                <c:formatCode>0.00%</c:formatCode>
                <c:ptCount val="1"/>
                <c:pt idx="0">
                  <c:v>1</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ESG!#REF!</c:f>
              <c:numCache>
                <c:formatCode>0.00</c:formatCode>
                <c:ptCount val="1"/>
                <c:pt idx="0">
                  <c:v>1</c:v>
                </c:pt>
              </c:numCache>
            </c:numRef>
          </c:val>
          <c:smooth val="0"/>
          <c:extLst>
            <c:ext xmlns:c16="http://schemas.microsoft.com/office/drawing/2014/chart" uri="{C3380CC4-5D6E-409C-BE32-E72D297353CC}">
              <c16:uniqueId val="{00000003-D00D-4823-9007-DC439E2C23DA}"/>
            </c:ext>
          </c:extLst>
        </c:ser>
        <c:ser>
          <c:idx val="4"/>
          <c:order val="4"/>
          <c:tx>
            <c:strRef>
              <c:f>ESG!$Q$55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ESG!$R$55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ESG!#REF!</c:f>
              <c:numCache>
                <c:formatCode>0.00</c:formatCode>
                <c:ptCount val="1"/>
                <c:pt idx="0">
                  <c:v>1</c:v>
                </c:pt>
              </c:numCache>
            </c:numRef>
          </c:val>
          <c:smooth val="0"/>
          <c:extLst>
            <c:ext xmlns:c16="http://schemas.microsoft.com/office/drawing/2014/chart" uri="{C3380CC4-5D6E-409C-BE32-E72D297353CC}">
              <c16:uniqueId val="{00000003-5789-4750-89D4-9EEBF96780C0}"/>
            </c:ext>
          </c:extLst>
        </c:ser>
        <c:ser>
          <c:idx val="4"/>
          <c:order val="4"/>
          <c:tx>
            <c:strRef>
              <c:f>ESG!$Q$67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ESG!$R$67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ESG!$R$68:$R$76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ESG!#REF!</c:f>
              <c:numCache>
                <c:formatCode>0.00</c:formatCode>
                <c:ptCount val="1"/>
                <c:pt idx="0">
                  <c:v>1</c:v>
                </c:pt>
              </c:numCache>
            </c:numRef>
          </c:val>
          <c:smooth val="0"/>
          <c:extLst>
            <c:ext xmlns:c16="http://schemas.microsoft.com/office/drawing/2014/chart" uri="{C3380CC4-5D6E-409C-BE32-E72D297353CC}">
              <c16:uniqueId val="{00000003-917B-4C45-979C-FFDB55C82DDB}"/>
            </c:ext>
          </c:extLst>
        </c:ser>
        <c:ser>
          <c:idx val="4"/>
          <c:order val="4"/>
          <c:tx>
            <c:strRef>
              <c:f>ESG!$Q$79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ESG!$R$79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ESG!#REF!</c:f>
              <c:numCache>
                <c:formatCode>0.00</c:formatCode>
                <c:ptCount val="1"/>
                <c:pt idx="0">
                  <c:v>1</c:v>
                </c:pt>
              </c:numCache>
            </c:numRef>
          </c:val>
          <c:smooth val="0"/>
          <c:extLst>
            <c:ext xmlns:c16="http://schemas.microsoft.com/office/drawing/2014/chart" uri="{C3380CC4-5D6E-409C-BE32-E72D297353CC}">
              <c16:uniqueId val="{00000003-FF9A-4ECA-A844-2C82FDFD8493}"/>
            </c:ext>
          </c:extLst>
        </c:ser>
        <c:ser>
          <c:idx val="4"/>
          <c:order val="4"/>
          <c:tx>
            <c:strRef>
              <c:f>ESG!$Q$91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ESG!$R$91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ESG!$R$92:$R$100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5.png"/><Relationship Id="rId7" Type="http://schemas.openxmlformats.org/officeDocument/2006/relationships/image" Target="../media/image8.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chart" Target="../charts/chart1.xml"/><Relationship Id="rId11" Type="http://schemas.openxmlformats.org/officeDocument/2006/relationships/chart" Target="../charts/chart2.xml"/><Relationship Id="rId5" Type="http://schemas.openxmlformats.org/officeDocument/2006/relationships/image" Target="../media/image7.png"/><Relationship Id="rId10" Type="http://schemas.openxmlformats.org/officeDocument/2006/relationships/image" Target="../media/image11.png"/><Relationship Id="rId4" Type="http://schemas.openxmlformats.org/officeDocument/2006/relationships/image" Target="../media/image6.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17</xdr:row>
      <xdr:rowOff>1773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28575</xdr:colOff>
      <xdr:row>9</xdr:row>
      <xdr:rowOff>104775</xdr:rowOff>
    </xdr:from>
    <xdr:to>
      <xdr:col>2</xdr:col>
      <xdr:colOff>1524000</xdr:colOff>
      <xdr:row>11</xdr:row>
      <xdr:rowOff>47625</xdr:rowOff>
    </xdr:to>
    <xdr:pic>
      <xdr:nvPicPr>
        <xdr:cNvPr id="3" name="Picture 2">
          <a:extLst>
            <a:ext uri="{FF2B5EF4-FFF2-40B4-BE49-F238E27FC236}">
              <a16:creationId xmlns:a16="http://schemas.microsoft.com/office/drawing/2014/main" id="{023D609D-69CB-7ECB-5278-5E092B3DF6EC}"/>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57150" y="1885950"/>
          <a:ext cx="2905125" cy="266700"/>
        </a:xfrm>
        <a:prstGeom prst="rect">
          <a:avLst/>
        </a:prstGeom>
      </xdr:spPr>
    </xdr:pic>
    <xdr:clientData/>
  </xdr:twoCellAnchor>
  <xdr:twoCellAnchor editAs="oneCell">
    <xdr:from>
      <xdr:col>6</xdr:col>
      <xdr:colOff>9525</xdr:colOff>
      <xdr:row>87</xdr:row>
      <xdr:rowOff>180975</xdr:rowOff>
    </xdr:from>
    <xdr:to>
      <xdr:col>12</xdr:col>
      <xdr:colOff>1962150</xdr:colOff>
      <xdr:row>112</xdr:row>
      <xdr:rowOff>152400</xdr:rowOff>
    </xdr:to>
    <xdr:pic>
      <xdr:nvPicPr>
        <xdr:cNvPr id="2" name="Picture 1">
          <a:extLst>
            <a:ext uri="{FF2B5EF4-FFF2-40B4-BE49-F238E27FC236}">
              <a16:creationId xmlns:a16="http://schemas.microsoft.com/office/drawing/2014/main" id="{07179D3A-F172-B14C-B581-B6ABB0238105}"/>
            </a:ext>
            <a:ext uri="{147F2762-F138-4A5C-976F-8EAC2B608ADB}">
              <a16:predDERef xmlns:a16="http://schemas.microsoft.com/office/drawing/2014/main" pred="{023D609D-69CB-7ECB-5278-5E092B3DF6EC}"/>
            </a:ext>
          </a:extLst>
        </xdr:cNvPr>
        <xdr:cNvPicPr>
          <a:picLocks noChangeAspect="1"/>
        </xdr:cNvPicPr>
      </xdr:nvPicPr>
      <xdr:blipFill>
        <a:blip xmlns:r="http://schemas.openxmlformats.org/officeDocument/2006/relationships" r:embed="rId2"/>
        <a:stretch>
          <a:fillRect/>
        </a:stretch>
      </xdr:blipFill>
      <xdr:spPr>
        <a:xfrm>
          <a:off x="7639050" y="16583025"/>
          <a:ext cx="8772525" cy="405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28575</xdr:colOff>
      <xdr:row>22</xdr:row>
      <xdr:rowOff>9525</xdr:rowOff>
    </xdr:from>
    <xdr:to>
      <xdr:col>17</xdr:col>
      <xdr:colOff>123825</xdr:colOff>
      <xdr:row>33</xdr:row>
      <xdr:rowOff>209550</xdr:rowOff>
    </xdr:to>
    <xdr:pic>
      <xdr:nvPicPr>
        <xdr:cNvPr id="12" name="Picture 11">
          <a:extLst>
            <a:ext uri="{FF2B5EF4-FFF2-40B4-BE49-F238E27FC236}">
              <a16:creationId xmlns:a16="http://schemas.microsoft.com/office/drawing/2014/main" id="{509E1A33-8701-43CA-47AA-916EC5AACED1}"/>
            </a:ext>
            <a:ext uri="{147F2762-F138-4A5C-976F-8EAC2B608ADB}">
              <a16:predDERef xmlns:a16="http://schemas.microsoft.com/office/drawing/2014/main" pred="{29AFF8A8-D78E-3811-18F1-B3AFD25A7392}"/>
            </a:ext>
          </a:extLst>
        </xdr:cNvPr>
        <xdr:cNvPicPr>
          <a:picLocks noChangeAspect="1"/>
        </xdr:cNvPicPr>
      </xdr:nvPicPr>
      <xdr:blipFill>
        <a:blip xmlns:r="http://schemas.openxmlformats.org/officeDocument/2006/relationships" r:embed="rId1"/>
        <a:stretch>
          <a:fillRect/>
        </a:stretch>
      </xdr:blipFill>
      <xdr:spPr>
        <a:xfrm>
          <a:off x="15278100" y="3095625"/>
          <a:ext cx="1657350" cy="3762375"/>
        </a:xfrm>
        <a:prstGeom prst="rect">
          <a:avLst/>
        </a:prstGeom>
      </xdr:spPr>
    </xdr:pic>
    <xdr:clientData/>
  </xdr:twoCellAnchor>
  <xdr:twoCellAnchor editAs="oneCell">
    <xdr:from>
      <xdr:col>20</xdr:col>
      <xdr:colOff>714375</xdr:colOff>
      <xdr:row>5</xdr:row>
      <xdr:rowOff>28575</xdr:rowOff>
    </xdr:from>
    <xdr:to>
      <xdr:col>24</xdr:col>
      <xdr:colOff>752475</xdr:colOff>
      <xdr:row>24</xdr:row>
      <xdr:rowOff>19050</xdr:rowOff>
    </xdr:to>
    <xdr:pic>
      <xdr:nvPicPr>
        <xdr:cNvPr id="4" name="Picture 3">
          <a:extLst>
            <a:ext uri="{FF2B5EF4-FFF2-40B4-BE49-F238E27FC236}">
              <a16:creationId xmlns:a16="http://schemas.microsoft.com/office/drawing/2014/main" id="{D08D7EFD-AE37-DE36-E808-BF0F1890030A}"/>
            </a:ext>
            <a:ext uri="{147F2762-F138-4A5C-976F-8EAC2B608ADB}">
              <a16:predDERef xmlns:a16="http://schemas.microsoft.com/office/drawing/2014/main" pred="{C4F7FA29-6F6E-33CC-BCEB-73BEEE375B36}"/>
            </a:ext>
          </a:extLst>
        </xdr:cNvPr>
        <xdr:cNvPicPr>
          <a:picLocks noChangeAspect="1"/>
        </xdr:cNvPicPr>
      </xdr:nvPicPr>
      <xdr:blipFill>
        <a:blip xmlns:r="http://schemas.openxmlformats.org/officeDocument/2006/relationships" r:embed="rId2"/>
        <a:stretch>
          <a:fillRect/>
        </a:stretch>
      </xdr:blipFill>
      <xdr:spPr>
        <a:xfrm>
          <a:off x="19812000" y="942975"/>
          <a:ext cx="3086100" cy="2933700"/>
        </a:xfrm>
        <a:prstGeom prst="rect">
          <a:avLst/>
        </a:prstGeom>
      </xdr:spPr>
    </xdr:pic>
    <xdr:clientData/>
  </xdr:twoCellAnchor>
  <xdr:twoCellAnchor editAs="oneCell">
    <xdr:from>
      <xdr:col>17</xdr:col>
      <xdr:colOff>314325</xdr:colOff>
      <xdr:row>5</xdr:row>
      <xdr:rowOff>19050</xdr:rowOff>
    </xdr:from>
    <xdr:to>
      <xdr:col>21</xdr:col>
      <xdr:colOff>361950</xdr:colOff>
      <xdr:row>23</xdr:row>
      <xdr:rowOff>95250</xdr:rowOff>
    </xdr:to>
    <xdr:pic>
      <xdr:nvPicPr>
        <xdr:cNvPr id="13" name="Picture 12">
          <a:extLst>
            <a:ext uri="{FF2B5EF4-FFF2-40B4-BE49-F238E27FC236}">
              <a16:creationId xmlns:a16="http://schemas.microsoft.com/office/drawing/2014/main" id="{C4F7FA29-6F6E-33CC-BCEB-73BEEE375B36}"/>
            </a:ext>
            <a:ext uri="{147F2762-F138-4A5C-976F-8EAC2B608ADB}">
              <a16:predDERef xmlns:a16="http://schemas.microsoft.com/office/drawing/2014/main" pred="{1EC7C5D4-B4E9-FAD1-5AB5-3012D4DC00F7}"/>
            </a:ext>
          </a:extLst>
        </xdr:cNvPr>
        <xdr:cNvPicPr>
          <a:picLocks noChangeAspect="1"/>
        </xdr:cNvPicPr>
      </xdr:nvPicPr>
      <xdr:blipFill>
        <a:blip xmlns:r="http://schemas.openxmlformats.org/officeDocument/2006/relationships" r:embed="rId3"/>
        <a:stretch>
          <a:fillRect/>
        </a:stretch>
      </xdr:blipFill>
      <xdr:spPr>
        <a:xfrm>
          <a:off x="17125950" y="933450"/>
          <a:ext cx="3095625" cy="2857500"/>
        </a:xfrm>
        <a:prstGeom prst="rect">
          <a:avLst/>
        </a:prstGeom>
      </xdr:spPr>
    </xdr:pic>
    <xdr:clientData/>
  </xdr:twoCellAnchor>
  <xdr:twoCellAnchor editAs="oneCell">
    <xdr:from>
      <xdr:col>16</xdr:col>
      <xdr:colOff>28575</xdr:colOff>
      <xdr:row>5</xdr:row>
      <xdr:rowOff>19050</xdr:rowOff>
    </xdr:from>
    <xdr:to>
      <xdr:col>17</xdr:col>
      <xdr:colOff>609600</xdr:colOff>
      <xdr:row>22</xdr:row>
      <xdr:rowOff>76200</xdr:rowOff>
    </xdr:to>
    <xdr:pic>
      <xdr:nvPicPr>
        <xdr:cNvPr id="15" name="Picture 14">
          <a:extLst>
            <a:ext uri="{FF2B5EF4-FFF2-40B4-BE49-F238E27FC236}">
              <a16:creationId xmlns:a16="http://schemas.microsoft.com/office/drawing/2014/main" id="{ECB15D35-67A8-EE6A-78D4-8253B8BACCC7}"/>
            </a:ext>
            <a:ext uri="{147F2762-F138-4A5C-976F-8EAC2B608ADB}">
              <a16:predDERef xmlns:a16="http://schemas.microsoft.com/office/drawing/2014/main" pred="{C4F7FA29-6F6E-33CC-BCEB-73BEEE375B36}"/>
            </a:ext>
          </a:extLst>
        </xdr:cNvPr>
        <xdr:cNvPicPr>
          <a:picLocks noChangeAspect="1"/>
        </xdr:cNvPicPr>
      </xdr:nvPicPr>
      <xdr:blipFill>
        <a:blip xmlns:r="http://schemas.openxmlformats.org/officeDocument/2006/relationships" r:embed="rId4"/>
        <a:stretch>
          <a:fillRect/>
        </a:stretch>
      </xdr:blipFill>
      <xdr:spPr>
        <a:xfrm>
          <a:off x="15278100" y="933450"/>
          <a:ext cx="2143125" cy="2676525"/>
        </a:xfrm>
        <a:prstGeom prst="rect">
          <a:avLst/>
        </a:prstGeom>
      </xdr:spPr>
    </xdr:pic>
    <xdr:clientData/>
  </xdr:twoCellAnchor>
  <xdr:twoCellAnchor editAs="oneCell">
    <xdr:from>
      <xdr:col>17</xdr:col>
      <xdr:colOff>152400</xdr:colOff>
      <xdr:row>25</xdr:row>
      <xdr:rowOff>38100</xdr:rowOff>
    </xdr:from>
    <xdr:to>
      <xdr:col>21</xdr:col>
      <xdr:colOff>676275</xdr:colOff>
      <xdr:row>33</xdr:row>
      <xdr:rowOff>190500</xdr:rowOff>
    </xdr:to>
    <xdr:pic>
      <xdr:nvPicPr>
        <xdr:cNvPr id="11" name="Picture 10">
          <a:extLst>
            <a:ext uri="{FF2B5EF4-FFF2-40B4-BE49-F238E27FC236}">
              <a16:creationId xmlns:a16="http://schemas.microsoft.com/office/drawing/2014/main" id="{1EC7C5D4-B4E9-FAD1-5AB5-3012D4DC00F7}"/>
            </a:ext>
            <a:ext uri="{147F2762-F138-4A5C-976F-8EAC2B608ADB}">
              <a16:predDERef xmlns:a16="http://schemas.microsoft.com/office/drawing/2014/main" pred="{ECB15D35-67A8-EE6A-78D4-8253B8BACCC7}"/>
            </a:ext>
          </a:extLst>
        </xdr:cNvPr>
        <xdr:cNvPicPr>
          <a:picLocks noChangeAspect="1"/>
        </xdr:cNvPicPr>
      </xdr:nvPicPr>
      <xdr:blipFill>
        <a:blip xmlns:r="http://schemas.openxmlformats.org/officeDocument/2006/relationships" r:embed="rId5"/>
        <a:stretch>
          <a:fillRect/>
        </a:stretch>
      </xdr:blipFill>
      <xdr:spPr>
        <a:xfrm>
          <a:off x="16964025" y="3609975"/>
          <a:ext cx="3571875" cy="3228975"/>
        </a:xfrm>
        <a:prstGeom prst="rect">
          <a:avLst/>
        </a:prstGeom>
      </xdr:spPr>
    </xdr:pic>
    <xdr:clientData/>
  </xdr:twoCellAnchor>
  <xdr:twoCellAnchor>
    <xdr:from>
      <xdr:col>8</xdr:col>
      <xdr:colOff>19050</xdr:colOff>
      <xdr:row>27</xdr:row>
      <xdr:rowOff>9525</xdr:rowOff>
    </xdr:from>
    <xdr:to>
      <xdr:col>11</xdr:col>
      <xdr:colOff>666750</xdr:colOff>
      <xdr:row>33</xdr:row>
      <xdr:rowOff>666750</xdr:rowOff>
    </xdr:to>
    <xdr:graphicFrame macro="">
      <xdr:nvGraphicFramePr>
        <xdr:cNvPr id="39"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1EC7C5D4-B4E9-FAD1-5AB5-3012D4DC0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704850</xdr:colOff>
      <xdr:row>26</xdr:row>
      <xdr:rowOff>247650</xdr:rowOff>
    </xdr:from>
    <xdr:to>
      <xdr:col>11</xdr:col>
      <xdr:colOff>714375</xdr:colOff>
      <xdr:row>34</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219075</xdr:colOff>
      <xdr:row>51</xdr:row>
      <xdr:rowOff>28575</xdr:rowOff>
    </xdr:from>
    <xdr:to>
      <xdr:col>15</xdr:col>
      <xdr:colOff>742950</xdr:colOff>
      <xdr:row>53</xdr:row>
      <xdr:rowOff>114300</xdr:rowOff>
    </xdr:to>
    <xdr:sp macro="" textlink="">
      <xdr:nvSpPr>
        <xdr:cNvPr id="8" name="Rectangle 9">
          <a:extLst>
            <a:ext uri="{FF2B5EF4-FFF2-40B4-BE49-F238E27FC236}">
              <a16:creationId xmlns:a16="http://schemas.microsoft.com/office/drawing/2014/main" id="{9EA941B6-F7AA-AE8B-792C-EC306EB6FD73}"/>
            </a:ext>
            <a:ext uri="{147F2762-F138-4A5C-976F-8EAC2B608ADB}">
              <a16:predDERef xmlns:a16="http://schemas.microsoft.com/office/drawing/2014/main" pred="{2D9F9EFF-8C8B-4839-A102-86B66E9BDF73}"/>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34</xdr:col>
      <xdr:colOff>19050</xdr:colOff>
      <xdr:row>59</xdr:row>
      <xdr:rowOff>47625</xdr:rowOff>
    </xdr:from>
    <xdr:to>
      <xdr:col>35</xdr:col>
      <xdr:colOff>209550</xdr:colOff>
      <xdr:row>65</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21</xdr:col>
      <xdr:colOff>476250</xdr:colOff>
      <xdr:row>25</xdr:row>
      <xdr:rowOff>19050</xdr:rowOff>
    </xdr:from>
    <xdr:to>
      <xdr:col>24</xdr:col>
      <xdr:colOff>752475</xdr:colOff>
      <xdr:row>33</xdr:row>
      <xdr:rowOff>190500</xdr:rowOff>
    </xdr:to>
    <xdr:pic>
      <xdr:nvPicPr>
        <xdr:cNvPr id="6" name="Picture 5">
          <a:extLst>
            <a:ext uri="{FF2B5EF4-FFF2-40B4-BE49-F238E27FC236}">
              <a16:creationId xmlns:a16="http://schemas.microsoft.com/office/drawing/2014/main" id="{29AFF8A8-D78E-3811-18F1-B3AFD25A7392}"/>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7"/>
        <a:stretch>
          <a:fillRect/>
        </a:stretch>
      </xdr:blipFill>
      <xdr:spPr>
        <a:xfrm>
          <a:off x="20335875" y="3914775"/>
          <a:ext cx="2562225" cy="3248025"/>
        </a:xfrm>
        <a:prstGeom prst="rect">
          <a:avLst/>
        </a:prstGeom>
      </xdr:spPr>
    </xdr:pic>
    <xdr:clientData/>
  </xdr:twoCellAnchor>
  <xdr:twoCellAnchor editAs="oneCell">
    <xdr:from>
      <xdr:col>17</xdr:col>
      <xdr:colOff>695325</xdr:colOff>
      <xdr:row>2</xdr:row>
      <xdr:rowOff>0</xdr:rowOff>
    </xdr:from>
    <xdr:to>
      <xdr:col>21</xdr:col>
      <xdr:colOff>504825</xdr:colOff>
      <xdr:row>5</xdr:row>
      <xdr:rowOff>9525</xdr:rowOff>
    </xdr:to>
    <xdr:pic>
      <xdr:nvPicPr>
        <xdr:cNvPr id="17" name="Picture 16">
          <a:extLst>
            <a:ext uri="{FF2B5EF4-FFF2-40B4-BE49-F238E27FC236}">
              <a16:creationId xmlns:a16="http://schemas.microsoft.com/office/drawing/2014/main" id="{21861752-F26E-86CD-7292-0BCBB2D77D8C}"/>
            </a:ext>
            <a:ext uri="{147F2762-F138-4A5C-976F-8EAC2B608ADB}">
              <a16:predDERef xmlns:a16="http://schemas.microsoft.com/office/drawing/2014/main" pred="{ECB15D35-67A8-EE6A-78D4-8253B8BACCC7}"/>
            </a:ext>
          </a:extLst>
        </xdr:cNvPr>
        <xdr:cNvPicPr>
          <a:picLocks noChangeAspect="1"/>
        </xdr:cNvPicPr>
      </xdr:nvPicPr>
      <xdr:blipFill>
        <a:blip xmlns:r="http://schemas.openxmlformats.org/officeDocument/2006/relationships" r:embed="rId8"/>
        <a:stretch>
          <a:fillRect/>
        </a:stretch>
      </xdr:blipFill>
      <xdr:spPr>
        <a:xfrm>
          <a:off x="17506950" y="342900"/>
          <a:ext cx="2857500" cy="571500"/>
        </a:xfrm>
        <a:prstGeom prst="rect">
          <a:avLst/>
        </a:prstGeom>
      </xdr:spPr>
    </xdr:pic>
    <xdr:clientData/>
  </xdr:twoCellAnchor>
  <xdr:twoCellAnchor editAs="oneCell">
    <xdr:from>
      <xdr:col>16</xdr:col>
      <xdr:colOff>419100</xdr:colOff>
      <xdr:row>2</xdr:row>
      <xdr:rowOff>9525</xdr:rowOff>
    </xdr:from>
    <xdr:to>
      <xdr:col>17</xdr:col>
      <xdr:colOff>504825</xdr:colOff>
      <xdr:row>4</xdr:row>
      <xdr:rowOff>133350</xdr:rowOff>
    </xdr:to>
    <xdr:pic>
      <xdr:nvPicPr>
        <xdr:cNvPr id="18" name="Picture 17">
          <a:extLst>
            <a:ext uri="{FF2B5EF4-FFF2-40B4-BE49-F238E27FC236}">
              <a16:creationId xmlns:a16="http://schemas.microsoft.com/office/drawing/2014/main" id="{DC683E13-3302-5C68-77B8-DD2335176B42}"/>
            </a:ext>
            <a:ext uri="{147F2762-F138-4A5C-976F-8EAC2B608ADB}">
              <a16:predDERef xmlns:a16="http://schemas.microsoft.com/office/drawing/2014/main" pred="{21861752-F26E-86CD-7292-0BCBB2D77D8C}"/>
            </a:ext>
          </a:extLst>
        </xdr:cNvPr>
        <xdr:cNvPicPr>
          <a:picLocks noChangeAspect="1"/>
        </xdr:cNvPicPr>
      </xdr:nvPicPr>
      <xdr:blipFill>
        <a:blip xmlns:r="http://schemas.openxmlformats.org/officeDocument/2006/relationships" r:embed="rId9"/>
        <a:stretch>
          <a:fillRect/>
        </a:stretch>
      </xdr:blipFill>
      <xdr:spPr>
        <a:xfrm>
          <a:off x="15668625" y="352425"/>
          <a:ext cx="1647825" cy="523875"/>
        </a:xfrm>
        <a:prstGeom prst="rect">
          <a:avLst/>
        </a:prstGeom>
      </xdr:spPr>
    </xdr:pic>
    <xdr:clientData/>
  </xdr:twoCellAnchor>
  <xdr:twoCellAnchor editAs="oneCell">
    <xdr:from>
      <xdr:col>22</xdr:col>
      <xdr:colOff>333375</xdr:colOff>
      <xdr:row>1</xdr:row>
      <xdr:rowOff>180975</xdr:rowOff>
    </xdr:from>
    <xdr:to>
      <xdr:col>24</xdr:col>
      <xdr:colOff>66675</xdr:colOff>
      <xdr:row>5</xdr:row>
      <xdr:rowOff>76200</xdr:rowOff>
    </xdr:to>
    <xdr:pic>
      <xdr:nvPicPr>
        <xdr:cNvPr id="2" name="Picture 1">
          <a:extLst>
            <a:ext uri="{FF2B5EF4-FFF2-40B4-BE49-F238E27FC236}">
              <a16:creationId xmlns:a16="http://schemas.microsoft.com/office/drawing/2014/main" id="{53612CC0-28B4-53C0-FF65-949437B29DCB}"/>
            </a:ext>
            <a:ext uri="{147F2762-F138-4A5C-976F-8EAC2B608ADB}">
              <a16:predDERef xmlns:a16="http://schemas.microsoft.com/office/drawing/2014/main" pred="{DC683E13-3302-5C68-77B8-DD2335176B42}"/>
            </a:ext>
          </a:extLst>
        </xdr:cNvPr>
        <xdr:cNvPicPr>
          <a:picLocks noChangeAspect="1"/>
        </xdr:cNvPicPr>
      </xdr:nvPicPr>
      <xdr:blipFill>
        <a:blip xmlns:r="http://schemas.openxmlformats.org/officeDocument/2006/relationships" r:embed="rId10"/>
        <a:stretch>
          <a:fillRect/>
        </a:stretch>
      </xdr:blipFill>
      <xdr:spPr>
        <a:xfrm>
          <a:off x="20955000" y="276225"/>
          <a:ext cx="1257300" cy="704850"/>
        </a:xfrm>
        <a:prstGeom prst="rect">
          <a:avLst/>
        </a:prstGeom>
      </xdr:spPr>
    </xdr:pic>
    <xdr:clientData/>
  </xdr:twoCellAnchor>
  <xdr:twoCellAnchor>
    <xdr:from>
      <xdr:col>11</xdr:col>
      <xdr:colOff>733425</xdr:colOff>
      <xdr:row>27</xdr:row>
      <xdr:rowOff>9525</xdr:rowOff>
    </xdr:from>
    <xdr:to>
      <xdr:col>15</xdr:col>
      <xdr:colOff>1171575</xdr:colOff>
      <xdr:row>33</xdr:row>
      <xdr:rowOff>657225</xdr:rowOff>
    </xdr:to>
    <xdr:graphicFrame macro="">
      <xdr:nvGraphicFramePr>
        <xdr:cNvPr id="5" name="Chart 4">
          <a:extLst>
            <a:ext uri="{FF2B5EF4-FFF2-40B4-BE49-F238E27FC236}">
              <a16:creationId xmlns:a16="http://schemas.microsoft.com/office/drawing/2014/main" id="{62145539-0801-58BA-5D3D-E5295866CC23}"/>
            </a:ext>
            <a:ext uri="{147F2762-F138-4A5C-976F-8EAC2B608ADB}">
              <a16:predDERef xmlns:a16="http://schemas.microsoft.com/office/drawing/2014/main" pred="{23D2BE1B-B41C-A94C-663F-76CB8060F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20</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12</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 uri="{147F2762-F138-4A5C-976F-8EAC2B608ADB}">
              <a16:predDERef xmlns:a16="http://schemas.microsoft.com/office/drawing/2014/main" pred="{A23DF9CB-ABDC-4CBC-941E-C3A1E6B7BDD7}"/>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34</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20</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12</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 uri="{147F2762-F138-4A5C-976F-8EAC2B608ADB}">
              <a16:predDERef xmlns:a16="http://schemas.microsoft.com/office/drawing/2014/main" pred="{3816F209-593F-4972-8238-056F7A06C2DB}"/>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34</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9</xdr:col>
      <xdr:colOff>528777</xdr:colOff>
      <xdr:row>16</xdr:row>
      <xdr:rowOff>56029</xdr:rowOff>
    </xdr:from>
    <xdr:to>
      <xdr:col>17</xdr:col>
      <xdr:colOff>702468</xdr:colOff>
      <xdr:row>32</xdr:row>
      <xdr:rowOff>114301</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107156</xdr:colOff>
      <xdr:row>32</xdr:row>
      <xdr:rowOff>142875</xdr:rowOff>
    </xdr:from>
    <xdr:to>
      <xdr:col>19</xdr:col>
      <xdr:colOff>273843</xdr:colOff>
      <xdr:row>49</xdr:row>
      <xdr:rowOff>142875</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76200</xdr:colOff>
      <xdr:row>1</xdr:row>
      <xdr:rowOff>209550</xdr:rowOff>
    </xdr:from>
    <xdr:to>
      <xdr:col>1</xdr:col>
      <xdr:colOff>2009775</xdr:colOff>
      <xdr:row>1</xdr:row>
      <xdr:rowOff>771525</xdr:rowOff>
    </xdr:to>
    <xdr:pic>
      <xdr:nvPicPr>
        <xdr:cNvPr id="4" name="Picture 3">
          <a:extLst>
            <a:ext uri="{FF2B5EF4-FFF2-40B4-BE49-F238E27FC236}">
              <a16:creationId xmlns:a16="http://schemas.microsoft.com/office/drawing/2014/main" id="{04E926A4-3229-F076-9075-8731E0B88AE2}"/>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3"/>
        <a:stretch>
          <a:fillRect/>
        </a:stretch>
      </xdr:blipFill>
      <xdr:spPr>
        <a:xfrm>
          <a:off x="104775" y="400050"/>
          <a:ext cx="1933575" cy="561975"/>
        </a:xfrm>
        <a:prstGeom prst="rect">
          <a:avLst/>
        </a:prstGeom>
      </xdr:spPr>
    </xdr:pic>
    <xdr:clientData/>
  </xdr:twoCellAnchor>
  <xdr:twoCellAnchor editAs="oneCell">
    <xdr:from>
      <xdr:col>1</xdr:col>
      <xdr:colOff>0</xdr:colOff>
      <xdr:row>2</xdr:row>
      <xdr:rowOff>95250</xdr:rowOff>
    </xdr:from>
    <xdr:to>
      <xdr:col>1</xdr:col>
      <xdr:colOff>2076450</xdr:colOff>
      <xdr:row>2</xdr:row>
      <xdr:rowOff>1000125</xdr:rowOff>
    </xdr:to>
    <xdr:pic>
      <xdr:nvPicPr>
        <xdr:cNvPr id="5" name="Picture 4">
          <a:extLst>
            <a:ext uri="{FF2B5EF4-FFF2-40B4-BE49-F238E27FC236}">
              <a16:creationId xmlns:a16="http://schemas.microsoft.com/office/drawing/2014/main" id="{EED2E02C-0F41-7C90-8DA0-A99DF41F3FEB}"/>
            </a:ext>
            <a:ext uri="{147F2762-F138-4A5C-976F-8EAC2B608ADB}">
              <a16:predDERef xmlns:a16="http://schemas.microsoft.com/office/drawing/2014/main" pred="{04E926A4-3229-F076-9075-8731E0B88AE2}"/>
            </a:ext>
          </a:extLst>
        </xdr:cNvPr>
        <xdr:cNvPicPr>
          <a:picLocks noChangeAspect="1"/>
        </xdr:cNvPicPr>
      </xdr:nvPicPr>
      <xdr:blipFill>
        <a:blip xmlns:r="http://schemas.openxmlformats.org/officeDocument/2006/relationships" r:embed="rId4"/>
        <a:stretch>
          <a:fillRect/>
        </a:stretch>
      </xdr:blipFill>
      <xdr:spPr>
        <a:xfrm>
          <a:off x="28575" y="885825"/>
          <a:ext cx="2076450" cy="904875"/>
        </a:xfrm>
        <a:prstGeom prst="rect">
          <a:avLst/>
        </a:prstGeom>
      </xdr:spPr>
    </xdr:pic>
    <xdr:clientData/>
  </xdr:twoCellAnchor>
  <xdr:twoCellAnchor editAs="oneCell">
    <xdr:from>
      <xdr:col>1</xdr:col>
      <xdr:colOff>209550</xdr:colOff>
      <xdr:row>3</xdr:row>
      <xdr:rowOff>38100</xdr:rowOff>
    </xdr:from>
    <xdr:to>
      <xdr:col>1</xdr:col>
      <xdr:colOff>1895475</xdr:colOff>
      <xdr:row>3</xdr:row>
      <xdr:rowOff>990600</xdr:rowOff>
    </xdr:to>
    <xdr:pic>
      <xdr:nvPicPr>
        <xdr:cNvPr id="6" name="Picture 5">
          <a:extLst>
            <a:ext uri="{FF2B5EF4-FFF2-40B4-BE49-F238E27FC236}">
              <a16:creationId xmlns:a16="http://schemas.microsoft.com/office/drawing/2014/main" id="{5D17902B-EA45-8CA6-0796-7B426CB607E0}"/>
            </a:ext>
            <a:ext uri="{147F2762-F138-4A5C-976F-8EAC2B608ADB}">
              <a16:predDERef xmlns:a16="http://schemas.microsoft.com/office/drawing/2014/main" pred="{EED2E02C-0F41-7C90-8DA0-A99DF41F3FEB}"/>
            </a:ext>
          </a:extLst>
        </xdr:cNvPr>
        <xdr:cNvPicPr>
          <a:picLocks noChangeAspect="1"/>
        </xdr:cNvPicPr>
      </xdr:nvPicPr>
      <xdr:blipFill>
        <a:blip xmlns:r="http://schemas.openxmlformats.org/officeDocument/2006/relationships" r:embed="rId5"/>
        <a:stretch>
          <a:fillRect/>
        </a:stretch>
      </xdr:blipFill>
      <xdr:spPr>
        <a:xfrm>
          <a:off x="238125" y="1409700"/>
          <a:ext cx="1685925" cy="952500"/>
        </a:xfrm>
        <a:prstGeom prst="rect">
          <a:avLst/>
        </a:prstGeom>
      </xdr:spPr>
    </xdr:pic>
    <xdr:clientData/>
  </xdr:twoCellAnchor>
  <xdr:twoCellAnchor editAs="oneCell">
    <xdr:from>
      <xdr:col>1</xdr:col>
      <xdr:colOff>28575</xdr:colOff>
      <xdr:row>4</xdr:row>
      <xdr:rowOff>314325</xdr:rowOff>
    </xdr:from>
    <xdr:to>
      <xdr:col>1</xdr:col>
      <xdr:colOff>2066925</xdr:colOff>
      <xdr:row>4</xdr:row>
      <xdr:rowOff>609600</xdr:rowOff>
    </xdr:to>
    <xdr:pic>
      <xdr:nvPicPr>
        <xdr:cNvPr id="8" name="Picture 7">
          <a:extLst>
            <a:ext uri="{FF2B5EF4-FFF2-40B4-BE49-F238E27FC236}">
              <a16:creationId xmlns:a16="http://schemas.microsoft.com/office/drawing/2014/main" id="{8FDF3A19-C4BF-F69B-2BE1-45B602D5B495}"/>
            </a:ext>
            <a:ext uri="{147F2762-F138-4A5C-976F-8EAC2B608ADB}">
              <a16:predDERef xmlns:a16="http://schemas.microsoft.com/office/drawing/2014/main" pred="{5D17902B-EA45-8CA6-0796-7B426CB607E0}"/>
            </a:ext>
          </a:extLst>
        </xdr:cNvPr>
        <xdr:cNvPicPr>
          <a:picLocks noChangeAspect="1"/>
        </xdr:cNvPicPr>
      </xdr:nvPicPr>
      <xdr:blipFill>
        <a:blip xmlns:r="http://schemas.openxmlformats.org/officeDocument/2006/relationships" r:embed="rId6"/>
        <a:stretch>
          <a:fillRect/>
        </a:stretch>
      </xdr:blipFill>
      <xdr:spPr>
        <a:xfrm>
          <a:off x="57150" y="3619500"/>
          <a:ext cx="2038350" cy="295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719818</xdr:colOff>
      <xdr:row>1</xdr:row>
      <xdr:rowOff>64520</xdr:rowOff>
    </xdr:from>
    <xdr:to>
      <xdr:col>22</xdr:col>
      <xdr:colOff>886846</xdr:colOff>
      <xdr:row>7</xdr:row>
      <xdr:rowOff>156595</xdr:rowOff>
    </xdr:to>
    <xdr:graphicFrame macro="">
      <xdr:nvGraphicFramePr>
        <xdr:cNvPr id="2"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738867</xdr:colOff>
      <xdr:row>8</xdr:row>
      <xdr:rowOff>19503</xdr:rowOff>
    </xdr:from>
    <xdr:to>
      <xdr:col>22</xdr:col>
      <xdr:colOff>900452</xdr:colOff>
      <xdr:row>13</xdr:row>
      <xdr:rowOff>11566</xdr:rowOff>
    </xdr:to>
    <xdr:graphicFrame macro="">
      <xdr:nvGraphicFramePr>
        <xdr:cNvPr id="3" name="Gráfico 9">
          <a:extLst>
            <a:ext uri="{FF2B5EF4-FFF2-40B4-BE49-F238E27FC236}">
              <a16:creationId xmlns:a16="http://schemas.microsoft.com/office/drawing/2014/main" id="{CF12CB32-795F-7528-355F-ABE1EF8A57CA}"/>
            </a:ext>
            <a:ext uri="{147F2762-F138-4A5C-976F-8EAC2B608ADB}">
              <a16:predDERef xmlns:a16="http://schemas.microsoft.com/office/drawing/2014/main" pre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713354</xdr:colOff>
      <xdr:row>13</xdr:row>
      <xdr:rowOff>98313</xdr:rowOff>
    </xdr:from>
    <xdr:to>
      <xdr:col>22</xdr:col>
      <xdr:colOff>874939</xdr:colOff>
      <xdr:row>20</xdr:row>
      <xdr:rowOff>20525</xdr:rowOff>
    </xdr:to>
    <xdr:graphicFrame macro="">
      <xdr:nvGraphicFramePr>
        <xdr:cNvPr id="4" name="Gráfico 10">
          <a:extLst>
            <a:ext uri="{FF2B5EF4-FFF2-40B4-BE49-F238E27FC236}">
              <a16:creationId xmlns:a16="http://schemas.microsoft.com/office/drawing/2014/main" id="{E53AAB4F-BCF1-AFDB-6C67-D6DB06F29436}"/>
            </a:ext>
            <a:ext uri="{147F2762-F138-4A5C-976F-8EAC2B608ADB}">
              <a16:predDERef xmlns:a16="http://schemas.microsoft.com/office/drawing/2014/main" pre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283368</xdr:colOff>
      <xdr:row>21</xdr:row>
      <xdr:rowOff>141743</xdr:rowOff>
    </xdr:from>
    <xdr:to>
      <xdr:col>21</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 uri="{147F2762-F138-4A5C-976F-8EAC2B608ADB}">
              <a16:predDERef xmlns:a16="http://schemas.microsoft.com/office/drawing/2014/main" pre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9">
  <rv s="0">
    <v>https://www.bing.com/financeapi/forcetrigger?t=b1lczr&amp;q=XSWX%3aCFR&amp;form=skydnc</v>
    <v>Learn more on Bing</v>
  </rv>
  <rv s="1">
    <v>en-US</v>
    <v>b1lczr</v>
    <v>268435456</v>
    <v>1</v>
    <v>Powered by Refinitiv</v>
    <v>0</v>
    <v>Compagnie Financiere Richemont SA (XSWX:CFR)</v>
    <v>2</v>
    <v>3</v>
    <v>Finance</v>
    <v>4</v>
    <v>151.1</v>
    <v>103.85</v>
    <v>1.6588000000000001</v>
    <v>-3.9</v>
    <v>1.717E-3</v>
    <v>-3.2404999999999996E-2</v>
    <v>0.2</v>
    <v>CHF</v>
    <v>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v>
    <v>37117</v>
    <v>SIX Swiss Exchange</v>
    <v>XSWX</v>
    <v>XSWX</v>
    <v>Chemin de la Chenaie 50, BELLEVUE, GENEVE, 1293 CH</v>
    <v>119.65</v>
    <v>Textiles &amp; Apparel</v>
    <v>Stock</v>
    <v>45608.831134259257</v>
    <v>0</v>
    <v>115.9</v>
    <v>64694070000</v>
    <v>Compagnie Financiere Richemont SA</v>
    <v>Compagnie Financiere Richemont SA</v>
    <v>118.95</v>
    <v>0</v>
    <v>120.35</v>
    <v>116.45</v>
    <v>116.65</v>
    <v>537582100</v>
    <v>CFR</v>
    <v>Compagnie Financiere Richemont SA (XSWX:CFR)</v>
    <v>1305704</v>
    <v>904310</v>
    <v>2002</v>
  </rv>
  <rv s="2">
    <v>1</v>
  </rv>
  <rv s="0">
    <v>https://www.bing.com/financeapi/forcetrigger?t=ae96u2&amp;q=XPAR%3aMC&amp;form=skydnc</v>
    <v>Learn more on Bing</v>
  </rv>
  <rv s="1">
    <v>en-US</v>
    <v>ae96u2</v>
    <v>268435456</v>
    <v>1</v>
    <v>Powered by Refinitiv</v>
    <v>0</v>
    <v>LVMH Moet Hennessy Louis Vuitton SE (XPAR:MC)</v>
    <v>2</v>
    <v>5</v>
    <v>Finance</v>
    <v>4</v>
    <v>886.4</v>
    <v>565.70000000000005</v>
    <v>1.0368999999999999</v>
    <v>-27.1</v>
    <v>2.2711000000000002E-2</v>
    <v>-4.5204000000000001E-2</v>
    <v>13</v>
    <v>EUR</v>
    <v>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its acquisition of Pedemonte Group, a jewelry producer and the arts brands, such as Les Echos, Royal Van Lent, and Cheval Blanc.</v>
    <v>192287</v>
    <v>Euronext Paris</v>
    <v>XPAR</v>
    <v>XPAR</v>
    <v>22, avenue Montaigne, PARIS, ILE-DE-FRANCE, 75008 FR</v>
    <v>591.29999999999995</v>
    <v>Textiles &amp; Apparel</v>
    <v>Stock</v>
    <v>45608.708333333336</v>
    <v>3</v>
    <v>565.70000000000005</v>
    <v>299834900000</v>
    <v>LVMH Moet Hennessy Louis Vuitton SE</v>
    <v>LVMH Moet Hennessy Louis Vuitton SE</v>
    <v>585.29999999999995</v>
    <v>21.454499999999999</v>
    <v>599.5</v>
    <v>572.4</v>
    <v>585.4</v>
    <v>500141700</v>
    <v>MC</v>
    <v>LVMH Moet Hennessy Louis Vuitton SE (XPAR:MC)</v>
    <v>962644</v>
    <v>423920</v>
    <v>1971</v>
  </rv>
  <rv s="2">
    <v>4</v>
  </rv>
  <rv s="0">
    <v>https://www.bing.com/financeapi/forcetrigger?t=ae92im&amp;q=XPAR%3aKER&amp;form=skydnc</v>
    <v>Learn more on Bing</v>
  </rv>
  <rv s="3">
    <v>en-US</v>
    <v>ae92im</v>
    <v>268435456</v>
    <v>1</v>
    <v>Powered by Refinitiv</v>
    <v>6</v>
    <v>Kering SA (XPAR:KER)</v>
    <v>2</v>
    <v>7</v>
    <v>Finance</v>
    <v>8</v>
    <v>438.6</v>
    <v>208.25</v>
    <v>0.98839999999999995</v>
    <v>-12.9</v>
    <v>-5.7615E-2</v>
    <v>EUR</v>
    <v>Kering SA is a France-based company that mainly active in fashion group on luxurious branded products. The Group manages the development of a series of renowned Houses in Fashion, Leather Goods and Jewelry: Gucci, Saint Laurent, Bottega Veneta, Balenciaga, Alexander McQueen, Brioni, Boucheron, Pomellato, DoDo, Ginori 1735, as well as Kering Eyewear and Kering Beaute. It manufactures and sell, mostly through managed retail stores, an array of products, including leather goods, apparel, accessories, footwear, jewelry among others, for man, woman, and children. The Group is actively working in globally.</v>
    <v>46444</v>
    <v>Euronext Paris</v>
    <v>XPAR</v>
    <v>XPAR</v>
    <v>40 Rue de Sevres, Paris 7, PARIS, ILE-DE-FRANCE, 75007 FR</v>
    <v>220.45</v>
    <v>Specialty Retailers</v>
    <v>Stock</v>
    <v>45608.708333333336</v>
    <v>6</v>
    <v>208.25</v>
    <v>27633910000</v>
    <v>Kering SA</v>
    <v>Kering SA</v>
    <v>220</v>
    <v>13.2125</v>
    <v>223.9</v>
    <v>211</v>
    <v>123420800</v>
    <v>KER</v>
    <v>Kering SA (XPAR:KER)</v>
    <v>631791</v>
    <v>326760</v>
    <v>1955</v>
  </rv>
  <rv s="2">
    <v>7</v>
  </rv>
  <rv s="0">
    <v>https://www.bing.com/financeapi/forcetrigger?t=ae9wk2&amp;q=XPAR%3aRMS&amp;form=skydnc</v>
    <v>Learn more on Bing</v>
  </rv>
  <rv s="3">
    <v>en-US</v>
    <v>ae9wk2</v>
    <v>268435456</v>
    <v>1</v>
    <v>Powered by Refinitiv</v>
    <v>6</v>
    <v>Hermes International SCA (XPAR:RMS)</v>
    <v>2</v>
    <v>7</v>
    <v>Finance</v>
    <v>8</v>
    <v>2436</v>
    <v>1788.8</v>
    <v>0.74419999999999997</v>
    <v>-70</v>
    <v>-3.4162999999999999E-2</v>
    <v>EUR</v>
    <v>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v>
    <v>23242</v>
    <v>Euronext Paris</v>
    <v>XPAR</v>
    <v>XPAR</v>
    <v>24 rue du Faubourg Saint Honore, PARIS, ILE-DE-FRANCE, 75008 FR</v>
    <v>2027</v>
    <v>Textiles &amp; Apparel</v>
    <v>Stock</v>
    <v>45608.708333333336</v>
    <v>9</v>
    <v>1960</v>
    <v>216311700000</v>
    <v>Hermes International SCA</v>
    <v>Hermes International SCA</v>
    <v>2019</v>
    <v>48.173099999999998</v>
    <v>2049</v>
    <v>1979</v>
    <v>105569400</v>
    <v>RMS</v>
    <v>Hermes International SCA (XPAR:RMS)</v>
    <v>100865</v>
    <v>58360</v>
    <v>1957</v>
  </rv>
  <rv s="2">
    <v>10</v>
  </rv>
  <rv s="0">
    <v>https://www.bing.com/financeapi/forcetrigger?t=a2xjnm&amp;q=OTCM%3aSWGAY&amp;form=skydnc</v>
    <v>Learn more on Bing</v>
  </rv>
  <rv s="4">
    <v>en-US</v>
    <v>a2xjnm</v>
    <v>268435456</v>
    <v>1</v>
    <v>Powered by Refinitiv</v>
    <v>9</v>
    <v>The Swatch Group Ltd (OTCM:SWGAY)</v>
    <v>2</v>
    <v>10</v>
    <v>Finance</v>
    <v>8</v>
    <v>13.73</v>
    <v>8.73</v>
    <v>0.95989999999999998</v>
    <v>-0.27</v>
    <v>-2.9411999999999997E-2</v>
    <v>USD</v>
    <v>The Swatch Group SA is a Switzerland-based holding company engaged in the apparel and accessories industry. The Company’s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v>
    <v>33353</v>
    <v>OTC Markets</v>
    <v>OTCM</v>
    <v>OTCM</v>
    <v>Seevorstadt 6, BIEL, BERN, 2501 CH</v>
    <v>8.9700000000000006</v>
    <v>Textiles &amp; Apparel</v>
    <v>Stock</v>
    <v>45608.853580161718</v>
    <v>12</v>
    <v>8.8699999999999992</v>
    <v>8520733000</v>
    <v>The Swatch Group Ltd</v>
    <v>The Swatch Group Ltd</v>
    <v>8.94</v>
    <v>9.18</v>
    <v>8.91</v>
    <v>145855500</v>
    <v>SWGAY</v>
    <v>The Swatch Group Ltd (OTCM:SWGAY)</v>
    <v>261852</v>
    <v>222560</v>
    <v>1931</v>
  </rv>
  <rv s="2">
    <v>13</v>
  </rv>
  <rv s="5">
    <v>en-US</v>
    <v>avuzw7</v>
    <v>268435456</v>
    <v>1</v>
    <v>Powered by Refinitiv</v>
    <v>11</v>
    <v>CHF/EUR</v>
    <v>12</v>
    <v>13</v>
    <v>Finance</v>
    <v>14</v>
    <v>1.0855999999999999</v>
    <v>1.0065</v>
    <v>2E-3</v>
    <v>1.8779999999999999E-3</v>
    <v>EUR</v>
    <v>CHF</v>
    <v>1.0698000000000001</v>
    <v>Currency Pair</v>
    <v>45608.864664351851</v>
    <v>1.0650999999999999</v>
    <v>Swiss Franc/Euro FX Cross Rate</v>
    <v>1.0654999999999999</v>
    <v>1.0650999999999999</v>
    <v>1.0670999999999999</v>
    <v>CHFEUR</v>
    <v>CHF/EUR</v>
  </rv>
  <rv s="2">
    <v>15</v>
  </rv>
  <rv s="5">
    <v>en-US</v>
    <v>av923m</v>
    <v>268435456</v>
    <v>1</v>
    <v>Powered by Refinitiv</v>
    <v>11</v>
    <v>EUR/CHF</v>
    <v>12</v>
    <v>15</v>
    <v>Finance</v>
    <v>14</v>
    <v>0.99299999999999999</v>
    <v>0.92069999999999996</v>
    <v>-1.6000000000000001E-3</v>
    <v>-1.7060000000000001E-3</v>
    <v>CHF</v>
    <v>EUR</v>
    <v>0.93889999999999996</v>
    <v>Currency Pair</v>
    <v>45608.864664351851</v>
    <v>0.93469999999999998</v>
    <v>Euro/Swiss Franc FX Cross Rate</v>
    <v>0.93789999999999996</v>
    <v>0.93810000000000004</v>
    <v>0.9365</v>
    <v>EURCHF</v>
    <v>EUR/CHF</v>
  </rv>
  <rv s="2">
    <v>17</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High"/>
    <k n="Instrument type" t="s"/>
    <k n="Last trade time"/>
    <k n="Low"/>
    <k n="Name" t="s"/>
    <k n="Open"/>
    <k n="Previous close"/>
    <k n="Price"/>
    <k n="Ticker symbol" t="s"/>
    <k n="UniqueName" t="s"/>
  </s>
</rvStructures>
</file>

<file path=xl/richData/rdsupportingpropertybag.xml><?xml version="1.0" encoding="utf-8"?>
<supportingPropertyBags xmlns="http://schemas.microsoft.com/office/spreadsheetml/2017/richdata2">
  <spbArrays count="4">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spbArrays>
  <spbData count="16">
    <spb s="0">
      <v>0</v>
      <v>Name</v>
      <v>LearnMoreOnLink</v>
    </spb>
    <spb s="1">
      <v>0</v>
      <v>0</v>
      <v>0</v>
    </spb>
    <spb s="2">
      <v>1</v>
      <v>1</v>
      <v>1</v>
      <v>1</v>
    </spb>
    <spb s="3">
      <v>1</v>
      <v>2</v>
      <v>2</v>
      <v>1</v>
      <v>3</v>
      <v>1</v>
      <v>1</v>
      <v>1</v>
      <v>4</v>
      <v>4</v>
      <v>5</v>
      <v>6</v>
      <v>1</v>
      <v>1</v>
      <v>1</v>
      <v>4</v>
      <v>7</v>
      <v>8</v>
      <v>9</v>
      <v>4</v>
      <v>1</v>
      <v>1</v>
      <v>5</v>
    </spb>
    <spb s="4">
      <v>at close</v>
      <v>from previous close</v>
      <v>from previous close</v>
      <v>GMT</v>
      <v>Delayed 15 minutes</v>
      <v>from close</v>
      <v>from close</v>
    </spb>
    <spb s="3">
      <v>10</v>
      <v>2</v>
      <v>2</v>
      <v>10</v>
      <v>3</v>
      <v>10</v>
      <v>10</v>
      <v>10</v>
      <v>4</v>
      <v>4</v>
      <v>5</v>
      <v>11</v>
      <v>10</v>
      <v>10</v>
      <v>10</v>
      <v>4</v>
      <v>7</v>
      <v>8</v>
      <v>9</v>
      <v>4</v>
      <v>10</v>
      <v>10</v>
      <v>5</v>
    </spb>
    <spb s="0">
      <v>1</v>
      <v>Name</v>
      <v>LearnMoreOnLink</v>
    </spb>
    <spb s="5">
      <v>10</v>
      <v>2</v>
      <v>2</v>
      <v>10</v>
      <v>3</v>
      <v>10</v>
      <v>10</v>
      <v>10</v>
      <v>4</v>
      <v>4</v>
      <v>5</v>
      <v>11</v>
      <v>10</v>
      <v>10</v>
      <v>10</v>
      <v>4</v>
      <v>7</v>
      <v>8</v>
      <v>9</v>
      <v>4</v>
    </spb>
    <spb s="6">
      <v>Delayed 15 minutes</v>
      <v>from previous close</v>
      <v>from previous close</v>
      <v>GMT</v>
    </spb>
    <spb s="0">
      <v>2</v>
      <v>Name</v>
      <v>LearnMoreOnLink</v>
    </spb>
    <spb s="7">
      <v>12</v>
      <v>2</v>
      <v>12</v>
      <v>3</v>
      <v>12</v>
      <v>12</v>
      <v>12</v>
      <v>4</v>
      <v>4</v>
      <v>5</v>
      <v>6</v>
      <v>12</v>
      <v>12</v>
      <v>12</v>
      <v>4</v>
      <v>7</v>
      <v>8</v>
      <v>9</v>
      <v>4</v>
    </spb>
    <spb s="8">
      <v>3</v>
      <v>Name</v>
    </spb>
    <spb s="9">
      <v>1</v>
      <v>1</v>
    </spb>
    <spb s="10">
      <v>10</v>
      <v>10</v>
      <v>3</v>
      <v>10</v>
      <v>10</v>
      <v>10</v>
      <v>5</v>
      <v>10</v>
      <v>10</v>
      <v>10</v>
      <v>7</v>
      <v>9</v>
    </spb>
    <spb s="11">
      <v>GMT</v>
    </spb>
    <spb s="10">
      <v>1</v>
      <v>1</v>
      <v>3</v>
      <v>1</v>
      <v>1</v>
      <v>1</v>
      <v>5</v>
      <v>1</v>
      <v>1</v>
      <v>1</v>
      <v>7</v>
      <v>9</v>
    </spb>
  </spbData>
</supportingPropertyBags>
</file>

<file path=xl/richData/rdsupportingpropertybagstructure.xml><?xml version="1.0" encoding="utf-8"?>
<spbStructures xmlns="http://schemas.microsoft.com/office/spreadsheetml/2017/richdata2" count="12">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Order" t="spba"/>
    <k n="TitleProperty" t="s"/>
  </s>
  <s>
    <k n="UniqueName" t="spb"/>
    <k n="`%ProviderInfo" t="spb"/>
  </s>
  <s>
    <k n="Low" t="i"/>
    <k n="High" t="i"/>
    <k n="Name" t="i"/>
    <k n="Open" t="i"/>
    <k n="Price" t="i"/>
    <k n="Change" t="i"/>
    <k n="Change (%)" t="i"/>
    <k n="52 week low" t="i"/>
    <k n="52 week high" t="i"/>
    <k n="Previous close" t="i"/>
    <k n="Last trade time" t="i"/>
    <k n="`%EntityServiceId" t="i"/>
  </s>
  <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27" formatCode="yyyy/m/d\ h:mm"/>
    </x:dxf>
    <x:dxf>
      <x:numFmt numFmtId="0" formatCode="General"/>
    </x:dxf>
  </dxfs>
  <richProperties>
    <rPr n="NumberFormat" t="s"/>
    <rPr n="IsTitleField" t="b"/>
  </richProperties>
  <richStyles>
    <rSty dxfid="6">
      <rpv i="0">_-* #,##0.00 [$CHF-fr-CH]_-;-* #,##0.00 [$CHF-fr-CH]_-;_-* "-"?? [$CHF-fr-CH]_-;_-@_-</rpv>
    </rSty>
    <rSty dxfid="0">
      <rpv i="0">#,##0.00</rpv>
    </rSty>
    <rSty>
      <rpv i="1">1</rpv>
    </rSty>
    <rSty dxfid="1">
      <rpv i="0">#,##0</rpv>
    </rSty>
    <rSty dxfid="2"/>
    <rSty dxfid="6">
      <rpv i="0">_-* #,##0 [$CHF-fr-CH]_-;-* #,##0 [$CHF-fr-CH]_-;_-* "-" [$CHF-fr-CH]_-;_-@_-</rpv>
    </rSty>
    <rSty dxfid="5"/>
    <rSty dxfid="4">
      <rpv i="0">0</rpv>
    </rSty>
    <rSty dxfid="3">
      <rpv i="0">0.00</rpv>
    </rSty>
    <rSty dxfid="6">
      <rpv i="0">_([$€-x-euro2] * #,##0.00_);_([$€-x-euro2] * (#,##0.00);_([$€-x-euro2] * "-"??_);_(@_)</rpv>
    </rSty>
    <rSty dxfid="6">
      <rpv i="0">_([$€-x-euro2] * #,##0_);_([$€-x-euro2] * (#,##0);_([$€-x-euro2] * "-"_);_(@_)</rpv>
    </rSty>
    <rSty dxfid="6">
      <rpv i="0">_([$$-en-US]* #,##0.00_);_([$$-en-US]* (#,##0.00);_([$$-en-US]* "-"??_);_(@_)</rpv>
    </rSty>
  </richStyles>
</richStyleShee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mckinsey.com/industries/retail/our-insights/state-of-fashion-watches-and-jewellery" TargetMode="External"/><Relationship Id="rId7" Type="http://schemas.openxmlformats.org/officeDocument/2006/relationships/hyperlink" Target="https://www.statista.com/outlook/cmo/luxury-goods/luxury-fashion/worldwide" TargetMode="External"/><Relationship Id="rId2" Type="http://schemas.openxmlformats.org/officeDocument/2006/relationships/hyperlink" Target="https://www.mckinsey.com/industries/retail/our-insights/state-of-fashion-watches-and-jewellery" TargetMode="External"/><Relationship Id="rId1" Type="http://schemas.openxmlformats.org/officeDocument/2006/relationships/hyperlink" Target="https://www.statista.com/outlook/cmo/accessories/watches-jewelry/worldwide" TargetMode="External"/><Relationship Id="rId6" Type="http://schemas.openxmlformats.org/officeDocument/2006/relationships/hyperlink" Target="https://www.statista.com/outlook/cmo/luxury-goods/luxury-leather-goods/worldwide" TargetMode="External"/><Relationship Id="rId11" Type="http://schemas.openxmlformats.org/officeDocument/2006/relationships/comments" Target="../comments2.xml"/><Relationship Id="rId5" Type="http://schemas.openxmlformats.org/officeDocument/2006/relationships/hyperlink" Target="https://www.mordorintelligence.com/industry-reports/watch-market" TargetMode="External"/><Relationship Id="rId10" Type="http://schemas.openxmlformats.org/officeDocument/2006/relationships/vmlDrawing" Target="../drawings/vmlDrawing2.vml"/><Relationship Id="rId4" Type="http://schemas.openxmlformats.org/officeDocument/2006/relationships/hyperlink" Target="https://www.grandviewresearch.com/industry-analysis/jewelry-marke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U118"/>
  <sheetViews>
    <sheetView showGridLines="0" zoomScale="70" zoomScaleNormal="70" workbookViewId="0">
      <selection activeCell="C25" sqref="C25"/>
    </sheetView>
  </sheetViews>
  <sheetFormatPr defaultColWidth="11.42578125" defaultRowHeight="12.7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140625" customWidth="1"/>
    <col min="10" max="10" width="10.42578125" customWidth="1"/>
    <col min="11" max="11" width="13.7109375" customWidth="1"/>
    <col min="12" max="12" width="22.7109375" customWidth="1"/>
    <col min="13" max="13" width="31" customWidth="1"/>
    <col min="15" max="15" width="18.28515625" customWidth="1"/>
    <col min="16" max="16" width="13.28515625" bestFit="1" customWidth="1"/>
    <col min="17" max="17" width="13" bestFit="1" customWidth="1"/>
    <col min="19" max="19" width="11.5703125" customWidth="1"/>
    <col min="21" max="21" width="29.42578125" customWidth="1"/>
  </cols>
  <sheetData>
    <row r="1" spans="2:17" ht="3.75" customHeight="1" thickBot="1"/>
    <row r="2" spans="2:17" ht="22.5" customHeight="1">
      <c r="B2" s="293">
        <f ca="1">TODAY()</f>
        <v>45677</v>
      </c>
      <c r="C2" s="238" t="s">
        <v>0</v>
      </c>
      <c r="D2" s="294" t="s">
        <v>1</v>
      </c>
      <c r="E2" s="1076" t="e" vm="1">
        <f>Inputs!E3</f>
        <v>#VALUE!</v>
      </c>
      <c r="F2" s="1077"/>
      <c r="G2" s="1077"/>
      <c r="H2" s="1077"/>
      <c r="I2" s="1077"/>
      <c r="J2" s="1077"/>
      <c r="K2" s="1078"/>
      <c r="L2" s="239" t="str" cm="1">
        <f t="array" aca="1" ref="L2" ca="1">_FV(E2,"Exchange abbreviation",TRUE)</f>
        <v>XSWX</v>
      </c>
      <c r="M2" s="334" t="s">
        <v>2</v>
      </c>
    </row>
    <row r="3" spans="2:17" ht="26.25" customHeight="1">
      <c r="B3" s="1180"/>
      <c r="C3" s="1181"/>
      <c r="D3" s="1091" t="s">
        <v>3</v>
      </c>
      <c r="E3" s="1091"/>
      <c r="F3" s="1091"/>
      <c r="G3" s="1091"/>
      <c r="H3" s="1091" t="s">
        <v>4</v>
      </c>
      <c r="I3" s="1091"/>
      <c r="J3" s="1091"/>
      <c r="K3" s="1091"/>
      <c r="L3" s="1091"/>
      <c r="M3" s="1092"/>
    </row>
    <row r="4" spans="2:17">
      <c r="B4" s="1182"/>
      <c r="C4" s="1183"/>
      <c r="D4" s="1089" t="s">
        <v>5</v>
      </c>
      <c r="E4" s="1089"/>
      <c r="F4" s="1089"/>
      <c r="G4" s="1089"/>
      <c r="H4" s="102" t="s">
        <v>6</v>
      </c>
      <c r="I4" s="103" t="s">
        <v>7</v>
      </c>
      <c r="J4" s="103" t="s">
        <v>8</v>
      </c>
      <c r="K4" s="103" t="s">
        <v>9</v>
      </c>
      <c r="L4" s="103" t="s">
        <v>10</v>
      </c>
      <c r="M4" s="104" t="s">
        <v>11</v>
      </c>
    </row>
    <row r="5" spans="2:17" ht="24">
      <c r="B5" s="1182"/>
      <c r="C5" s="1183"/>
      <c r="D5" s="1089"/>
      <c r="E5" s="1089"/>
      <c r="F5" s="1089"/>
      <c r="G5" s="1089"/>
      <c r="H5" s="105" t="s">
        <v>12</v>
      </c>
      <c r="I5" s="282" t="s">
        <v>13</v>
      </c>
      <c r="J5" s="282">
        <v>73</v>
      </c>
      <c r="K5" s="282">
        <v>1988</v>
      </c>
      <c r="L5" s="282" t="s">
        <v>14</v>
      </c>
      <c r="M5" s="1030" t="s">
        <v>15</v>
      </c>
      <c r="P5" s="628" t="s">
        <v>16</v>
      </c>
      <c r="Q5" s="629" t="s">
        <v>17</v>
      </c>
    </row>
    <row r="6" spans="2:17" ht="24">
      <c r="B6" s="1182"/>
      <c r="C6" s="1183"/>
      <c r="D6" s="1089"/>
      <c r="E6" s="1089"/>
      <c r="F6" s="1089"/>
      <c r="G6" s="1089"/>
      <c r="H6" s="105" t="s">
        <v>18</v>
      </c>
      <c r="I6" s="282" t="s">
        <v>13</v>
      </c>
      <c r="J6" s="282">
        <v>68</v>
      </c>
      <c r="K6" s="282">
        <v>2010</v>
      </c>
      <c r="L6" s="282" t="s">
        <v>14</v>
      </c>
      <c r="M6" s="1031" t="s">
        <v>19</v>
      </c>
      <c r="O6" s="625" t="s">
        <v>20</v>
      </c>
      <c r="P6" s="622" cm="1">
        <f t="array" aca="1" ref="P6" ca="1">_FV(E2,"Price")</f>
        <v>116.45</v>
      </c>
      <c r="Q6" s="621">
        <f ca="1">P6*C117</f>
        <v>124.263795</v>
      </c>
    </row>
    <row r="7" spans="2:17">
      <c r="B7" s="1182"/>
      <c r="C7" s="1183"/>
      <c r="D7" s="1089"/>
      <c r="E7" s="1089"/>
      <c r="F7" s="1089"/>
      <c r="G7" s="1089"/>
      <c r="H7" s="105" t="s">
        <v>21</v>
      </c>
      <c r="I7" s="282" t="s">
        <v>13</v>
      </c>
      <c r="J7" s="282">
        <v>54</v>
      </c>
      <c r="K7" s="282">
        <v>2017</v>
      </c>
      <c r="L7" s="282" t="s">
        <v>22</v>
      </c>
      <c r="M7" s="1032" t="s">
        <v>23</v>
      </c>
      <c r="O7" s="626" t="s">
        <v>24</v>
      </c>
      <c r="P7" s="623" cm="1">
        <f t="array" aca="1" ref="P7" ca="1">_FV(E2,"Shares outstanding",TRUE)</f>
        <v>537582100</v>
      </c>
      <c r="Q7" s="619">
        <f ca="1">P7</f>
        <v>537582100</v>
      </c>
    </row>
    <row r="8" spans="2:17">
      <c r="B8" s="1182"/>
      <c r="C8" s="1183"/>
      <c r="D8" s="1089"/>
      <c r="E8" s="1089"/>
      <c r="F8" s="1089"/>
      <c r="G8" s="1089"/>
      <c r="H8" s="105" t="s">
        <v>25</v>
      </c>
      <c r="I8" s="282" t="s">
        <v>13</v>
      </c>
      <c r="J8" s="282">
        <v>58</v>
      </c>
      <c r="K8" s="282">
        <v>2017</v>
      </c>
      <c r="L8" s="282" t="s">
        <v>22</v>
      </c>
      <c r="M8" s="1032" t="s">
        <v>26</v>
      </c>
      <c r="O8" s="627" t="s">
        <v>27</v>
      </c>
      <c r="P8" s="624" cm="1">
        <f t="array" aca="1" ref="P8" ca="1">_FV(E2,"Market cap",TRUE)/1000000</f>
        <v>64694.07</v>
      </c>
      <c r="Q8" s="620">
        <f ca="1">P8*C117</f>
        <v>69035.042096999998</v>
      </c>
    </row>
    <row r="9" spans="2:17">
      <c r="B9" s="1182"/>
      <c r="C9" s="1183"/>
      <c r="D9" s="1089"/>
      <c r="E9" s="1089"/>
      <c r="F9" s="1089"/>
      <c r="G9" s="1089"/>
      <c r="H9" s="105" t="s">
        <v>28</v>
      </c>
      <c r="I9" s="282" t="s">
        <v>13</v>
      </c>
      <c r="J9" s="282">
        <v>76</v>
      </c>
      <c r="K9" s="282">
        <v>2017</v>
      </c>
      <c r="L9" s="282" t="s">
        <v>14</v>
      </c>
      <c r="M9" s="1033" t="s">
        <v>29</v>
      </c>
      <c r="Q9" s="630">
        <f ca="1">Q7*Q6/1000000</f>
        <v>66801.991870069498</v>
      </c>
    </row>
    <row r="10" spans="2:17" ht="24">
      <c r="B10" s="1182"/>
      <c r="C10" s="1183"/>
      <c r="D10" s="1089"/>
      <c r="E10" s="1089"/>
      <c r="F10" s="1089"/>
      <c r="G10" s="1089"/>
      <c r="H10" s="105" t="s">
        <v>30</v>
      </c>
      <c r="I10" s="282" t="s">
        <v>13</v>
      </c>
      <c r="J10" s="282">
        <v>55</v>
      </c>
      <c r="K10" s="282">
        <v>2017</v>
      </c>
      <c r="L10" s="282" t="s">
        <v>14</v>
      </c>
      <c r="M10" s="1033" t="s">
        <v>31</v>
      </c>
    </row>
    <row r="11" spans="2:17">
      <c r="B11" s="1182"/>
      <c r="C11" s="1183"/>
      <c r="D11" s="1089"/>
      <c r="E11" s="1089"/>
      <c r="F11" s="1089"/>
      <c r="G11" s="1089"/>
      <c r="H11" s="105" t="s">
        <v>32</v>
      </c>
      <c r="I11" s="282" t="s">
        <v>13</v>
      </c>
      <c r="J11" s="282">
        <v>60</v>
      </c>
      <c r="K11" s="282">
        <v>2013</v>
      </c>
      <c r="L11" s="282" t="s">
        <v>14</v>
      </c>
      <c r="M11" s="1033" t="s">
        <v>33</v>
      </c>
    </row>
    <row r="12" spans="2:17">
      <c r="B12" s="1182"/>
      <c r="C12" s="1183"/>
      <c r="D12" s="1089"/>
      <c r="E12" s="1089"/>
      <c r="F12" s="1089"/>
      <c r="G12" s="1089"/>
      <c r="H12" s="105" t="s">
        <v>34</v>
      </c>
      <c r="I12" s="282" t="s">
        <v>35</v>
      </c>
      <c r="J12" s="282">
        <v>41</v>
      </c>
      <c r="K12" s="282">
        <v>2017</v>
      </c>
      <c r="L12" s="282" t="s">
        <v>14</v>
      </c>
      <c r="M12" s="1033"/>
    </row>
    <row r="13" spans="2:17">
      <c r="B13" s="1182"/>
      <c r="C13" s="1183"/>
      <c r="D13" s="1089"/>
      <c r="E13" s="1089"/>
      <c r="F13" s="1089"/>
      <c r="G13" s="1089"/>
      <c r="H13" s="105" t="s">
        <v>36</v>
      </c>
      <c r="I13" s="282" t="s">
        <v>35</v>
      </c>
      <c r="J13" s="282">
        <v>66</v>
      </c>
      <c r="K13" s="282">
        <v>2020</v>
      </c>
      <c r="L13" s="282" t="s">
        <v>14</v>
      </c>
      <c r="M13" s="1033"/>
    </row>
    <row r="14" spans="2:17" ht="24">
      <c r="B14" s="1182"/>
      <c r="C14" s="1183"/>
      <c r="D14" s="1089"/>
      <c r="E14" s="1089"/>
      <c r="F14" s="1089"/>
      <c r="G14" s="1089"/>
      <c r="H14" s="105" t="s">
        <v>37</v>
      </c>
      <c r="I14" s="283" t="s">
        <v>13</v>
      </c>
      <c r="J14" s="282">
        <v>53</v>
      </c>
      <c r="K14" s="282">
        <v>2016</v>
      </c>
      <c r="L14" s="282" t="s">
        <v>14</v>
      </c>
      <c r="M14" s="1033" t="s">
        <v>38</v>
      </c>
      <c r="O14">
        <f>AVERAGE(J5:J22)</f>
        <v>60.777777777777779</v>
      </c>
    </row>
    <row r="15" spans="2:17">
      <c r="B15" s="1182"/>
      <c r="C15" s="1183"/>
      <c r="D15" s="1089"/>
      <c r="E15" s="1089"/>
      <c r="F15" s="1089"/>
      <c r="G15" s="1089"/>
      <c r="H15" s="105" t="s">
        <v>39</v>
      </c>
      <c r="I15" s="283" t="s">
        <v>35</v>
      </c>
      <c r="J15" s="282">
        <v>58</v>
      </c>
      <c r="K15" s="282">
        <v>2017</v>
      </c>
      <c r="L15" s="282" t="s">
        <v>14</v>
      </c>
      <c r="M15" s="1033" t="s">
        <v>40</v>
      </c>
      <c r="O15">
        <f>2022-AVERAGE(K5:K22)</f>
        <v>6.7222222222221717</v>
      </c>
    </row>
    <row r="16" spans="2:17">
      <c r="B16" s="1182"/>
      <c r="C16" s="1183"/>
      <c r="D16" s="1089"/>
      <c r="E16" s="1089"/>
      <c r="F16" s="1089"/>
      <c r="G16" s="1089"/>
      <c r="H16" s="105" t="s">
        <v>41</v>
      </c>
      <c r="I16" s="283" t="s">
        <v>13</v>
      </c>
      <c r="J16" s="282">
        <v>73</v>
      </c>
      <c r="K16" s="282">
        <v>2010</v>
      </c>
      <c r="L16" s="282" t="s">
        <v>14</v>
      </c>
      <c r="M16" s="1033" t="s">
        <v>42</v>
      </c>
    </row>
    <row r="17" spans="2:15">
      <c r="B17" s="1182"/>
      <c r="C17" s="1183"/>
      <c r="D17" s="1089"/>
      <c r="E17" s="1089"/>
      <c r="F17" s="1089"/>
      <c r="G17" s="1089"/>
      <c r="H17" s="105" t="s">
        <v>43</v>
      </c>
      <c r="I17" s="283" t="s">
        <v>35</v>
      </c>
      <c r="J17" s="282">
        <v>64</v>
      </c>
      <c r="K17" s="282">
        <v>2011</v>
      </c>
      <c r="L17" s="282" t="s">
        <v>14</v>
      </c>
      <c r="M17" s="1033" t="s">
        <v>44</v>
      </c>
    </row>
    <row r="18" spans="2:15">
      <c r="B18" s="1182"/>
      <c r="C18" s="1183"/>
      <c r="D18" s="1089"/>
      <c r="E18" s="1089"/>
      <c r="F18" s="1089"/>
      <c r="G18" s="1089"/>
      <c r="H18" s="105" t="s">
        <v>45</v>
      </c>
      <c r="I18" s="283" t="s">
        <v>13</v>
      </c>
      <c r="J18" s="282">
        <v>36</v>
      </c>
      <c r="K18" s="282">
        <v>2017</v>
      </c>
      <c r="L18" s="282" t="s">
        <v>14</v>
      </c>
      <c r="M18" s="1033" t="s">
        <v>46</v>
      </c>
    </row>
    <row r="19" spans="2:15" ht="12.75" customHeight="1">
      <c r="B19" s="1182"/>
      <c r="C19" s="1183"/>
      <c r="D19" s="1089"/>
      <c r="E19" s="1089"/>
      <c r="F19" s="1089"/>
      <c r="G19" s="1089"/>
      <c r="H19" s="105" t="s">
        <v>47</v>
      </c>
      <c r="I19" s="283" t="s">
        <v>13</v>
      </c>
      <c r="J19" s="282">
        <v>76</v>
      </c>
      <c r="K19" s="282">
        <v>2021</v>
      </c>
      <c r="L19" s="282" t="s">
        <v>14</v>
      </c>
      <c r="M19" s="1033" t="s">
        <v>48</v>
      </c>
    </row>
    <row r="20" spans="2:15" ht="12.75" customHeight="1">
      <c r="B20" s="1182"/>
      <c r="C20" s="1183"/>
      <c r="D20" s="1089"/>
      <c r="E20" s="1089"/>
      <c r="F20" s="1089"/>
      <c r="G20" s="1089"/>
      <c r="H20" s="105" t="s">
        <v>49</v>
      </c>
      <c r="I20" s="283" t="s">
        <v>35</v>
      </c>
      <c r="J20" s="282">
        <v>60</v>
      </c>
      <c r="K20" s="282">
        <v>2021</v>
      </c>
      <c r="L20" s="282" t="s">
        <v>14</v>
      </c>
      <c r="M20" s="1033" t="s">
        <v>50</v>
      </c>
    </row>
    <row r="21" spans="2:15">
      <c r="B21" s="1184"/>
      <c r="C21" s="1185"/>
      <c r="D21" s="1089"/>
      <c r="E21" s="1089"/>
      <c r="F21" s="1089"/>
      <c r="G21" s="1089"/>
      <c r="H21" s="479" t="s">
        <v>51</v>
      </c>
      <c r="I21" s="283" t="s">
        <v>13</v>
      </c>
      <c r="J21" s="282">
        <v>62</v>
      </c>
      <c r="K21" s="282">
        <v>2023</v>
      </c>
      <c r="L21" s="282" t="s">
        <v>14</v>
      </c>
      <c r="M21" s="1033" t="s">
        <v>52</v>
      </c>
    </row>
    <row r="22" spans="2:15">
      <c r="B22" s="1096" t="s">
        <v>53</v>
      </c>
      <c r="C22" s="1097"/>
      <c r="D22" s="1090"/>
      <c r="E22" s="1090"/>
      <c r="F22" s="1090"/>
      <c r="G22" s="1090"/>
      <c r="H22" s="643" t="s">
        <v>54</v>
      </c>
      <c r="I22" s="644" t="s">
        <v>35</v>
      </c>
      <c r="J22" s="645">
        <v>61</v>
      </c>
      <c r="K22" s="645">
        <v>2023</v>
      </c>
      <c r="L22" s="282" t="s">
        <v>14</v>
      </c>
      <c r="M22" s="1033" t="s">
        <v>29</v>
      </c>
    </row>
    <row r="23" spans="2:15" ht="18">
      <c r="B23" s="1103" t="s">
        <v>55</v>
      </c>
      <c r="C23" s="1104"/>
      <c r="D23" s="1104"/>
      <c r="E23" s="1104"/>
      <c r="F23" s="1104"/>
      <c r="G23" s="1104"/>
      <c r="H23" s="1104"/>
      <c r="I23" s="1104"/>
      <c r="J23" s="1104"/>
      <c r="K23" s="1104"/>
      <c r="L23" s="1104"/>
      <c r="M23" s="1105"/>
      <c r="O23" s="746"/>
    </row>
    <row r="24" spans="2:15" ht="15.75">
      <c r="B24" s="1100" t="s">
        <v>56</v>
      </c>
      <c r="C24" s="1101"/>
      <c r="D24" s="1098" t="s">
        <v>57</v>
      </c>
      <c r="E24" s="1102"/>
      <c r="F24" s="1093" t="s">
        <v>58</v>
      </c>
      <c r="G24" s="1094"/>
      <c r="H24" s="1095"/>
      <c r="I24" s="1098" t="s">
        <v>59</v>
      </c>
      <c r="J24" s="1189"/>
      <c r="K24" s="1102"/>
      <c r="L24" s="1098" t="s">
        <v>60</v>
      </c>
      <c r="M24" s="1099"/>
      <c r="O24" s="746"/>
    </row>
    <row r="25" spans="2:15">
      <c r="B25" s="333" t="s">
        <v>61</v>
      </c>
      <c r="C25" s="498" cm="1">
        <f t="array" aca="1" ref="C25" ca="1">(_FV(E2,"Price"))*C117</f>
        <v>124.263795</v>
      </c>
      <c r="D25" s="13" t="s">
        <v>62</v>
      </c>
      <c r="E25" s="499">
        <f>_xlfn.XLOOKUP(D25,'Fin. Data'!A:A,'Fin. Data'!B:B,,0)</f>
        <v>40887</v>
      </c>
      <c r="F25" s="1079" t="s">
        <v>63</v>
      </c>
      <c r="G25" s="1080"/>
      <c r="H25" s="96" t="s">
        <v>64</v>
      </c>
      <c r="I25" t="s">
        <v>65</v>
      </c>
      <c r="J25" s="1211">
        <v>2023</v>
      </c>
      <c r="K25" s="1212"/>
      <c r="L25" s="12" t="s">
        <v>66</v>
      </c>
      <c r="M25" s="349">
        <v>0.98</v>
      </c>
      <c r="O25" s="746"/>
    </row>
    <row r="26" spans="2:15" ht="12.75" customHeight="1">
      <c r="B26" s="333" t="s">
        <v>67</v>
      </c>
      <c r="C26" s="631" cm="1">
        <f t="array" aca="1" ref="C26" ca="1">_FV(E2,"Shares outstanding",TRUE)</f>
        <v>537582100</v>
      </c>
      <c r="D26" s="12" t="s">
        <v>68</v>
      </c>
      <c r="E26" s="499">
        <f>_xlfn.XLOOKUP(D26,'Fin. Data'!A:A,'Fin. Data'!B:B,,0)</f>
        <v>21928</v>
      </c>
      <c r="F26" s="1081" t="str">
        <f>Segments!C5</f>
        <v>Greater China</v>
      </c>
      <c r="G26" s="1082"/>
      <c r="H26" s="17">
        <f>Segments!B5</f>
        <v>0.25224277051070015</v>
      </c>
      <c r="I26" s="12" t="s">
        <v>69</v>
      </c>
      <c r="J26" s="1085" t="s">
        <v>70</v>
      </c>
      <c r="K26" s="1086"/>
      <c r="L26" s="12" t="s">
        <v>71</v>
      </c>
      <c r="M26" s="331">
        <f>R74</f>
        <v>0.10299808429118773</v>
      </c>
      <c r="O26" s="746"/>
    </row>
    <row r="27" spans="2:15" ht="12.75" customHeight="1">
      <c r="B27" s="333" t="s">
        <v>72</v>
      </c>
      <c r="C27" s="499">
        <f ca="1">C25*C26/1000000</f>
        <v>66801.991870069498</v>
      </c>
      <c r="D27" s="12" t="s">
        <v>73</v>
      </c>
      <c r="E27" s="270">
        <f ca="1">_xlfn.XLOOKUP("Cash &amp; Eq.",'Fin. Data'!A:A,'Fin. Data'!B:B,,0)*1000000/C26</f>
        <v>34.11013871183583</v>
      </c>
      <c r="F27" s="1081" t="str">
        <f>Segments!C6</f>
        <v>Americas (majorly USA)</v>
      </c>
      <c r="G27" s="1082"/>
      <c r="H27" s="17">
        <f>Segments!B6</f>
        <v>0.22387610885581116</v>
      </c>
      <c r="I27" s="1087" t="s">
        <v>74</v>
      </c>
      <c r="J27" s="1087"/>
      <c r="K27" s="499">
        <f>_xlfn.XLOOKUP(I27,'Fin. Data'!A:A,'Fin. Data'!B:B,,0)</f>
        <v>6506</v>
      </c>
      <c r="L27" s="8" t="s">
        <v>75</v>
      </c>
      <c r="M27" s="332">
        <v>1.28</v>
      </c>
      <c r="O27" s="746"/>
    </row>
    <row r="28" spans="2:15" ht="12.75" customHeight="1">
      <c r="B28" s="330" t="s">
        <v>76</v>
      </c>
      <c r="C28" s="499">
        <f>'Fin. Data'!B58</f>
        <v>15671</v>
      </c>
      <c r="D28" s="12" t="s">
        <v>77</v>
      </c>
      <c r="E28" s="270">
        <f>_xlfn.XLOOKUP("EBITDA",'Fin. Data'!A:A,'Fin. Data'!B:B,,0)/_xlfn.XLOOKUP("Net Financial Cost",'Fin. Data'!A:A,'Fin. Data'!B:B,,0)</f>
        <v>-25.217054263565892</v>
      </c>
      <c r="F28" s="1081" t="str">
        <f>Segments!C7</f>
        <v>Rest of Europe</v>
      </c>
      <c r="G28" s="1082"/>
      <c r="H28" s="17">
        <f>Segments!B7</f>
        <v>0.13907683055179673</v>
      </c>
      <c r="I28" s="1088" t="s">
        <v>78</v>
      </c>
      <c r="J28" s="1088"/>
      <c r="K28" s="499">
        <f>_xlfn.XLOOKUP(I28,'Fin. Data'!A:A,'Fin. Data'!B:B,,0)</f>
        <v>1472</v>
      </c>
      <c r="L28" s="12" t="s">
        <v>79</v>
      </c>
      <c r="M28" s="329" t="s">
        <v>80</v>
      </c>
      <c r="O28" s="746"/>
    </row>
    <row r="29" spans="2:15" ht="12.75" customHeight="1">
      <c r="B29" s="330" t="s">
        <v>81</v>
      </c>
      <c r="C29" s="499">
        <f>'Fin. Data'!B39</f>
        <v>18337</v>
      </c>
      <c r="D29" s="12" t="s">
        <v>82</v>
      </c>
      <c r="E29" s="270">
        <f>_xlfn.XLOOKUP("Total Debt",'Fin. Data'!A:A,'Fin. Data'!B:B,,0)/_xlfn.XLOOKUP("EBITDA",'Fin. Data'!A:A,'Fin. Data'!B:B,,0)</f>
        <v>2.4086996618505996</v>
      </c>
      <c r="F29" s="1081" t="str">
        <f>Segments!C8</f>
        <v>Rest of Asia-Pacific</v>
      </c>
      <c r="G29" s="1082"/>
      <c r="H29" s="17">
        <f>Segments!B8</f>
        <v>9.1565178168696443E-2</v>
      </c>
      <c r="I29" s="1088" t="s">
        <v>83</v>
      </c>
      <c r="J29" s="1088"/>
      <c r="K29" s="499">
        <f>_xlfn.XLOOKUP(I29,'Fin. Data'!A:A,'Fin. Data'!B:B,,0)</f>
        <v>5034</v>
      </c>
      <c r="L29" s="12" t="s">
        <v>84</v>
      </c>
      <c r="M29" s="328">
        <f ca="1">IFERROR((C25*C26/(E25-E26))/1000000,"")</f>
        <v>3.5234976459765552</v>
      </c>
      <c r="O29" s="746"/>
    </row>
    <row r="30" spans="2:15" ht="12.75" customHeight="1">
      <c r="B30" s="330" t="s">
        <v>85</v>
      </c>
      <c r="C30" s="499">
        <f ca="1">C27+C28-C29</f>
        <v>64135.991870069498</v>
      </c>
      <c r="D30" s="12" t="s">
        <v>86</v>
      </c>
      <c r="E30" s="270">
        <f>_xlfn.XLOOKUP("Other Assets",'Fin. Data'!A:A,'Fin. Data'!B:B,,0)/_xlfn.XLOOKUP("Total Assets",'Fin. Data'!A:A,'Fin. Data'!B:B,,0)</f>
        <v>0.15863232812385356</v>
      </c>
      <c r="F30" s="1081" t="str">
        <f>Segments!C9</f>
        <v>Japan</v>
      </c>
      <c r="G30" s="1082"/>
      <c r="H30" s="17">
        <f>Segments!B9</f>
        <v>8.0990327269082341E-2</v>
      </c>
      <c r="I30" s="1087" t="s">
        <v>87</v>
      </c>
      <c r="J30" s="1087"/>
      <c r="K30" s="499">
        <f>_xlfn.XLOOKUP(I30,'Fin. Data'!A:A,'Fin. Data'!B:B,,0)</f>
        <v>3923</v>
      </c>
      <c r="L30" s="12" t="s">
        <v>88</v>
      </c>
      <c r="M30" s="327">
        <f>IFERROR(K36/E25,"")</f>
        <v>6.2513757429011663E-2</v>
      </c>
      <c r="O30" s="746"/>
    </row>
    <row r="31" spans="2:15" ht="12.75" customHeight="1">
      <c r="B31" s="330" t="s">
        <v>89</v>
      </c>
      <c r="C31" s="115" t="s">
        <v>29</v>
      </c>
      <c r="D31" s="12" t="s">
        <v>90</v>
      </c>
      <c r="E31" s="270">
        <f>_xlfn.XLOOKUP(D31,'Fin. Data'!A:A,'Fin. Data'!B:B,,0)</f>
        <v>0.38327585785212903</v>
      </c>
      <c r="F31" s="1081" t="str">
        <f>Segments!C10</f>
        <v>Middle East and Africa</v>
      </c>
      <c r="G31" s="1082"/>
      <c r="H31" s="17">
        <f>Segments!B10</f>
        <v>7.8283967323209538E-2</v>
      </c>
      <c r="I31" s="1087" t="s">
        <v>91</v>
      </c>
      <c r="J31" s="1087"/>
      <c r="K31" s="499">
        <f ca="1">1000000*K30/C26</f>
        <v>7.2974900019922542</v>
      </c>
      <c r="L31" s="12" t="s">
        <v>92</v>
      </c>
      <c r="M31" s="326">
        <f ca="1">IFERROR(C27/K35,"")</f>
        <v>26.135364581404342</v>
      </c>
      <c r="O31" s="746"/>
    </row>
    <row r="32" spans="2:15" ht="12.75" customHeight="1">
      <c r="B32" s="333" t="s">
        <v>93</v>
      </c>
      <c r="C32" s="116" t="s">
        <v>29</v>
      </c>
      <c r="D32" s="12" t="s">
        <v>94</v>
      </c>
      <c r="E32" s="114">
        <f>AVERAGE(_xlfn.XLOOKUP("EBITDA Margin",'Fin. Data'!A:A,'Fin. Data'!B:D,,0))</f>
        <v>0.29152682468575114</v>
      </c>
      <c r="F32" s="1081" t="str">
        <f>Segments!C11</f>
        <v>South Korea</v>
      </c>
      <c r="G32" s="1082"/>
      <c r="H32" s="17">
        <f>Segments!B11</f>
        <v>5.3976845587129757E-2</v>
      </c>
      <c r="I32" s="1087" t="s">
        <v>95</v>
      </c>
      <c r="J32" s="1087"/>
      <c r="K32" s="632">
        <f>K30/E25</f>
        <v>9.5947367133807818E-2</v>
      </c>
      <c r="L32" s="12" t="s">
        <v>96</v>
      </c>
      <c r="M32" s="325">
        <f ca="1">IFERROR(C30/E25,"")</f>
        <v>1.5686157426582898</v>
      </c>
    </row>
    <row r="33" spans="1:17" ht="12.75" customHeight="1">
      <c r="B33" s="333" t="s">
        <v>97</v>
      </c>
      <c r="C33" s="18" t="s">
        <v>98</v>
      </c>
      <c r="D33" s="12" t="s">
        <v>99</v>
      </c>
      <c r="E33" s="114">
        <f>AVERAGE(_xlfn.XLOOKUP("Operating Margin",'Fin. Data'!A:A,'Fin. Data'!B:D,,0))</f>
        <v>0.19622524560103624</v>
      </c>
      <c r="F33" s="1081" t="str">
        <f>Segments!C12</f>
        <v>France</v>
      </c>
      <c r="G33" s="1082"/>
      <c r="H33" s="17">
        <f>Segments!B12</f>
        <v>5.0167894552197667E-2</v>
      </c>
      <c r="I33" s="1087" t="s">
        <v>100</v>
      </c>
      <c r="J33" s="1087"/>
      <c r="K33" s="632">
        <f>K30/(E25-(E26-C28))</f>
        <v>0.11328328039272308</v>
      </c>
      <c r="L33" s="12" t="s">
        <v>101</v>
      </c>
      <c r="M33" s="325">
        <f ca="1">IFERROR(C30/K34,"")</f>
        <v>12.943691598399495</v>
      </c>
    </row>
    <row r="34" spans="1:17" ht="12.75" customHeight="1">
      <c r="B34" s="633"/>
      <c r="C34" s="120"/>
      <c r="D34" s="12" t="s">
        <v>102</v>
      </c>
      <c r="E34" s="114">
        <f>AVERAGE(_xlfn.XLOOKUP("Net Income Margin",'Fin. Data'!A:A,'Fin. Data'!B:D,,0))</f>
        <v>0.14717347790248034</v>
      </c>
      <c r="F34" s="1081" t="str">
        <f>Segments!C13</f>
        <v>Switzerland</v>
      </c>
      <c r="G34" s="1082"/>
      <c r="H34" s="17">
        <f>Segments!B13</f>
        <v>2.9820077181376234E-2</v>
      </c>
      <c r="I34" s="13" t="s">
        <v>103</v>
      </c>
      <c r="J34" s="13"/>
      <c r="K34" s="499">
        <f>AVERAGE(_xlfn.XLOOKUP("EBITDA",'Fin. Data'!A:A,'Fin. Data'!B:D,,0))</f>
        <v>4955</v>
      </c>
      <c r="L34" s="12" t="s">
        <v>104</v>
      </c>
      <c r="M34" s="326">
        <f ca="1">IFERROR(C27/K36,"")</f>
        <v>26.135364581404342</v>
      </c>
    </row>
    <row r="35" spans="1:17" ht="15.6" customHeight="1">
      <c r="B35" s="1100" t="s">
        <v>105</v>
      </c>
      <c r="C35" s="1101"/>
      <c r="D35" s="634"/>
      <c r="E35" s="119"/>
      <c r="F35" s="1083" t="s">
        <v>106</v>
      </c>
      <c r="G35" s="1084"/>
      <c r="H35" s="97" t="s">
        <v>64</v>
      </c>
      <c r="I35" s="13" t="s">
        <v>107</v>
      </c>
      <c r="J35" s="13"/>
      <c r="K35" s="499">
        <f>AVERAGE(_xlfn.XLOOKUP("Net Income",'Fin. Data'!A:A,'Fin. Data'!B:D,,0))</f>
        <v>2556</v>
      </c>
      <c r="L35" s="12" t="s">
        <v>108</v>
      </c>
      <c r="M35" s="324" t="s">
        <v>29</v>
      </c>
    </row>
    <row r="36" spans="1:17" ht="12.75" customHeight="1">
      <c r="B36" s="9" t="s">
        <v>109</v>
      </c>
      <c r="C36" s="975"/>
      <c r="D36" s="12" t="s">
        <v>110</v>
      </c>
      <c r="E36" s="1044">
        <f>-_xlfn.XLOOKUP("Net Financial Cost",'Fin. Data'!A:A,'Fin. Data'!B:B,,0)/AVERAGE(_xlfn.XLOOKUP("Net Debt",'Fin. Data'!A:A,'Fin. Data'!B:D,,0))</f>
        <v>-0.19134734239802226</v>
      </c>
      <c r="F36" s="1081" t="str">
        <f>Segments!C21</f>
        <v>Jewellery Maisons</v>
      </c>
      <c r="G36" s="1082"/>
      <c r="H36" s="17">
        <f>Segments!B21</f>
        <v>0.67293138876359448</v>
      </c>
      <c r="I36" s="13" t="s">
        <v>111</v>
      </c>
      <c r="J36" s="13"/>
      <c r="K36" s="499">
        <f>AVERAGE(_xlfn.XLOOKUP("Net Income",'Fin. Data'!A:A,'Fin. Data'!B:D,,0))</f>
        <v>2556</v>
      </c>
      <c r="L36" s="12" t="s">
        <v>112</v>
      </c>
      <c r="M36" s="323">
        <f ca="1">-IFERROR(SUM(E58:E60)/(3*C27),"")</f>
        <v>1.5962597872940101E-2</v>
      </c>
    </row>
    <row r="37" spans="1:17" ht="12.75" customHeight="1">
      <c r="B37" s="9" t="s">
        <v>113</v>
      </c>
      <c r="C37" s="976"/>
      <c r="D37" s="118"/>
      <c r="E37" s="120"/>
      <c r="F37" s="1081" t="str">
        <f>Segments!C22</f>
        <v>Specialist Watchmakers</v>
      </c>
      <c r="G37" s="1082"/>
      <c r="H37" s="17">
        <f>Segments!B22</f>
        <v>0.1942063850047612</v>
      </c>
      <c r="I37" s="118"/>
      <c r="J37" s="119"/>
      <c r="K37" s="119"/>
      <c r="L37" s="12" t="s">
        <v>114</v>
      </c>
      <c r="M37" s="322">
        <f ca="1">-IFERROR(L59/C27,"")</f>
        <v>2.7708754607201121E-2</v>
      </c>
    </row>
    <row r="38" spans="1:17" ht="12.6" customHeight="1">
      <c r="B38" s="635" t="s">
        <v>115</v>
      </c>
      <c r="C38" s="974"/>
      <c r="D38" s="636"/>
      <c r="E38" s="637"/>
      <c r="F38" s="638" t="str">
        <f>Segments!C23</f>
        <v>Others</v>
      </c>
      <c r="G38" s="639"/>
      <c r="H38" s="640">
        <f>Segments!B23</f>
        <v>0.13286222623164437</v>
      </c>
      <c r="I38" s="636"/>
      <c r="J38" s="641"/>
      <c r="K38" s="641"/>
      <c r="L38" s="641"/>
      <c r="M38" s="642"/>
    </row>
    <row r="39" spans="1:17" ht="18">
      <c r="B39" s="1205" t="s">
        <v>116</v>
      </c>
      <c r="C39" s="1206"/>
      <c r="D39" s="1206"/>
      <c r="E39" s="1206"/>
      <c r="F39" s="1206"/>
      <c r="G39" s="1206"/>
      <c r="H39" s="1206"/>
      <c r="I39" s="1206"/>
      <c r="J39" s="1206"/>
      <c r="K39" s="1206"/>
      <c r="L39" s="1206"/>
      <c r="M39" s="1207"/>
    </row>
    <row r="40" spans="1:17" ht="16.149999999999999" customHeight="1">
      <c r="B40" s="1187" t="s">
        <v>117</v>
      </c>
      <c r="C40" s="1188"/>
      <c r="D40" s="1188"/>
      <c r="E40" s="1188"/>
      <c r="F40" s="1188"/>
      <c r="G40" s="1188"/>
      <c r="H40" s="1216" t="s">
        <v>118</v>
      </c>
      <c r="I40" s="1188"/>
      <c r="J40" s="1188"/>
      <c r="K40" s="1188"/>
      <c r="L40" s="1188"/>
      <c r="M40" s="1217"/>
      <c r="N40" s="11"/>
    </row>
    <row r="41" spans="1:17" ht="13.35" customHeight="1">
      <c r="A41" s="11"/>
      <c r="B41" s="358" t="s">
        <v>119</v>
      </c>
      <c r="C41" s="1202" t="s">
        <v>120</v>
      </c>
      <c r="D41" s="1203"/>
      <c r="E41" s="1203"/>
      <c r="F41" s="1203"/>
      <c r="G41" s="1204"/>
      <c r="H41" s="1218" t="s">
        <v>121</v>
      </c>
      <c r="I41" s="1219"/>
      <c r="J41" s="1219"/>
      <c r="K41" s="1219"/>
      <c r="L41" s="1219"/>
      <c r="M41" s="1220"/>
    </row>
    <row r="42" spans="1:17" ht="24.6" customHeight="1">
      <c r="A42" s="11"/>
      <c r="B42" s="1039" t="s">
        <v>122</v>
      </c>
      <c r="C42" s="1208" t="s">
        <v>123</v>
      </c>
      <c r="D42" s="1209"/>
      <c r="E42" s="1209"/>
      <c r="F42" s="1209"/>
      <c r="G42" s="1210"/>
      <c r="H42" s="1218"/>
      <c r="I42" s="1219"/>
      <c r="J42" s="1219"/>
      <c r="K42" s="1219"/>
      <c r="L42" s="1219"/>
      <c r="M42" s="1220"/>
    </row>
    <row r="43" spans="1:17" ht="24.6" customHeight="1">
      <c r="A43" s="11"/>
      <c r="B43" s="1039" t="s">
        <v>124</v>
      </c>
      <c r="C43" s="1208" t="s">
        <v>125</v>
      </c>
      <c r="D43" s="1209"/>
      <c r="E43" s="1209"/>
      <c r="F43" s="1209"/>
      <c r="G43" s="1210"/>
      <c r="H43" s="1218"/>
      <c r="I43" s="1219"/>
      <c r="J43" s="1219"/>
      <c r="K43" s="1219"/>
      <c r="L43" s="1219"/>
      <c r="M43" s="1220"/>
    </row>
    <row r="44" spans="1:17" ht="24.6" customHeight="1">
      <c r="B44" s="1040" t="s">
        <v>126</v>
      </c>
      <c r="C44" s="1213" t="s">
        <v>127</v>
      </c>
      <c r="D44" s="1214"/>
      <c r="E44" s="1214"/>
      <c r="F44" s="1214"/>
      <c r="G44" s="1215"/>
      <c r="H44" s="1221"/>
      <c r="I44" s="1222"/>
      <c r="J44" s="1222"/>
      <c r="K44" s="1222"/>
      <c r="L44" s="1222"/>
      <c r="M44" s="1223"/>
    </row>
    <row r="45" spans="1:17" ht="15.75">
      <c r="B45" s="1196" t="s">
        <v>128</v>
      </c>
      <c r="C45" s="1197"/>
      <c r="D45" s="1197"/>
      <c r="E45" s="1197"/>
      <c r="F45" s="1197"/>
      <c r="G45" s="1198"/>
      <c r="H45" s="359" t="s">
        <v>129</v>
      </c>
      <c r="I45" s="1073" t="s">
        <v>130</v>
      </c>
      <c r="J45" s="1074"/>
      <c r="K45" s="1074"/>
      <c r="L45" s="1074"/>
      <c r="M45" s="1075"/>
    </row>
    <row r="46" spans="1:17" ht="16.5" customHeight="1">
      <c r="B46" s="1041" t="s">
        <v>131</v>
      </c>
      <c r="C46" s="1199" t="s">
        <v>120</v>
      </c>
      <c r="D46" s="1200"/>
      <c r="E46" s="1200"/>
      <c r="F46" s="1200"/>
      <c r="G46" s="1201"/>
      <c r="H46" s="1125">
        <f ca="1">DCF!M58</f>
        <v>113.52134622953383</v>
      </c>
      <c r="I46" s="1134" t="s">
        <v>132</v>
      </c>
      <c r="J46" s="1136">
        <f>DCF!F50</f>
        <v>9.4326152703195859E-2</v>
      </c>
      <c r="K46" s="1137"/>
      <c r="L46" s="1132" t="s">
        <v>133</v>
      </c>
      <c r="M46" s="1130">
        <f ca="1">DCF!M57</f>
        <v>-8.6448742133347634E-2</v>
      </c>
      <c r="O46" s="950" t="s">
        <v>134</v>
      </c>
      <c r="P46" s="951" t="s">
        <v>135</v>
      </c>
      <c r="Q46" s="952" t="s">
        <v>133</v>
      </c>
    </row>
    <row r="47" spans="1:17" ht="20.25" customHeight="1">
      <c r="B47" s="1039" t="s">
        <v>136</v>
      </c>
      <c r="C47" s="1127" t="s">
        <v>137</v>
      </c>
      <c r="D47" s="1128"/>
      <c r="E47" s="1128"/>
      <c r="F47" s="1128"/>
      <c r="G47" s="1129"/>
      <c r="H47" s="1126"/>
      <c r="I47" s="1135"/>
      <c r="J47" s="1138"/>
      <c r="K47" s="1139"/>
      <c r="L47" s="1133"/>
      <c r="M47" s="1131"/>
      <c r="O47" s="947" cm="1">
        <f t="array" aca="1" ref="O47" ca="1">_FV(E2,"Price")</f>
        <v>116.45</v>
      </c>
      <c r="P47" s="948">
        <f ca="1">H46*C118</f>
        <v>106.31274074395843</v>
      </c>
      <c r="Q47" s="949">
        <f ca="1">P47/O47-1</f>
        <v>-8.705246248210885E-2</v>
      </c>
    </row>
    <row r="48" spans="1:17" ht="18.75" customHeight="1">
      <c r="B48" s="1042" t="s">
        <v>138</v>
      </c>
      <c r="C48" s="1193" t="s">
        <v>139</v>
      </c>
      <c r="D48" s="1194"/>
      <c r="E48" s="1194"/>
      <c r="F48" s="1194"/>
      <c r="G48" s="1195"/>
      <c r="H48" s="1126"/>
      <c r="I48" s="1135"/>
      <c r="J48" s="1138"/>
      <c r="K48" s="1139"/>
      <c r="L48" s="1133"/>
      <c r="M48" s="1131"/>
    </row>
    <row r="49" spans="2:19" ht="27.75" customHeight="1">
      <c r="B49" s="1039" t="s">
        <v>140</v>
      </c>
      <c r="C49" s="1190" t="s">
        <v>141</v>
      </c>
      <c r="D49" s="1191"/>
      <c r="E49" s="1191"/>
      <c r="F49" s="1191"/>
      <c r="G49" s="1192"/>
      <c r="H49" s="1126"/>
      <c r="I49" s="1135"/>
      <c r="J49" s="1138"/>
      <c r="K49" s="1139"/>
      <c r="L49" s="1133"/>
      <c r="M49" s="1131"/>
    </row>
    <row r="50" spans="2:19" ht="18">
      <c r="B50" s="1122" t="s">
        <v>142</v>
      </c>
      <c r="C50" s="1123"/>
      <c r="D50" s="1123"/>
      <c r="E50" s="1123"/>
      <c r="F50" s="1123"/>
      <c r="G50" s="1123"/>
      <c r="H50" s="1123"/>
      <c r="I50" s="1123"/>
      <c r="J50" s="1123"/>
      <c r="K50" s="1123"/>
      <c r="L50" s="1123"/>
      <c r="M50" s="1124"/>
    </row>
    <row r="51" spans="2:19">
      <c r="B51" s="942" t="s">
        <v>143</v>
      </c>
      <c r="C51" s="943" t="s">
        <v>144</v>
      </c>
      <c r="D51" s="943" t="s">
        <v>145</v>
      </c>
      <c r="E51" s="944" t="s">
        <v>146</v>
      </c>
      <c r="F51" s="943" t="s">
        <v>147</v>
      </c>
      <c r="G51" s="943" t="s">
        <v>90</v>
      </c>
      <c r="H51" s="945" t="s">
        <v>78</v>
      </c>
      <c r="I51" s="945" t="s">
        <v>148</v>
      </c>
      <c r="J51" s="1120" t="s">
        <v>149</v>
      </c>
      <c r="K51" s="1120"/>
      <c r="L51" s="1120"/>
      <c r="M51" s="1121"/>
    </row>
    <row r="52" spans="2:19">
      <c r="B52" s="462">
        <f t="shared" ref="B52:B58" si="0">B53-1</f>
        <v>2015</v>
      </c>
      <c r="C52" s="500" cm="1">
        <f t="array" ref="C52:C60">_xlfn.SORTBY(TRANSPOSE(_xlfn.XLOOKUP(C$51,'Fin. Data'!$A:$A,'Fin. Data'!$B:$J,,0)),$B$52:$B$60,-1)</f>
        <v>10410</v>
      </c>
      <c r="D52" s="99" cm="1">
        <f t="array" ref="D52:D60">_xlfn.SORTBY(TRANSPOSE(_xlfn.XLOOKUP(D$51,'Fin. Data'!$A:$A,'Fin. Data'!$B:$J,,0)),$B$52:$B$60,-1)</f>
        <v>0.25648414985590778</v>
      </c>
      <c r="E52" s="500" cm="1">
        <f t="array" ref="E52:E60">_xlfn.SORTBY(TRANSPOSE(_xlfn.XLOOKUP(E$51,'Fin. Data'!$A:$A,'Fin. Data'!$B:$J,,0)),$B$52:$B$60,-1)</f>
        <v>-715</v>
      </c>
      <c r="F52" s="501">
        <f>Inputs!K77</f>
        <v>1224</v>
      </c>
      <c r="G52" s="99" cm="1">
        <f t="array" ref="G52:G60">_xlfn.SORTBY(TRANSPOSE(_xlfn.XLOOKUP(G$51,'Fin. Data'!$A:$A,'Fin. Data'!$B:$J,,0)),$B$52:$B$60,-1)</f>
        <v>0.15124694376528117</v>
      </c>
      <c r="H52" s="500" cm="1">
        <f t="array" ref="H52:H60">_xlfn.SORTBY(TRANSPOSE(_xlfn.XLOOKUP(H$51,'Fin. Data'!$A:$A,'Fin. Data'!$B:$J,,0)),$B$52:$B$60,-1)</f>
        <v>501</v>
      </c>
      <c r="I52" s="500" cm="1">
        <f t="array" ref="I52:I60">_xlfn.SORTBY(TRANSPOSE(_xlfn.XLOOKUP(I$51,'Fin. Data'!$A:$A,'Fin. Data'!$B:$J,,0)),$B$52:$B$60,-1)</f>
        <v>-294</v>
      </c>
      <c r="J52" s="297"/>
      <c r="K52" s="118"/>
      <c r="L52" s="100">
        <f>J25</f>
        <v>2023</v>
      </c>
      <c r="M52" s="298">
        <f>L52-1</f>
        <v>2022</v>
      </c>
    </row>
    <row r="53" spans="2:19">
      <c r="B53" s="462">
        <f t="shared" si="0"/>
        <v>2016</v>
      </c>
      <c r="C53" s="500">
        <v>11076</v>
      </c>
      <c r="D53" s="98">
        <v>0.18607800650054171</v>
      </c>
      <c r="E53" s="500">
        <v>-948</v>
      </c>
      <c r="F53" s="501">
        <f>Inputs!J77</f>
        <v>938</v>
      </c>
      <c r="G53" s="99">
        <v>0.12308074534161491</v>
      </c>
      <c r="H53" s="500">
        <v>550</v>
      </c>
      <c r="I53" s="500">
        <v>-1260</v>
      </c>
      <c r="J53" s="1071" t="s">
        <v>87</v>
      </c>
      <c r="K53" s="1072"/>
      <c r="L53" s="499">
        <f>_xlfn.XLOOKUP($J53,'Fin. Data'!$A:$A,'Fin. Data'!B:B,,0)</f>
        <v>3923</v>
      </c>
      <c r="M53" s="502">
        <f>_xlfn.XLOOKUP($J53,'Fin. Data'!$A:$A,'Fin. Data'!C:C,,0)</f>
        <v>2444</v>
      </c>
      <c r="N53" s="21">
        <f t="shared" ref="N53:N61" si="1">(C53/C52)-1</f>
        <v>6.3976945244956784E-2</v>
      </c>
      <c r="O53" s="21">
        <f t="shared" ref="O53:O61" si="2">(D53/D52)-1</f>
        <v>-0.27450485105968569</v>
      </c>
      <c r="P53" s="20"/>
      <c r="Q53" s="19"/>
      <c r="R53" s="19"/>
      <c r="S53" s="19"/>
    </row>
    <row r="54" spans="2:19">
      <c r="B54" s="462">
        <f t="shared" si="0"/>
        <v>2017</v>
      </c>
      <c r="C54" s="500">
        <v>10647</v>
      </c>
      <c r="D54" s="98">
        <v>0.16568047337278108</v>
      </c>
      <c r="E54" s="500">
        <v>-926</v>
      </c>
      <c r="F54" s="501">
        <f>Inputs!I77</f>
        <v>-604</v>
      </c>
      <c r="G54" s="99">
        <v>0.10615079365079365</v>
      </c>
      <c r="H54" s="500">
        <v>561</v>
      </c>
      <c r="I54" s="500">
        <v>-453</v>
      </c>
      <c r="J54" s="1071" t="s">
        <v>150</v>
      </c>
      <c r="K54" s="1072"/>
      <c r="L54" s="499">
        <f>_xlfn.XLOOKUP($J54,'Fin. Data'!$A:$A,'Fin. Data'!B:B,,0)</f>
        <v>4491</v>
      </c>
      <c r="M54" s="502">
        <f>_xlfn.XLOOKUP($J54,'Fin. Data'!$A:$A,'Fin. Data'!C:C,,0)</f>
        <v>4638</v>
      </c>
      <c r="N54" s="21">
        <f t="shared" si="1"/>
        <v>-3.8732394366197131E-2</v>
      </c>
      <c r="O54" s="21">
        <f t="shared" si="2"/>
        <v>-0.10961818385399158</v>
      </c>
      <c r="P54" s="20"/>
      <c r="Q54" s="19">
        <f t="shared" ref="Q54:Q60" si="3">F54/F53-1</f>
        <v>-1.6439232409381663</v>
      </c>
      <c r="R54" s="19">
        <f t="shared" ref="R54:S60" si="4">H54/H53-1</f>
        <v>2.0000000000000018E-2</v>
      </c>
      <c r="S54" s="19">
        <f t="shared" si="4"/>
        <v>-0.64047619047619042</v>
      </c>
    </row>
    <row r="55" spans="2:19">
      <c r="B55" s="462">
        <f t="shared" si="0"/>
        <v>2018</v>
      </c>
      <c r="C55" s="500">
        <v>11013</v>
      </c>
      <c r="D55" s="98">
        <v>0.16743848179424317</v>
      </c>
      <c r="E55" s="500">
        <v>-989</v>
      </c>
      <c r="F55" s="501">
        <f>Inputs!H77</f>
        <v>217</v>
      </c>
      <c r="G55" s="99">
        <v>0.31923436769062841</v>
      </c>
      <c r="H55" s="500">
        <v>537</v>
      </c>
      <c r="I55" s="500">
        <v>-2688</v>
      </c>
      <c r="J55" s="1071" t="s">
        <v>151</v>
      </c>
      <c r="K55" s="1072"/>
      <c r="L55" s="499">
        <f>_xlfn.XLOOKUP($J55,'Fin. Data'!$A:$A,'Fin. Data'!B:B,,0)</f>
        <v>-2073</v>
      </c>
      <c r="M55" s="502">
        <f>_xlfn.XLOOKUP($J55,'Fin. Data'!$A:$A,'Fin. Data'!C:C,,0)</f>
        <v>-2278</v>
      </c>
      <c r="N55" s="21">
        <f t="shared" si="1"/>
        <v>3.4375880529726732E-2</v>
      </c>
      <c r="O55" s="21">
        <f t="shared" si="2"/>
        <v>1.0610836543824664E-2</v>
      </c>
      <c r="P55" s="20"/>
      <c r="Q55" s="19">
        <f t="shared" si="3"/>
        <v>-1.3592715231788079</v>
      </c>
      <c r="R55" s="19">
        <f t="shared" si="4"/>
        <v>-4.2780748663101553E-2</v>
      </c>
      <c r="S55" s="19">
        <f t="shared" si="4"/>
        <v>4.9337748344370862</v>
      </c>
    </row>
    <row r="56" spans="2:19">
      <c r="B56" s="462">
        <f t="shared" si="0"/>
        <v>2019</v>
      </c>
      <c r="C56" s="500">
        <v>13989</v>
      </c>
      <c r="D56" s="98">
        <v>0.13889484595038959</v>
      </c>
      <c r="E56" s="500">
        <v>-1000</v>
      </c>
      <c r="F56" s="501">
        <f>Inputs!G77</f>
        <v>1739</v>
      </c>
      <c r="G56" s="99">
        <v>0.25179214665287636</v>
      </c>
      <c r="H56" s="500">
        <v>808</v>
      </c>
      <c r="I56" s="500">
        <v>-2819</v>
      </c>
      <c r="J56" s="1069" t="s">
        <v>152</v>
      </c>
      <c r="K56" s="1070"/>
      <c r="L56" s="499">
        <f>_xlfn.XLOOKUP($J56,'Fin. Data'!$A:$A,'Fin. Data'!B:B,,0)</f>
        <v>-984</v>
      </c>
      <c r="M56" s="502">
        <f>_xlfn.XLOOKUP($J56,'Fin. Data'!$A:$A,'Fin. Data'!C:C,,0)</f>
        <v>-875</v>
      </c>
      <c r="N56" s="21">
        <f t="shared" si="1"/>
        <v>0.27022609643148998</v>
      </c>
      <c r="O56" s="21">
        <f t="shared" si="2"/>
        <v>-0.170472376110824</v>
      </c>
      <c r="P56" s="20"/>
      <c r="Q56" s="19">
        <f t="shared" si="3"/>
        <v>7.0138248847926263</v>
      </c>
      <c r="R56" s="19">
        <f t="shared" si="4"/>
        <v>0.50465549348230909</v>
      </c>
      <c r="S56" s="19">
        <f t="shared" si="4"/>
        <v>4.8735119047619069E-2</v>
      </c>
    </row>
    <row r="57" spans="2:19">
      <c r="B57" s="462">
        <f t="shared" si="0"/>
        <v>2020</v>
      </c>
      <c r="C57" s="500">
        <v>14238</v>
      </c>
      <c r="D57" s="98">
        <v>0.10661609776654024</v>
      </c>
      <c r="E57" s="500">
        <v>-1004</v>
      </c>
      <c r="F57" s="501">
        <f>Inputs!F77</f>
        <v>-2157</v>
      </c>
      <c r="G57" s="99">
        <v>0.31985161353862318</v>
      </c>
      <c r="H57" s="500">
        <v>1488</v>
      </c>
      <c r="I57" s="500">
        <v>-807</v>
      </c>
      <c r="J57" s="1069" t="s">
        <v>153</v>
      </c>
      <c r="K57" s="1070"/>
      <c r="L57" s="499">
        <f>_xlfn.XLOOKUP($J57,'Fin. Data'!$A:$A,'Fin. Data'!B:B,,0)</f>
        <v>-1045</v>
      </c>
      <c r="M57" s="502">
        <f>_xlfn.XLOOKUP($J57,'Fin. Data'!$A:$A,'Fin. Data'!C:C,,0)</f>
        <v>-1175</v>
      </c>
      <c r="N57" s="21">
        <f t="shared" si="1"/>
        <v>1.7799699764100341E-2</v>
      </c>
      <c r="O57" s="21">
        <f t="shared" si="2"/>
        <v>-0.23239701921969558</v>
      </c>
      <c r="P57" s="20"/>
      <c r="Q57" s="19">
        <f t="shared" si="3"/>
        <v>-2.2403680276020701</v>
      </c>
      <c r="R57" s="19">
        <f t="shared" si="4"/>
        <v>0.84158415841584167</v>
      </c>
      <c r="S57" s="19">
        <f t="shared" si="4"/>
        <v>-0.71372827243703441</v>
      </c>
    </row>
    <row r="58" spans="2:19">
      <c r="B58" s="462">
        <f t="shared" si="0"/>
        <v>2021</v>
      </c>
      <c r="C58" s="500">
        <v>13144</v>
      </c>
      <c r="D58" s="98">
        <v>0.11244674376141205</v>
      </c>
      <c r="E58" s="500">
        <v>-497</v>
      </c>
      <c r="F58" s="501">
        <f>Inputs!E77</f>
        <v>-362</v>
      </c>
      <c r="G58" s="99">
        <v>0.38324047625781271</v>
      </c>
      <c r="H58" s="500">
        <v>1518</v>
      </c>
      <c r="I58" s="500">
        <v>-1828</v>
      </c>
      <c r="J58" s="1071" t="s">
        <v>154</v>
      </c>
      <c r="K58" s="1072"/>
      <c r="L58" s="499">
        <f>_xlfn.XLOOKUP($J58,'Fin. Data'!$A:$A,'Fin. Data'!B:B,,0)</f>
        <v>-2318</v>
      </c>
      <c r="M58" s="502">
        <f>_xlfn.XLOOKUP($J58,'Fin. Data'!$A:$A,'Fin. Data'!C:C,,0)</f>
        <v>-1767</v>
      </c>
      <c r="N58" s="21">
        <f t="shared" si="1"/>
        <v>-7.6836634358758205E-2</v>
      </c>
      <c r="O58" s="21">
        <f t="shared" si="2"/>
        <v>5.4688232987473606E-2</v>
      </c>
      <c r="P58" s="20"/>
      <c r="Q58" s="19">
        <f t="shared" si="3"/>
        <v>-0.83217431617987947</v>
      </c>
      <c r="R58" s="19">
        <f t="shared" si="4"/>
        <v>2.0161290322580738E-2</v>
      </c>
      <c r="S58" s="19">
        <f t="shared" si="4"/>
        <v>1.2651796778190829</v>
      </c>
    </row>
    <row r="59" spans="2:19">
      <c r="B59" s="462">
        <f>B60-1</f>
        <v>2022</v>
      </c>
      <c r="C59" s="500">
        <v>16748</v>
      </c>
      <c r="D59" s="98">
        <v>0.22408645808454741</v>
      </c>
      <c r="E59" s="500">
        <v>-1049</v>
      </c>
      <c r="F59" s="501">
        <f>Inputs!D$77</f>
        <v>1795</v>
      </c>
      <c r="G59" s="99">
        <v>0.3752813484719652</v>
      </c>
      <c r="H59" s="500">
        <v>1550</v>
      </c>
      <c r="I59" s="500">
        <v>-2050</v>
      </c>
      <c r="J59" s="1069" t="s">
        <v>155</v>
      </c>
      <c r="K59" s="1070"/>
      <c r="L59" s="499">
        <f>_xlfn.XLOOKUP($J59,'Fin. Data'!$A:$A,'Fin. Data'!B:B,,0)</f>
        <v>-1851</v>
      </c>
      <c r="M59" s="502">
        <f>_xlfn.XLOOKUP($J59,'Fin. Data'!$A:$A,'Fin. Data'!C:C,,0)</f>
        <v>-1041</v>
      </c>
      <c r="N59" s="21">
        <f t="shared" si="1"/>
        <v>0.27419354838709675</v>
      </c>
      <c r="O59" s="21">
        <f t="shared" si="2"/>
        <v>0.99282300748531216</v>
      </c>
      <c r="P59" s="20"/>
      <c r="Q59" s="19">
        <f t="shared" si="3"/>
        <v>-5.958563535911602</v>
      </c>
      <c r="R59" s="19">
        <f t="shared" si="4"/>
        <v>2.1080368906455815E-2</v>
      </c>
      <c r="S59" s="19">
        <f t="shared" si="4"/>
        <v>0.12144420131291023</v>
      </c>
    </row>
    <row r="60" spans="2:19">
      <c r="B60" s="462">
        <f>J25</f>
        <v>2023</v>
      </c>
      <c r="C60" s="500">
        <v>19953</v>
      </c>
      <c r="D60" s="98">
        <v>0.25214253495714928</v>
      </c>
      <c r="E60" s="500">
        <v>-1653</v>
      </c>
      <c r="F60" s="501">
        <f>Inputs!C77</f>
        <v>788</v>
      </c>
      <c r="G60" s="99">
        <v>0.38327585785212903</v>
      </c>
      <c r="H60" s="500">
        <v>1472</v>
      </c>
      <c r="I60" s="500">
        <v>-2029</v>
      </c>
      <c r="J60" s="1069" t="s">
        <v>156</v>
      </c>
      <c r="K60" s="1070"/>
      <c r="L60" s="499">
        <f>_xlfn.XLOOKUP($J60,'Fin. Data'!$A:$A,'Fin. Data'!B:B,,0)</f>
        <v>198</v>
      </c>
      <c r="M60" s="502">
        <f>_xlfn.XLOOKUP($J60,'Fin. Data'!$A:$A,'Fin. Data'!C:C,,0)</f>
        <v>-8</v>
      </c>
      <c r="N60" s="21">
        <f t="shared" si="1"/>
        <v>0.19136613326964413</v>
      </c>
      <c r="O60" s="21">
        <f t="shared" si="2"/>
        <v>0.12520201850848278</v>
      </c>
      <c r="P60" s="20"/>
      <c r="Q60" s="19">
        <f t="shared" si="3"/>
        <v>-0.56100278551532035</v>
      </c>
      <c r="R60" s="19">
        <f t="shared" si="4"/>
        <v>-5.0322580645161263E-2</v>
      </c>
      <c r="S60" s="19">
        <f t="shared" si="4"/>
        <v>-1.0243902439024399E-2</v>
      </c>
    </row>
    <row r="61" spans="2:19">
      <c r="B61" s="463" t="s">
        <v>157</v>
      </c>
      <c r="C61" s="101">
        <f>IFERROR((C60/C52)^(1/8)-1,"")</f>
        <v>8.4725086259690663E-2</v>
      </c>
      <c r="D61" s="101">
        <f>IFERROR((D60/D52)^(1/8)-1,"")</f>
        <v>-2.1317653347039389E-3</v>
      </c>
      <c r="E61" s="117"/>
      <c r="F61" s="101">
        <f>IFERROR((F60/F52)^(1/8)-1,"")</f>
        <v>-5.3559971481454749E-2</v>
      </c>
      <c r="G61" s="117"/>
      <c r="H61" s="101">
        <f>IFERROR((H60/H52)^(1/8)-1,"")</f>
        <v>0.14421796056049163</v>
      </c>
      <c r="I61" s="117"/>
      <c r="J61" s="1071" t="s">
        <v>158</v>
      </c>
      <c r="K61" s="1072"/>
      <c r="L61" s="499">
        <f>_xlfn.XLOOKUP($J61,'Fin. Data'!$A:$A,'Fin. Data'!B:B,,0)</f>
        <v>-32</v>
      </c>
      <c r="M61" s="502">
        <f>_xlfn.XLOOKUP($J61,'Fin. Data'!$A:$A,'Fin. Data'!C:C,,0)</f>
        <v>195</v>
      </c>
      <c r="N61" s="21">
        <f t="shared" si="1"/>
        <v>-0.99999575376703953</v>
      </c>
      <c r="O61" s="21">
        <f t="shared" si="2"/>
        <v>-1.008454604198638</v>
      </c>
      <c r="P61" s="20"/>
      <c r="Q61" s="19"/>
      <c r="R61" s="19"/>
      <c r="S61" s="19"/>
    </row>
    <row r="62" spans="2:19">
      <c r="B62" s="463" t="s">
        <v>159</v>
      </c>
      <c r="C62" s="101">
        <f>IFERROR(AVERAGE(N53:N60),"")</f>
        <v>9.2046159362757424E-2</v>
      </c>
      <c r="D62" s="101">
        <f>IFERROR(AVERAGE(O53:O60),"")</f>
        <v>4.9541458160112045E-2</v>
      </c>
      <c r="E62" s="117"/>
      <c r="F62" s="101">
        <f>IFERROR(AVERAGE(Q53:Q60),"")</f>
        <v>-0.79735407779046008</v>
      </c>
      <c r="G62" s="117"/>
      <c r="H62" s="101">
        <f>IFERROR(AVERAGE(S53:S60),"")</f>
        <v>0.71495506675206399</v>
      </c>
      <c r="I62" s="117"/>
      <c r="J62" s="1054" t="s">
        <v>160</v>
      </c>
      <c r="K62" s="1055"/>
      <c r="L62" s="503">
        <f>L54+L55+L58+L61</f>
        <v>68</v>
      </c>
      <c r="M62" s="503">
        <f>M54+M55+M58+M61</f>
        <v>788</v>
      </c>
    </row>
    <row r="63" spans="2:19">
      <c r="B63" s="463" t="s">
        <v>161</v>
      </c>
      <c r="C63" s="101">
        <f>IFERROR(STDEV(C53:C60)/AVERAGE(C53:C60),"")</f>
        <v>0.2320531826430054</v>
      </c>
      <c r="D63" s="101">
        <f>IFERROR(STDEV(D52:D60)/AVERAGE(D52:D60),"")</f>
        <v>0.31267357834808746</v>
      </c>
      <c r="E63" s="117"/>
      <c r="F63" s="101">
        <f>IFERROR(STDEV(F52:F60)/AVERAGE(F52:F60),"")</f>
        <v>3.2087328009675433</v>
      </c>
      <c r="G63" s="117"/>
      <c r="H63" s="101">
        <f>IFERROR(STDEV(H52:H60)/AVERAGE(H52:H60),"")</f>
        <v>0.49163274346978963</v>
      </c>
      <c r="I63" s="117"/>
      <c r="J63" s="1056" t="s">
        <v>162</v>
      </c>
      <c r="K63" s="1057"/>
      <c r="L63" s="295">
        <f>IFERROR(SUM(I57:I60)/(C60-C56),"")</f>
        <v>-1.1257545271629779</v>
      </c>
      <c r="M63" s="321">
        <f>IFERROR((SUM(I57:I60)-SUM(H57:H60))/(C60-C56),"")</f>
        <v>-2.1364855801475522</v>
      </c>
    </row>
    <row r="64" spans="2:19">
      <c r="B64" s="463" t="s">
        <v>163</v>
      </c>
      <c r="C64" s="101">
        <f>IFERROR(C60/C59-1,"")</f>
        <v>0.19136613326964413</v>
      </c>
      <c r="D64" s="101">
        <f>IFERROR(D60/D59-1,"")</f>
        <v>0.12520201850848278</v>
      </c>
      <c r="E64" s="117"/>
      <c r="F64" s="101">
        <f>IFERROR(1-(F60/F59),"")</f>
        <v>0.56100278551532035</v>
      </c>
      <c r="G64" s="117"/>
      <c r="H64" s="101">
        <f>IFERROR(1-(H60/H59),"")</f>
        <v>5.0322580645161263E-2</v>
      </c>
      <c r="I64" s="117"/>
      <c r="J64" s="1058" t="s">
        <v>164</v>
      </c>
      <c r="K64" s="1059"/>
      <c r="L64" s="296">
        <f>IFERROR(L63/E32,"")</f>
        <v>-3.8615812743011739</v>
      </c>
      <c r="M64" s="299">
        <f>IFERROR(M63/E32,"")</f>
        <v>-7.3286071786037486</v>
      </c>
    </row>
    <row r="65" spans="2:21" ht="18">
      <c r="B65" s="1205" t="s">
        <v>165</v>
      </c>
      <c r="C65" s="1206"/>
      <c r="D65" s="1206"/>
      <c r="E65" s="1206"/>
      <c r="F65" s="1206"/>
      <c r="G65" s="1206"/>
      <c r="H65" s="1206"/>
      <c r="I65" s="1206"/>
      <c r="J65" s="1206"/>
      <c r="K65" s="1206"/>
      <c r="L65" s="1206"/>
      <c r="M65" s="1207"/>
    </row>
    <row r="66" spans="2:21" ht="15.75">
      <c r="B66" s="1186" t="s">
        <v>166</v>
      </c>
      <c r="C66" s="1118"/>
      <c r="D66" s="1118"/>
      <c r="E66" s="1118"/>
      <c r="F66" s="1118"/>
      <c r="G66" s="1118"/>
      <c r="H66" s="1118"/>
      <c r="I66" s="1119"/>
      <c r="J66" s="1117" t="s">
        <v>167</v>
      </c>
      <c r="K66" s="1118"/>
      <c r="L66" s="1118"/>
      <c r="M66" s="1119"/>
    </row>
    <row r="67" spans="2:21">
      <c r="B67" s="1106" t="s">
        <v>168</v>
      </c>
      <c r="C67" s="1107"/>
      <c r="D67" s="1107"/>
      <c r="E67" s="1107" t="s">
        <v>169</v>
      </c>
      <c r="F67" s="1107"/>
      <c r="G67" s="1107"/>
      <c r="H67" s="1107"/>
      <c r="I67" s="1162"/>
      <c r="J67" s="1161" t="s">
        <v>6</v>
      </c>
      <c r="K67" s="1107"/>
      <c r="L67" s="1107"/>
      <c r="M67" s="980" t="s">
        <v>170</v>
      </c>
      <c r="O67" s="1140" t="s">
        <v>171</v>
      </c>
      <c r="P67" s="1141"/>
      <c r="Q67" s="809" t="s">
        <v>172</v>
      </c>
      <c r="R67" s="806" t="s">
        <v>173</v>
      </c>
      <c r="S67" s="795" t="s">
        <v>174</v>
      </c>
      <c r="T67" s="795" t="s">
        <v>175</v>
      </c>
      <c r="U67" s="796" t="s">
        <v>176</v>
      </c>
    </row>
    <row r="68" spans="2:21" ht="15" customHeight="1">
      <c r="B68" s="1108" t="s">
        <v>177</v>
      </c>
      <c r="C68" s="1109"/>
      <c r="D68" s="1110"/>
      <c r="E68" s="1147" t="s">
        <v>178</v>
      </c>
      <c r="F68" s="1109"/>
      <c r="G68" s="1109"/>
      <c r="H68" s="1109"/>
      <c r="I68" s="1156"/>
      <c r="J68" s="1060" t="s">
        <v>179</v>
      </c>
      <c r="K68" s="1060"/>
      <c r="L68" s="1061"/>
      <c r="M68" s="1066" t="s">
        <v>180</v>
      </c>
      <c r="O68" s="790" t="s">
        <v>181</v>
      </c>
      <c r="P68" s="788" t="s">
        <v>182</v>
      </c>
      <c r="Q68" s="983">
        <v>522000000</v>
      </c>
      <c r="R68" s="808">
        <v>1</v>
      </c>
      <c r="S68" s="811">
        <f>Q68*R68/SUMPRODUCT(Q68:Q69,R68:R69)</f>
        <v>0.90909090909090906</v>
      </c>
      <c r="T68" s="791">
        <v>0.5</v>
      </c>
      <c r="U68" s="792" t="s">
        <v>29</v>
      </c>
    </row>
    <row r="69" spans="2:21" ht="15" customHeight="1">
      <c r="B69" s="1111"/>
      <c r="C69" s="1112"/>
      <c r="D69" s="1113"/>
      <c r="E69" s="1157"/>
      <c r="F69" s="1112"/>
      <c r="G69" s="1112"/>
      <c r="H69" s="1112"/>
      <c r="I69" s="1158"/>
      <c r="J69" s="1062"/>
      <c r="K69" s="1062"/>
      <c r="L69" s="1063"/>
      <c r="M69" s="1067"/>
      <c r="O69" s="797" t="s">
        <v>183</v>
      </c>
      <c r="P69" s="789" t="s">
        <v>184</v>
      </c>
      <c r="Q69" s="984">
        <v>522000000</v>
      </c>
      <c r="R69" s="807">
        <v>0.1</v>
      </c>
      <c r="S69" s="812">
        <f>R69*Q69/SUMPRODUCT(Q68:Q69,R68:R69)</f>
        <v>9.0909090909090912E-2</v>
      </c>
      <c r="T69" s="793">
        <v>0.5</v>
      </c>
      <c r="U69" s="794" t="s">
        <v>179</v>
      </c>
    </row>
    <row r="70" spans="2:21" ht="15" customHeight="1">
      <c r="B70" s="1111"/>
      <c r="C70" s="1112"/>
      <c r="D70" s="1113"/>
      <c r="E70" s="1157"/>
      <c r="F70" s="1112"/>
      <c r="G70" s="1112"/>
      <c r="H70" s="1112"/>
      <c r="I70" s="1158"/>
      <c r="J70" s="1062"/>
      <c r="K70" s="1062"/>
      <c r="L70" s="1063"/>
      <c r="M70" s="1067"/>
      <c r="S70" s="810"/>
    </row>
    <row r="71" spans="2:21" ht="15" customHeight="1">
      <c r="B71" s="1111"/>
      <c r="C71" s="1112"/>
      <c r="D71" s="1113"/>
      <c r="E71" s="1157"/>
      <c r="F71" s="1112"/>
      <c r="G71" s="1112"/>
      <c r="H71" s="1112"/>
      <c r="I71" s="1158"/>
      <c r="J71" s="1062"/>
      <c r="K71" s="1062"/>
      <c r="L71" s="1063"/>
      <c r="M71" s="1067"/>
    </row>
    <row r="72" spans="2:21">
      <c r="B72" s="1111"/>
      <c r="C72" s="1112"/>
      <c r="D72" s="1113"/>
      <c r="E72" s="1157"/>
      <c r="F72" s="1112"/>
      <c r="G72" s="1112"/>
      <c r="H72" s="1112"/>
      <c r="I72" s="1158"/>
      <c r="J72" s="1062"/>
      <c r="K72" s="1062"/>
      <c r="L72" s="1063"/>
      <c r="M72" s="1067"/>
    </row>
    <row r="73" spans="2:21" ht="12.75" customHeight="1">
      <c r="B73" s="1111"/>
      <c r="C73" s="1112"/>
      <c r="D73" s="1113"/>
      <c r="E73" s="1157"/>
      <c r="F73" s="1112"/>
      <c r="G73" s="1112"/>
      <c r="H73" s="1112"/>
      <c r="I73" s="1158"/>
      <c r="J73" s="1062"/>
      <c r="K73" s="1062"/>
      <c r="L73" s="1063"/>
      <c r="M73" s="1067"/>
      <c r="O73" s="1047" t="s">
        <v>179</v>
      </c>
      <c r="P73" s="1048"/>
      <c r="Q73" s="1047" t="s">
        <v>185</v>
      </c>
      <c r="R73" s="1053"/>
      <c r="S73" s="1049" t="s">
        <v>186</v>
      </c>
      <c r="T73" s="1050"/>
    </row>
    <row r="74" spans="2:21" ht="15" customHeight="1">
      <c r="B74" s="1111"/>
      <c r="C74" s="1112"/>
      <c r="D74" s="1113"/>
      <c r="E74" s="1157"/>
      <c r="F74" s="1112"/>
      <c r="G74" s="1112"/>
      <c r="H74" s="1112"/>
      <c r="I74" s="1158"/>
      <c r="J74" s="1062"/>
      <c r="K74" s="1062"/>
      <c r="L74" s="1063"/>
      <c r="M74" s="1067"/>
      <c r="O74" s="798" t="s">
        <v>181</v>
      </c>
      <c r="P74" s="800">
        <v>6263000</v>
      </c>
      <c r="Q74" s="804">
        <f>P74/Q68</f>
        <v>1.199808429118774E-2</v>
      </c>
      <c r="R74" s="1051">
        <f>Q74+Q75</f>
        <v>0.10299808429118773</v>
      </c>
      <c r="S74" s="802">
        <f>P74*50%/522000000</f>
        <v>5.9990421455938699E-3</v>
      </c>
      <c r="T74" s="1051">
        <f>S74+S75</f>
        <v>0.50599904214559388</v>
      </c>
      <c r="U74" s="1046" t="s">
        <v>187</v>
      </c>
    </row>
    <row r="75" spans="2:21">
      <c r="B75" s="1111"/>
      <c r="C75" s="1112"/>
      <c r="D75" s="1113"/>
      <c r="E75" s="1157"/>
      <c r="F75" s="1112"/>
      <c r="G75" s="1112"/>
      <c r="H75" s="1112"/>
      <c r="I75" s="1158"/>
      <c r="J75" s="1062"/>
      <c r="K75" s="1062"/>
      <c r="L75" s="1063"/>
      <c r="M75" s="1067"/>
      <c r="O75" s="799" t="s">
        <v>183</v>
      </c>
      <c r="P75" s="801">
        <v>522000000</v>
      </c>
      <c r="Q75" s="805">
        <v>9.0999999999999998E-2</v>
      </c>
      <c r="R75" s="1052"/>
      <c r="S75" s="803">
        <v>0.5</v>
      </c>
      <c r="T75" s="1052"/>
      <c r="U75" s="1046"/>
    </row>
    <row r="76" spans="2:21">
      <c r="B76" s="1111"/>
      <c r="C76" s="1112"/>
      <c r="D76" s="1113"/>
      <c r="E76" s="1157"/>
      <c r="F76" s="1112"/>
      <c r="G76" s="1112"/>
      <c r="H76" s="1112"/>
      <c r="I76" s="1158"/>
      <c r="J76" s="1062"/>
      <c r="K76" s="1062"/>
      <c r="L76" s="1063"/>
      <c r="M76" s="1067"/>
    </row>
    <row r="77" spans="2:21">
      <c r="B77" s="1114"/>
      <c r="C77" s="1115"/>
      <c r="D77" s="1116"/>
      <c r="E77" s="1159"/>
      <c r="F77" s="1115"/>
      <c r="G77" s="1115"/>
      <c r="H77" s="1115"/>
      <c r="I77" s="1160"/>
      <c r="J77" s="1062"/>
      <c r="K77" s="1062"/>
      <c r="L77" s="1063"/>
      <c r="M77" s="1067"/>
    </row>
    <row r="78" spans="2:21">
      <c r="B78" s="1106" t="s">
        <v>188</v>
      </c>
      <c r="C78" s="1107"/>
      <c r="D78" s="1107"/>
      <c r="E78" s="1107" t="s">
        <v>189</v>
      </c>
      <c r="F78" s="1107"/>
      <c r="G78" s="1107"/>
      <c r="H78" s="1107"/>
      <c r="I78" s="1162"/>
      <c r="J78" s="1062"/>
      <c r="K78" s="1062"/>
      <c r="L78" s="1063"/>
      <c r="M78" s="1067"/>
    </row>
    <row r="79" spans="2:21" ht="15" customHeight="1">
      <c r="B79" s="1172" t="s">
        <v>190</v>
      </c>
      <c r="C79" s="1148"/>
      <c r="D79" s="1173"/>
      <c r="E79" s="1147" t="s">
        <v>191</v>
      </c>
      <c r="F79" s="1148"/>
      <c r="G79" s="1148"/>
      <c r="H79" s="1148"/>
      <c r="I79" s="1149"/>
      <c r="J79" s="1062"/>
      <c r="K79" s="1062"/>
      <c r="L79" s="1063"/>
      <c r="M79" s="1067"/>
    </row>
    <row r="80" spans="2:21" ht="15" customHeight="1">
      <c r="B80" s="1174"/>
      <c r="C80" s="1151"/>
      <c r="D80" s="1175"/>
      <c r="E80" s="1150"/>
      <c r="F80" s="1151"/>
      <c r="G80" s="1151"/>
      <c r="H80" s="1151"/>
      <c r="I80" s="1152"/>
      <c r="J80" s="1062"/>
      <c r="K80" s="1062"/>
      <c r="L80" s="1063"/>
      <c r="M80" s="1067"/>
    </row>
    <row r="81" spans="2:13" ht="15" customHeight="1">
      <c r="B81" s="1174"/>
      <c r="C81" s="1151"/>
      <c r="D81" s="1175"/>
      <c r="E81" s="1150"/>
      <c r="F81" s="1151"/>
      <c r="G81" s="1151"/>
      <c r="H81" s="1151"/>
      <c r="I81" s="1152"/>
      <c r="J81" s="1062"/>
      <c r="K81" s="1062"/>
      <c r="L81" s="1063"/>
      <c r="M81" s="1067"/>
    </row>
    <row r="82" spans="2:13" ht="15" customHeight="1">
      <c r="B82" s="1174"/>
      <c r="C82" s="1151"/>
      <c r="D82" s="1175"/>
      <c r="E82" s="1150"/>
      <c r="F82" s="1151"/>
      <c r="G82" s="1151"/>
      <c r="H82" s="1151"/>
      <c r="I82" s="1152"/>
      <c r="J82" s="1062"/>
      <c r="K82" s="1062"/>
      <c r="L82" s="1063"/>
      <c r="M82" s="1067"/>
    </row>
    <row r="83" spans="2:13" ht="15" customHeight="1">
      <c r="B83" s="1174"/>
      <c r="C83" s="1151"/>
      <c r="D83" s="1175"/>
      <c r="E83" s="1150"/>
      <c r="F83" s="1151"/>
      <c r="G83" s="1151"/>
      <c r="H83" s="1151"/>
      <c r="I83" s="1152"/>
      <c r="J83" s="1062"/>
      <c r="K83" s="1062"/>
      <c r="L83" s="1063"/>
      <c r="M83" s="1067"/>
    </row>
    <row r="84" spans="2:13">
      <c r="B84" s="1174"/>
      <c r="C84" s="1151"/>
      <c r="D84" s="1175"/>
      <c r="E84" s="1150"/>
      <c r="F84" s="1151"/>
      <c r="G84" s="1151"/>
      <c r="H84" s="1151"/>
      <c r="I84" s="1152"/>
      <c r="J84" s="1062"/>
      <c r="K84" s="1062"/>
      <c r="L84" s="1063"/>
      <c r="M84" s="1067"/>
    </row>
    <row r="85" spans="2:13">
      <c r="B85" s="1174"/>
      <c r="C85" s="1151"/>
      <c r="D85" s="1175"/>
      <c r="E85" s="1150"/>
      <c r="F85" s="1151"/>
      <c r="G85" s="1151"/>
      <c r="H85" s="1151"/>
      <c r="I85" s="1152"/>
      <c r="J85" s="1062"/>
      <c r="K85" s="1062"/>
      <c r="L85" s="1063"/>
      <c r="M85" s="1067"/>
    </row>
    <row r="86" spans="2:13">
      <c r="B86" s="1174"/>
      <c r="C86" s="1151"/>
      <c r="D86" s="1175"/>
      <c r="E86" s="1150"/>
      <c r="F86" s="1151"/>
      <c r="G86" s="1151"/>
      <c r="H86" s="1151"/>
      <c r="I86" s="1152"/>
      <c r="J86" s="1062"/>
      <c r="K86" s="1062"/>
      <c r="L86" s="1063"/>
      <c r="M86" s="1067"/>
    </row>
    <row r="87" spans="2:13">
      <c r="B87" s="1176"/>
      <c r="C87" s="1154"/>
      <c r="D87" s="1177"/>
      <c r="E87" s="1153"/>
      <c r="F87" s="1154"/>
      <c r="G87" s="1154"/>
      <c r="H87" s="1154"/>
      <c r="I87" s="1155"/>
      <c r="J87" s="1064"/>
      <c r="K87" s="1064"/>
      <c r="L87" s="1065"/>
      <c r="M87" s="1068"/>
    </row>
    <row r="88" spans="2:13" ht="15.75">
      <c r="B88" s="1178" t="s">
        <v>189</v>
      </c>
      <c r="C88" s="1179"/>
      <c r="D88" s="1179"/>
      <c r="E88" s="1179"/>
      <c r="F88" s="1179"/>
      <c r="G88" s="1145" t="s">
        <v>192</v>
      </c>
      <c r="H88" s="1145"/>
      <c r="I88" s="1145"/>
      <c r="J88" s="1145"/>
      <c r="K88" s="1145"/>
      <c r="L88" s="1145"/>
      <c r="M88" s="1146"/>
    </row>
    <row r="89" spans="2:13" s="11" customFormat="1">
      <c r="B89" s="1163" t="s">
        <v>193</v>
      </c>
      <c r="C89" s="1164"/>
      <c r="D89" s="1164"/>
      <c r="E89" s="1164"/>
      <c r="F89" s="1165"/>
      <c r="G89"/>
      <c r="H89"/>
      <c r="I89"/>
      <c r="J89"/>
      <c r="K89"/>
      <c r="L89"/>
      <c r="M89" s="47"/>
    </row>
    <row r="90" spans="2:13">
      <c r="B90" s="1166"/>
      <c r="C90" s="1167"/>
      <c r="D90" s="1167"/>
      <c r="E90" s="1167"/>
      <c r="F90" s="1168"/>
      <c r="M90" s="47"/>
    </row>
    <row r="91" spans="2:13">
      <c r="B91" s="1166"/>
      <c r="C91" s="1167"/>
      <c r="D91" s="1167"/>
      <c r="E91" s="1167"/>
      <c r="F91" s="1168"/>
      <c r="M91" s="47"/>
    </row>
    <row r="92" spans="2:13">
      <c r="B92" s="1166"/>
      <c r="C92" s="1167"/>
      <c r="D92" s="1167"/>
      <c r="E92" s="1167"/>
      <c r="F92" s="1168"/>
      <c r="M92" s="47"/>
    </row>
    <row r="93" spans="2:13">
      <c r="B93" s="1166"/>
      <c r="C93" s="1167"/>
      <c r="D93" s="1167"/>
      <c r="E93" s="1167"/>
      <c r="F93" s="1168"/>
      <c r="M93" s="47"/>
    </row>
    <row r="94" spans="2:13">
      <c r="B94" s="1166"/>
      <c r="C94" s="1167"/>
      <c r="D94" s="1167"/>
      <c r="E94" s="1167"/>
      <c r="F94" s="1168"/>
      <c r="M94" s="47"/>
    </row>
    <row r="95" spans="2:13">
      <c r="B95" s="1166"/>
      <c r="C95" s="1167"/>
      <c r="D95" s="1167"/>
      <c r="E95" s="1167"/>
      <c r="F95" s="1168"/>
      <c r="M95" s="47"/>
    </row>
    <row r="96" spans="2:13">
      <c r="B96" s="1166"/>
      <c r="C96" s="1167"/>
      <c r="D96" s="1167"/>
      <c r="E96" s="1167"/>
      <c r="F96" s="1168"/>
      <c r="M96" s="47"/>
    </row>
    <row r="97" spans="2:13">
      <c r="B97" s="1166"/>
      <c r="C97" s="1167"/>
      <c r="D97" s="1167"/>
      <c r="E97" s="1167"/>
      <c r="F97" s="1168"/>
      <c r="M97" s="47"/>
    </row>
    <row r="98" spans="2:13">
      <c r="B98" s="1166"/>
      <c r="C98" s="1167"/>
      <c r="D98" s="1167"/>
      <c r="E98" s="1167"/>
      <c r="F98" s="1168"/>
      <c r="M98" s="47"/>
    </row>
    <row r="99" spans="2:13">
      <c r="B99" s="1166"/>
      <c r="C99" s="1167"/>
      <c r="D99" s="1167"/>
      <c r="E99" s="1167"/>
      <c r="F99" s="1168"/>
      <c r="M99" s="47"/>
    </row>
    <row r="100" spans="2:13">
      <c r="B100" s="1166"/>
      <c r="C100" s="1167"/>
      <c r="D100" s="1167"/>
      <c r="E100" s="1167"/>
      <c r="F100" s="1168"/>
      <c r="M100" s="47"/>
    </row>
    <row r="101" spans="2:13">
      <c r="B101" s="1166"/>
      <c r="C101" s="1167"/>
      <c r="D101" s="1167"/>
      <c r="E101" s="1167"/>
      <c r="F101" s="1168"/>
      <c r="M101" s="47"/>
    </row>
    <row r="102" spans="2:13">
      <c r="B102" s="1166"/>
      <c r="C102" s="1167"/>
      <c r="D102" s="1167"/>
      <c r="E102" s="1167"/>
      <c r="F102" s="1168"/>
      <c r="M102" s="47"/>
    </row>
    <row r="103" spans="2:13">
      <c r="B103" s="1166"/>
      <c r="C103" s="1167"/>
      <c r="D103" s="1167"/>
      <c r="E103" s="1167"/>
      <c r="F103" s="1168"/>
      <c r="M103" s="47"/>
    </row>
    <row r="104" spans="2:13">
      <c r="B104" s="1166"/>
      <c r="C104" s="1167"/>
      <c r="D104" s="1167"/>
      <c r="E104" s="1167"/>
      <c r="F104" s="1168"/>
      <c r="M104" s="47"/>
    </row>
    <row r="105" spans="2:13">
      <c r="B105" s="1166"/>
      <c r="C105" s="1167"/>
      <c r="D105" s="1167"/>
      <c r="E105" s="1167"/>
      <c r="F105" s="1168"/>
      <c r="M105" s="47"/>
    </row>
    <row r="106" spans="2:13">
      <c r="B106" s="1166"/>
      <c r="C106" s="1167"/>
      <c r="D106" s="1167"/>
      <c r="E106" s="1167"/>
      <c r="F106" s="1168"/>
      <c r="M106" s="47"/>
    </row>
    <row r="107" spans="2:13">
      <c r="B107" s="1166"/>
      <c r="C107" s="1167"/>
      <c r="D107" s="1167"/>
      <c r="E107" s="1167"/>
      <c r="F107" s="1168"/>
      <c r="M107" s="47"/>
    </row>
    <row r="108" spans="2:13">
      <c r="B108" s="1166"/>
      <c r="C108" s="1167"/>
      <c r="D108" s="1167"/>
      <c r="E108" s="1167"/>
      <c r="F108" s="1168"/>
      <c r="M108" s="47"/>
    </row>
    <row r="109" spans="2:13">
      <c r="B109" s="1166"/>
      <c r="C109" s="1167"/>
      <c r="D109" s="1167"/>
      <c r="E109" s="1167"/>
      <c r="F109" s="1168"/>
      <c r="M109" s="47"/>
    </row>
    <row r="110" spans="2:13">
      <c r="B110" s="1166"/>
      <c r="C110" s="1167"/>
      <c r="D110" s="1167"/>
      <c r="E110" s="1167"/>
      <c r="F110" s="1168"/>
      <c r="M110" s="47"/>
    </row>
    <row r="111" spans="2:13">
      <c r="B111" s="1166"/>
      <c r="C111" s="1167"/>
      <c r="D111" s="1167"/>
      <c r="E111" s="1167"/>
      <c r="F111" s="1168"/>
      <c r="M111" s="47"/>
    </row>
    <row r="112" spans="2:13">
      <c r="B112" s="1166"/>
      <c r="C112" s="1167"/>
      <c r="D112" s="1167"/>
      <c r="E112" s="1167"/>
      <c r="F112" s="1168"/>
      <c r="M112" s="47"/>
    </row>
    <row r="113" spans="2:13">
      <c r="B113" s="1166"/>
      <c r="C113" s="1167"/>
      <c r="D113" s="1167"/>
      <c r="E113" s="1167"/>
      <c r="F113" s="1168"/>
      <c r="M113" s="47"/>
    </row>
    <row r="114" spans="2:13" ht="48" customHeight="1">
      <c r="B114" s="1169"/>
      <c r="C114" s="1170"/>
      <c r="D114" s="1170"/>
      <c r="E114" s="1170"/>
      <c r="F114" s="1171"/>
      <c r="G114" s="1144" t="e" vm="1">
        <f>Peers!C51</f>
        <v>#VALUE!</v>
      </c>
      <c r="H114" s="1144"/>
      <c r="I114" s="1142" t="e" vm="2">
        <f>Peers!D51</f>
        <v>#VALUE!</v>
      </c>
      <c r="J114" s="1143"/>
      <c r="K114" s="506" t="e" vm="3">
        <f>Peers!E51</f>
        <v>#VALUE!</v>
      </c>
      <c r="L114" s="507" t="e" vm="4">
        <f>Peers!F51</f>
        <v>#VALUE!</v>
      </c>
      <c r="M114" s="464" t="e" vm="5">
        <f>Peers!G51</f>
        <v>#VALUE!</v>
      </c>
    </row>
    <row r="116" spans="2:13">
      <c r="B116" t="s">
        <v>194</v>
      </c>
    </row>
    <row r="117" spans="2:13">
      <c r="B117" t="e" vm="6">
        <v>#VALUE!</v>
      </c>
      <c r="C117" s="508" cm="1">
        <f t="array" aca="1" ref="C117" ca="1">_FV(B117,"Price",TRUE)</f>
        <v>1.0670999999999999</v>
      </c>
      <c r="D117" s="497"/>
      <c r="E117" s="497"/>
    </row>
    <row r="118" spans="2:13">
      <c r="B118" t="e" vm="7">
        <v>#VALUE!</v>
      </c>
      <c r="C118" s="946" cm="1">
        <f t="array" aca="1" ref="C118" ca="1">_FV(B118,"Price",TRUE)</f>
        <v>0.9365</v>
      </c>
    </row>
  </sheetData>
  <mergeCells count="94">
    <mergeCell ref="F32:G32"/>
    <mergeCell ref="F33:G33"/>
    <mergeCell ref="H40:M40"/>
    <mergeCell ref="H41:M44"/>
    <mergeCell ref="F29:G29"/>
    <mergeCell ref="F30:G30"/>
    <mergeCell ref="B3:C21"/>
    <mergeCell ref="B66:I66"/>
    <mergeCell ref="B40:G40"/>
    <mergeCell ref="I24:K24"/>
    <mergeCell ref="C49:G49"/>
    <mergeCell ref="C48:G48"/>
    <mergeCell ref="B45:G45"/>
    <mergeCell ref="C46:G46"/>
    <mergeCell ref="C41:G41"/>
    <mergeCell ref="B65:M65"/>
    <mergeCell ref="C42:G42"/>
    <mergeCell ref="B39:M39"/>
    <mergeCell ref="J25:K25"/>
    <mergeCell ref="F34:G34"/>
    <mergeCell ref="C43:G43"/>
    <mergeCell ref="C44:G44"/>
    <mergeCell ref="O67:P67"/>
    <mergeCell ref="I114:J114"/>
    <mergeCell ref="G114:H114"/>
    <mergeCell ref="G88:M88"/>
    <mergeCell ref="E79:I87"/>
    <mergeCell ref="E68:I77"/>
    <mergeCell ref="J67:L67"/>
    <mergeCell ref="E78:I78"/>
    <mergeCell ref="E67:I67"/>
    <mergeCell ref="B89:F114"/>
    <mergeCell ref="B79:D87"/>
    <mergeCell ref="B88:F88"/>
    <mergeCell ref="B35:C35"/>
    <mergeCell ref="D24:E24"/>
    <mergeCell ref="B23:M23"/>
    <mergeCell ref="B67:D67"/>
    <mergeCell ref="B78:D78"/>
    <mergeCell ref="B68:D77"/>
    <mergeCell ref="J66:M66"/>
    <mergeCell ref="J51:M51"/>
    <mergeCell ref="B50:M50"/>
    <mergeCell ref="H46:H49"/>
    <mergeCell ref="C47:G47"/>
    <mergeCell ref="M46:M49"/>
    <mergeCell ref="L46:L49"/>
    <mergeCell ref="I46:I49"/>
    <mergeCell ref="J46:K49"/>
    <mergeCell ref="F31:G31"/>
    <mergeCell ref="F24:H24"/>
    <mergeCell ref="F27:G27"/>
    <mergeCell ref="F28:G28"/>
    <mergeCell ref="B22:C22"/>
    <mergeCell ref="L24:M24"/>
    <mergeCell ref="B24:C24"/>
    <mergeCell ref="F26:G26"/>
    <mergeCell ref="E2:K2"/>
    <mergeCell ref="F25:G25"/>
    <mergeCell ref="F37:G37"/>
    <mergeCell ref="F35:G35"/>
    <mergeCell ref="J26:K26"/>
    <mergeCell ref="I27:J27"/>
    <mergeCell ref="I28:J28"/>
    <mergeCell ref="I29:J29"/>
    <mergeCell ref="I30:J30"/>
    <mergeCell ref="I31:J31"/>
    <mergeCell ref="I32:J32"/>
    <mergeCell ref="I33:J33"/>
    <mergeCell ref="F36:G36"/>
    <mergeCell ref="D4:G22"/>
    <mergeCell ref="D3:G3"/>
    <mergeCell ref="H3:M3"/>
    <mergeCell ref="I45:M45"/>
    <mergeCell ref="J53:K53"/>
    <mergeCell ref="J54:K54"/>
    <mergeCell ref="J55:K55"/>
    <mergeCell ref="J56:K56"/>
    <mergeCell ref="J57:K57"/>
    <mergeCell ref="J58:K58"/>
    <mergeCell ref="J59:K59"/>
    <mergeCell ref="J60:K60"/>
    <mergeCell ref="J61:K61"/>
    <mergeCell ref="J62:K62"/>
    <mergeCell ref="J63:K63"/>
    <mergeCell ref="J64:K64"/>
    <mergeCell ref="J68:L87"/>
    <mergeCell ref="M68:M87"/>
    <mergeCell ref="U74:U75"/>
    <mergeCell ref="O73:P73"/>
    <mergeCell ref="S73:T73"/>
    <mergeCell ref="T74:T75"/>
    <mergeCell ref="R74:R75"/>
    <mergeCell ref="Q73:R73"/>
  </mergeCells>
  <phoneticPr fontId="0" type="noConversion"/>
  <conditionalFormatting sqref="C52:C60 D52:E52">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52:D60">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53:D60">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52:E60">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53:E60">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61:E64 G61:G64 I61:I64">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52:F60">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52:G60">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6:H34">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36:H38">
    <cfRule type="dataBar" priority="90">
      <dataBar>
        <cfvo type="min"/>
        <cfvo type="max"/>
        <color rgb="FF638EC6"/>
      </dataBar>
      <extLst>
        <ext xmlns:x14="http://schemas.microsoft.com/office/spreadsheetml/2009/9/main" uri="{B025F937-C7B1-47D3-B67F-A62EFF666E3E}">
          <x14:id>{6EB89896-7685-489D-A212-BEDCDA6C1614}</x14:id>
        </ext>
      </extLst>
    </cfRule>
  </conditionalFormatting>
  <conditionalFormatting sqref="H52:H60">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52:I60">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M46">
    <cfRule type="cellIs" dxfId="31" priority="1" operator="lessThan">
      <formula>0</formula>
    </cfRule>
    <cfRule type="cellIs" dxfId="30" priority="2"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53:S63"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C52:C60 D52:E52</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D52:D60</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D53:D60</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E52:E60</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E53:E60</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E61:E64 G61:G64 I61:I64</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F52:F60</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G52:G60</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H26:H34</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H36:H38</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H52:H60</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I52:I60</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A1:AA78"/>
  <sheetViews>
    <sheetView showGridLines="0" topLeftCell="A31" workbookViewId="0">
      <selection activeCell="B46" sqref="B46"/>
    </sheetView>
  </sheetViews>
  <sheetFormatPr defaultColWidth="11.42578125" defaultRowHeight="12.75"/>
  <cols>
    <col min="1" max="1" width="2.140625" customWidth="1"/>
    <col min="2" max="2" width="11.140625" customWidth="1"/>
    <col min="3" max="3" width="42.85546875" customWidth="1"/>
    <col min="4" max="4" width="15.42578125" style="2" customWidth="1"/>
    <col min="5" max="9" width="15.42578125" customWidth="1"/>
    <col min="10" max="10" width="11.5703125" bestFit="1" customWidth="1"/>
    <col min="11" max="11" width="11.42578125" bestFit="1" customWidth="1"/>
    <col min="16" max="16" width="18.7109375" customWidth="1"/>
    <col min="17" max="17" width="23.42578125" customWidth="1"/>
  </cols>
  <sheetData>
    <row r="1" spans="2:25" ht="7.5" customHeight="1"/>
    <row r="2" spans="2:25" ht="20.25">
      <c r="B2" s="1226" t="str">
        <f>"Regions "&amp;"("&amp;OP!$J$25&amp;")"</f>
        <v>Regions (2023)</v>
      </c>
      <c r="C2" s="1226"/>
      <c r="D2" s="1226"/>
      <c r="E2" s="1226"/>
      <c r="F2" s="1226"/>
      <c r="G2" s="1226"/>
      <c r="H2" s="1226"/>
      <c r="I2" s="1226"/>
      <c r="J2" s="1226"/>
      <c r="K2" s="1226"/>
      <c r="L2" s="1226"/>
      <c r="M2" s="1226"/>
      <c r="N2" s="1226"/>
      <c r="O2" s="1226"/>
      <c r="P2" s="1226"/>
      <c r="Q2" s="1224" t="s">
        <v>195</v>
      </c>
      <c r="R2" s="1224"/>
      <c r="S2" s="1224"/>
      <c r="T2" s="1224"/>
      <c r="U2" s="1224"/>
      <c r="V2" s="1224"/>
      <c r="W2" s="1224"/>
      <c r="X2" s="1224"/>
      <c r="Y2" s="1224"/>
    </row>
    <row r="3" spans="2:25" ht="18">
      <c r="B3" s="143"/>
      <c r="C3" s="144"/>
      <c r="D3" s="1233" t="s">
        <v>196</v>
      </c>
      <c r="E3" s="1233"/>
      <c r="F3" s="1233"/>
      <c r="G3" s="1233"/>
      <c r="H3" s="1233"/>
      <c r="I3" s="1233"/>
      <c r="J3" s="129"/>
      <c r="K3" s="1225" t="s">
        <v>197</v>
      </c>
      <c r="L3" s="1225"/>
      <c r="M3" s="1225"/>
      <c r="N3" s="1225"/>
      <c r="O3" s="1225"/>
      <c r="P3" s="1225"/>
      <c r="Q3" s="121"/>
      <c r="Y3" s="139"/>
    </row>
    <row r="4" spans="2:25">
      <c r="B4" s="134" t="s">
        <v>198</v>
      </c>
      <c r="C4" s="135" t="s">
        <v>199</v>
      </c>
      <c r="D4" s="136">
        <f>OP!J25</f>
        <v>2023</v>
      </c>
      <c r="E4" s="990">
        <f>D4-1</f>
        <v>2022</v>
      </c>
      <c r="F4" s="136">
        <f>E4-1</f>
        <v>2021</v>
      </c>
      <c r="G4" s="136">
        <f>F4-1</f>
        <v>2020</v>
      </c>
      <c r="H4" s="136">
        <f>G4-1</f>
        <v>2019</v>
      </c>
      <c r="I4" s="136">
        <f>H4-1</f>
        <v>2018</v>
      </c>
      <c r="J4" s="130"/>
      <c r="K4" s="136">
        <f>OP!J25</f>
        <v>2023</v>
      </c>
      <c r="L4" s="136">
        <f t="shared" ref="L4:O4" si="0">K4-1</f>
        <v>2022</v>
      </c>
      <c r="M4" s="136">
        <f t="shared" si="0"/>
        <v>2021</v>
      </c>
      <c r="N4" s="136">
        <f t="shared" si="0"/>
        <v>2020</v>
      </c>
      <c r="O4" s="136">
        <f t="shared" si="0"/>
        <v>2019</v>
      </c>
      <c r="P4" s="131"/>
      <c r="Q4" s="121"/>
      <c r="Y4" s="139"/>
    </row>
    <row r="5" spans="2:25">
      <c r="B5" s="132">
        <f t="shared" ref="B5:B15" si="1">IFERROR(D5/$D$16,"")</f>
        <v>0.25224277051070015</v>
      </c>
      <c r="C5" s="133" t="s">
        <v>200</v>
      </c>
      <c r="D5" s="985">
        <v>5033</v>
      </c>
      <c r="E5" s="985">
        <v>5395</v>
      </c>
      <c r="F5" s="137">
        <v>4366</v>
      </c>
      <c r="G5" s="137">
        <v>3085</v>
      </c>
      <c r="H5" s="137">
        <v>3480</v>
      </c>
      <c r="I5" s="137">
        <v>2955</v>
      </c>
      <c r="J5" s="131"/>
      <c r="K5" s="986">
        <f t="shared" ref="K5:O13" si="2">(D5-E5)/E5</f>
        <v>-6.7099165894346613E-2</v>
      </c>
      <c r="L5" s="243">
        <f t="shared" si="2"/>
        <v>0.23568483737975263</v>
      </c>
      <c r="M5" s="989">
        <f t="shared" si="2"/>
        <v>0.41523500810372771</v>
      </c>
      <c r="N5" s="243">
        <f t="shared" si="2"/>
        <v>-0.11350574712643678</v>
      </c>
      <c r="O5" s="243">
        <f t="shared" si="2"/>
        <v>0.17766497461928935</v>
      </c>
      <c r="P5" s="131"/>
      <c r="Q5" s="121"/>
      <c r="Y5" s="139"/>
    </row>
    <row r="6" spans="2:25">
      <c r="B6" s="132">
        <f t="shared" si="1"/>
        <v>0.22387610885581116</v>
      </c>
      <c r="C6" s="133" t="s">
        <v>201</v>
      </c>
      <c r="D6" s="985">
        <v>4467</v>
      </c>
      <c r="E6" s="985">
        <v>3528</v>
      </c>
      <c r="F6" s="985">
        <v>2388</v>
      </c>
      <c r="G6" s="137">
        <v>2806</v>
      </c>
      <c r="H6" s="137">
        <v>2551</v>
      </c>
      <c r="I6" s="137">
        <v>1806</v>
      </c>
      <c r="J6" s="131"/>
      <c r="K6" s="243">
        <f t="shared" ref="K6:O12" si="3">(D6-E6)/E6</f>
        <v>0.266156462585034</v>
      </c>
      <c r="L6" s="243">
        <f t="shared" si="3"/>
        <v>0.47738693467336685</v>
      </c>
      <c r="M6" s="243">
        <f t="shared" si="3"/>
        <v>-0.14896650035637918</v>
      </c>
      <c r="N6" s="243">
        <f t="shared" si="3"/>
        <v>9.9960799686397497E-2</v>
      </c>
      <c r="O6" s="243">
        <f t="shared" si="3"/>
        <v>0.4125138427464009</v>
      </c>
      <c r="P6" s="131"/>
      <c r="Q6" s="121"/>
      <c r="Y6" s="139"/>
    </row>
    <row r="7" spans="2:25">
      <c r="B7" s="132">
        <f>IFERROR(D7/$D$16,"")</f>
        <v>0.13907683055179673</v>
      </c>
      <c r="C7" s="133" t="s">
        <v>202</v>
      </c>
      <c r="D7" s="985">
        <v>2775</v>
      </c>
      <c r="E7" s="985">
        <v>2289</v>
      </c>
      <c r="F7" s="985">
        <v>2290</v>
      </c>
      <c r="G7" s="137">
        <v>2071</v>
      </c>
      <c r="H7" s="137">
        <v>2864</v>
      </c>
      <c r="I7" s="137">
        <v>1855</v>
      </c>
      <c r="J7" s="131"/>
      <c r="K7" s="243">
        <f t="shared" ref="K7:O9" si="4">(D7-E7)/E7</f>
        <v>0.21231979030144169</v>
      </c>
      <c r="L7" s="243">
        <f t="shared" si="4"/>
        <v>-4.3668122270742359E-4</v>
      </c>
      <c r="M7" s="989">
        <f t="shared" si="4"/>
        <v>0.10574601641718977</v>
      </c>
      <c r="N7" s="243">
        <f t="shared" si="4"/>
        <v>-0.27688547486033521</v>
      </c>
      <c r="O7" s="243">
        <f t="shared" si="4"/>
        <v>0.54393530997304584</v>
      </c>
      <c r="P7" s="131"/>
      <c r="Q7" s="121"/>
      <c r="Y7" s="139"/>
    </row>
    <row r="8" spans="2:25">
      <c r="B8" s="132">
        <f>IFERROR(D8/$D$16,"")</f>
        <v>9.1565178168696443E-2</v>
      </c>
      <c r="C8" s="133" t="s">
        <v>203</v>
      </c>
      <c r="D8" s="985">
        <v>1827</v>
      </c>
      <c r="E8" s="985">
        <v>1185</v>
      </c>
      <c r="F8" s="137">
        <v>918</v>
      </c>
      <c r="G8" s="137">
        <v>1089</v>
      </c>
      <c r="H8" s="137">
        <v>1056</v>
      </c>
      <c r="I8" s="137">
        <v>793</v>
      </c>
      <c r="J8" s="131"/>
      <c r="K8" s="986">
        <f t="shared" si="4"/>
        <v>0.54177215189873418</v>
      </c>
      <c r="L8" s="243">
        <f t="shared" si="4"/>
        <v>0.2908496732026144</v>
      </c>
      <c r="M8" s="243">
        <f t="shared" si="4"/>
        <v>-0.15702479338842976</v>
      </c>
      <c r="N8" s="243">
        <f t="shared" si="4"/>
        <v>3.125E-2</v>
      </c>
      <c r="O8" s="243">
        <f t="shared" si="4"/>
        <v>0.3316519546027743</v>
      </c>
      <c r="P8" s="131"/>
      <c r="Q8" s="121"/>
      <c r="Y8" s="139"/>
    </row>
    <row r="9" spans="2:25">
      <c r="B9" s="132">
        <f>IFERROR(D9/$D$16,"")</f>
        <v>8.0990327269082341E-2</v>
      </c>
      <c r="C9" s="133" t="s">
        <v>204</v>
      </c>
      <c r="D9" s="137">
        <v>1616</v>
      </c>
      <c r="E9" s="137">
        <v>1118</v>
      </c>
      <c r="F9" s="137">
        <v>940</v>
      </c>
      <c r="G9" s="137">
        <v>1212</v>
      </c>
      <c r="H9" s="137">
        <v>1148</v>
      </c>
      <c r="I9" s="137">
        <v>980</v>
      </c>
      <c r="J9" s="131"/>
      <c r="K9" s="986">
        <f t="shared" si="4"/>
        <v>0.44543828264758495</v>
      </c>
      <c r="L9" s="243">
        <f t="shared" si="4"/>
        <v>0.18936170212765957</v>
      </c>
      <c r="M9" s="243">
        <f t="shared" si="4"/>
        <v>-0.22442244224422442</v>
      </c>
      <c r="N9" s="243">
        <f t="shared" si="4"/>
        <v>5.5749128919860627E-2</v>
      </c>
      <c r="O9" s="243">
        <f t="shared" si="4"/>
        <v>0.17142857142857143</v>
      </c>
      <c r="P9" s="131"/>
      <c r="Q9" s="121"/>
      <c r="Y9" s="139"/>
    </row>
    <row r="10" spans="2:25">
      <c r="B10" s="132">
        <f t="shared" si="1"/>
        <v>7.8283967323209538E-2</v>
      </c>
      <c r="C10" s="133" t="s">
        <v>205</v>
      </c>
      <c r="D10" s="137">
        <v>1562</v>
      </c>
      <c r="E10" s="137">
        <v>1264</v>
      </c>
      <c r="F10" s="137">
        <v>924</v>
      </c>
      <c r="G10" s="137">
        <v>930</v>
      </c>
      <c r="H10" s="137">
        <v>929</v>
      </c>
      <c r="I10" s="137">
        <v>856</v>
      </c>
      <c r="J10" s="131"/>
      <c r="K10" s="243">
        <f t="shared" si="3"/>
        <v>0.23575949367088608</v>
      </c>
      <c r="L10" s="243">
        <f t="shared" si="3"/>
        <v>0.36796536796536794</v>
      </c>
      <c r="M10" s="243">
        <f t="shared" si="3"/>
        <v>-6.4516129032258064E-3</v>
      </c>
      <c r="N10" s="243">
        <f t="shared" si="3"/>
        <v>1.076426264800861E-3</v>
      </c>
      <c r="O10" s="243">
        <f t="shared" si="3"/>
        <v>8.5280373831775697E-2</v>
      </c>
      <c r="P10" s="131"/>
      <c r="Q10" s="121"/>
      <c r="Y10" s="139"/>
    </row>
    <row r="11" spans="2:25">
      <c r="B11" s="132">
        <f t="shared" si="1"/>
        <v>5.3976845587129757E-2</v>
      </c>
      <c r="C11" s="133" t="s">
        <v>206</v>
      </c>
      <c r="D11" s="137">
        <v>1077</v>
      </c>
      <c r="E11" s="137">
        <v>907</v>
      </c>
      <c r="F11" s="137">
        <v>653</v>
      </c>
      <c r="G11" s="137">
        <v>818</v>
      </c>
      <c r="H11" s="137">
        <v>707</v>
      </c>
      <c r="I11" s="137">
        <v>604</v>
      </c>
      <c r="J11" s="131"/>
      <c r="K11" s="243">
        <f t="shared" si="3"/>
        <v>0.1874310915104741</v>
      </c>
      <c r="L11" s="243">
        <f t="shared" si="3"/>
        <v>0.3889739663093415</v>
      </c>
      <c r="M11" s="243">
        <f t="shared" si="3"/>
        <v>-0.2017114914425428</v>
      </c>
      <c r="N11" s="243">
        <f t="shared" si="3"/>
        <v>0.15700141442715701</v>
      </c>
      <c r="O11" s="243">
        <f t="shared" si="3"/>
        <v>0.17052980132450332</v>
      </c>
      <c r="P11" s="131"/>
      <c r="Q11" s="121"/>
      <c r="Y11" s="139"/>
    </row>
    <row r="12" spans="2:25">
      <c r="B12" s="132">
        <f t="shared" si="1"/>
        <v>5.0167894552197667E-2</v>
      </c>
      <c r="C12" s="133" t="s">
        <v>207</v>
      </c>
      <c r="D12" s="137">
        <v>1001</v>
      </c>
      <c r="E12" s="137">
        <v>636</v>
      </c>
      <c r="F12" s="137">
        <v>411</v>
      </c>
      <c r="G12" s="137">
        <v>739</v>
      </c>
      <c r="H12" s="137">
        <v>772</v>
      </c>
      <c r="I12" s="137">
        <v>721</v>
      </c>
      <c r="J12" s="131"/>
      <c r="K12" s="243">
        <f t="shared" si="3"/>
        <v>0.57389937106918243</v>
      </c>
      <c r="L12" s="243">
        <f t="shared" si="3"/>
        <v>0.54744525547445255</v>
      </c>
      <c r="M12" s="243">
        <f t="shared" si="3"/>
        <v>-0.44384303112313939</v>
      </c>
      <c r="N12" s="243">
        <f t="shared" si="3"/>
        <v>-4.2746113989637305E-2</v>
      </c>
      <c r="O12" s="243">
        <f t="shared" si="3"/>
        <v>7.0735090152565877E-2</v>
      </c>
      <c r="P12" s="131"/>
      <c r="Q12" s="121"/>
      <c r="Y12" s="139"/>
    </row>
    <row r="13" spans="2:25">
      <c r="B13" s="132">
        <f t="shared" si="1"/>
        <v>2.9820077181376234E-2</v>
      </c>
      <c r="C13" s="123" t="s">
        <v>208</v>
      </c>
      <c r="D13" s="127">
        <v>595</v>
      </c>
      <c r="E13" s="127">
        <v>426</v>
      </c>
      <c r="F13" s="127">
        <v>254</v>
      </c>
      <c r="G13" s="127">
        <v>464</v>
      </c>
      <c r="H13" s="127">
        <v>482</v>
      </c>
      <c r="I13" s="127">
        <v>443</v>
      </c>
      <c r="J13" s="131"/>
      <c r="K13" s="243">
        <f t="shared" si="2"/>
        <v>0.39671361502347419</v>
      </c>
      <c r="L13" s="243">
        <f t="shared" si="2"/>
        <v>0.67716535433070868</v>
      </c>
      <c r="M13" s="243">
        <f t="shared" si="2"/>
        <v>-0.45258620689655171</v>
      </c>
      <c r="N13" s="243">
        <f t="shared" si="2"/>
        <v>-3.7344398340248962E-2</v>
      </c>
      <c r="O13" s="243">
        <f t="shared" si="2"/>
        <v>8.8036117381489837E-2</v>
      </c>
      <c r="P13" s="131"/>
      <c r="Q13" s="121"/>
      <c r="Y13" s="139"/>
    </row>
    <row r="14" spans="2:25" hidden="1">
      <c r="B14" s="124">
        <f t="shared" si="1"/>
        <v>0</v>
      </c>
      <c r="C14" s="123"/>
      <c r="D14" s="127"/>
      <c r="E14" s="127"/>
      <c r="F14" s="127"/>
      <c r="G14" s="127"/>
      <c r="H14" s="127"/>
      <c r="I14" s="127"/>
      <c r="J14" s="131"/>
      <c r="K14" s="127"/>
      <c r="L14" s="127"/>
      <c r="M14" s="127"/>
      <c r="N14" s="127"/>
      <c r="O14" s="127"/>
      <c r="P14" s="131"/>
      <c r="Q14" s="121"/>
      <c r="Y14" s="139"/>
    </row>
    <row r="15" spans="2:25" hidden="1">
      <c r="B15" s="125">
        <f t="shared" si="1"/>
        <v>0</v>
      </c>
      <c r="C15" s="138"/>
      <c r="D15" s="673"/>
      <c r="E15" s="673"/>
      <c r="F15" s="673"/>
      <c r="G15" s="673"/>
      <c r="H15" s="673"/>
      <c r="I15" s="673"/>
      <c r="J15" s="131"/>
      <c r="K15" s="128"/>
      <c r="L15" s="128"/>
      <c r="M15" s="128"/>
      <c r="N15" s="128"/>
      <c r="O15" s="128"/>
      <c r="P15" s="131"/>
      <c r="Q15" s="121"/>
      <c r="Y15" s="139"/>
    </row>
    <row r="16" spans="2:25">
      <c r="B16" s="126">
        <f>SUM(B5:B15)</f>
        <v>1</v>
      </c>
      <c r="C16" s="671" t="s">
        <v>209</v>
      </c>
      <c r="D16" s="668">
        <f>SUM(D5:D15)</f>
        <v>19953</v>
      </c>
      <c r="E16" s="669">
        <f t="shared" ref="E16:I16" si="5">SUM(E5:E15)</f>
        <v>16748</v>
      </c>
      <c r="F16" s="669">
        <f t="shared" si="5"/>
        <v>13144</v>
      </c>
      <c r="G16" s="669">
        <f t="shared" si="5"/>
        <v>13214</v>
      </c>
      <c r="H16" s="669">
        <f t="shared" si="5"/>
        <v>13989</v>
      </c>
      <c r="I16" s="670">
        <f t="shared" si="5"/>
        <v>11013</v>
      </c>
      <c r="J16" s="672"/>
      <c r="K16" s="244">
        <f>(D16-E16)/E16</f>
        <v>0.19136613326964413</v>
      </c>
      <c r="L16" s="244">
        <f>(E16-F16)/F16</f>
        <v>0.27419354838709675</v>
      </c>
      <c r="M16" s="244">
        <f>(F16-G16)/G16</f>
        <v>-5.297411835931588E-3</v>
      </c>
      <c r="N16" s="244">
        <f t="shared" ref="N16:O16" si="6">(G16-H16)/H16</f>
        <v>-5.5400671956537278E-2</v>
      </c>
      <c r="O16" s="244">
        <f t="shared" si="6"/>
        <v>0.27022609643149004</v>
      </c>
      <c r="P16" s="131"/>
      <c r="Q16" s="121"/>
      <c r="Y16" s="139"/>
    </row>
    <row r="17" spans="1:27">
      <c r="B17" s="142"/>
      <c r="C17" s="6"/>
      <c r="D17" s="15"/>
      <c r="E17" s="15"/>
      <c r="F17" s="15"/>
      <c r="G17" s="15"/>
      <c r="H17" s="15"/>
      <c r="I17" s="15"/>
      <c r="J17" s="15"/>
      <c r="K17" s="15"/>
      <c r="L17" s="15"/>
      <c r="M17" s="15"/>
      <c r="N17" s="15"/>
      <c r="O17" s="15"/>
      <c r="P17" s="15"/>
      <c r="Q17" s="121"/>
      <c r="Y17" s="139"/>
    </row>
    <row r="18" spans="1:27" ht="20.25">
      <c r="B18" s="1226" t="str">
        <f>"Categories "&amp;"("&amp;OP!$J$25&amp;")"</f>
        <v>Categories (2023)</v>
      </c>
      <c r="C18" s="1226"/>
      <c r="D18" s="1226"/>
      <c r="E18" s="1226"/>
      <c r="F18" s="1226"/>
      <c r="G18" s="1226"/>
      <c r="H18" s="1226"/>
      <c r="I18" s="1226"/>
      <c r="J18" s="1226"/>
      <c r="K18" s="1226"/>
      <c r="L18" s="1226"/>
      <c r="M18" s="1226"/>
      <c r="N18" s="1226"/>
      <c r="O18" s="1226"/>
      <c r="P18" s="1226"/>
      <c r="Q18" s="121"/>
      <c r="S18" s="245"/>
      <c r="Y18" s="139"/>
    </row>
    <row r="19" spans="1:27" ht="20.25">
      <c r="B19" s="653"/>
      <c r="C19" s="654"/>
      <c r="D19" s="1229" t="s">
        <v>196</v>
      </c>
      <c r="E19" s="1229"/>
      <c r="F19" s="1229"/>
      <c r="G19" s="1229"/>
      <c r="H19" s="1229"/>
      <c r="I19" s="1229"/>
      <c r="J19" s="129"/>
      <c r="K19" s="1227" t="s">
        <v>197</v>
      </c>
      <c r="L19" s="1227"/>
      <c r="M19" s="1227"/>
      <c r="N19" s="1227"/>
      <c r="O19" s="1227"/>
      <c r="P19" s="1227"/>
      <c r="Q19" s="121"/>
      <c r="Y19" s="139"/>
    </row>
    <row r="20" spans="1:27">
      <c r="B20" s="649" t="s">
        <v>198</v>
      </c>
      <c r="C20" s="650" t="s">
        <v>210</v>
      </c>
      <c r="D20" s="651">
        <f>OP!J25</f>
        <v>2023</v>
      </c>
      <c r="E20" s="651">
        <f>D20-1</f>
        <v>2022</v>
      </c>
      <c r="F20" s="651">
        <f>E20-1</f>
        <v>2021</v>
      </c>
      <c r="G20" s="651">
        <f>F20-1</f>
        <v>2020</v>
      </c>
      <c r="H20" s="651">
        <f>G20-1</f>
        <v>2019</v>
      </c>
      <c r="I20" s="652">
        <f>H20-1</f>
        <v>2018</v>
      </c>
      <c r="J20" s="658"/>
      <c r="K20" s="660">
        <f>OP!J25</f>
        <v>2023</v>
      </c>
      <c r="L20" s="655">
        <f t="shared" ref="L20:O20" si="7">K20-1</f>
        <v>2022</v>
      </c>
      <c r="M20" s="664">
        <f t="shared" si="7"/>
        <v>2021</v>
      </c>
      <c r="N20" s="655">
        <f t="shared" si="7"/>
        <v>2020</v>
      </c>
      <c r="O20" s="659">
        <f t="shared" si="7"/>
        <v>2019</v>
      </c>
      <c r="P20" s="131"/>
      <c r="Q20" s="121"/>
      <c r="Y20" s="139"/>
    </row>
    <row r="21" spans="1:27">
      <c r="A21" s="1022"/>
      <c r="B21" s="1023">
        <f>IFERROR(D21/$D$25,"")</f>
        <v>0.67293138876359448</v>
      </c>
      <c r="C21" s="400" t="s">
        <v>211</v>
      </c>
      <c r="D21" s="991">
        <v>13427</v>
      </c>
      <c r="E21" s="137">
        <v>11083</v>
      </c>
      <c r="F21" s="137">
        <v>7459</v>
      </c>
      <c r="G21" s="137">
        <v>7217</v>
      </c>
      <c r="H21" s="137">
        <v>7083</v>
      </c>
      <c r="I21" s="137">
        <v>6452</v>
      </c>
      <c r="J21" s="646"/>
      <c r="K21" s="661">
        <f>(D21-E21)/E21</f>
        <v>0.21149508255887395</v>
      </c>
      <c r="L21" s="1017">
        <f t="shared" ref="L21:O25" si="8">(E21-F21)/F21</f>
        <v>0.48585601287035796</v>
      </c>
      <c r="M21" s="987">
        <f t="shared" si="8"/>
        <v>3.3531938478592212E-2</v>
      </c>
      <c r="N21" s="988">
        <f t="shared" si="8"/>
        <v>1.8918537342933785E-2</v>
      </c>
      <c r="O21" s="665">
        <f t="shared" si="8"/>
        <v>9.7799132052076881E-2</v>
      </c>
      <c r="P21" s="131"/>
      <c r="Y21" s="139"/>
      <c r="AA21" t="s">
        <v>212</v>
      </c>
    </row>
    <row r="22" spans="1:27">
      <c r="B22" s="614">
        <f>IFERROR(D22/$D$25,"")</f>
        <v>0.1942063850047612</v>
      </c>
      <c r="C22" s="400" t="s">
        <v>213</v>
      </c>
      <c r="D22" s="137">
        <v>3875</v>
      </c>
      <c r="E22" s="137">
        <v>3435</v>
      </c>
      <c r="F22" s="137">
        <v>2247</v>
      </c>
      <c r="G22" s="137">
        <v>2859</v>
      </c>
      <c r="H22" s="137">
        <v>2980</v>
      </c>
      <c r="I22" s="137">
        <v>2714</v>
      </c>
      <c r="J22" s="646"/>
      <c r="K22" s="662">
        <f>(D22-E22)/E22</f>
        <v>0.12809315866084425</v>
      </c>
      <c r="L22" s="1018">
        <f t="shared" ref="L22" si="9">(E22-F22)/F22</f>
        <v>0.5287049399198932</v>
      </c>
      <c r="M22" s="666">
        <f t="shared" ref="M22" si="10">(F22-G22)/G22</f>
        <v>-0.21406086044071354</v>
      </c>
      <c r="N22" s="656">
        <f t="shared" ref="N22" si="11">(G22-H22)/H22</f>
        <v>-4.0604026845637582E-2</v>
      </c>
      <c r="O22" s="666">
        <f t="shared" ref="O22" si="12">(H22-I22)/I22</f>
        <v>9.8010316875460579E-2</v>
      </c>
      <c r="P22" s="131"/>
      <c r="Y22" s="139"/>
    </row>
    <row r="23" spans="1:27">
      <c r="B23" s="614">
        <f>IFERROR(D23/$D$25,"")</f>
        <v>0.13286222623164437</v>
      </c>
      <c r="C23" s="123" t="s">
        <v>214</v>
      </c>
      <c r="D23" s="137">
        <v>2651</v>
      </c>
      <c r="E23" s="137">
        <v>2230</v>
      </c>
      <c r="F23" s="137">
        <v>1345</v>
      </c>
      <c r="G23" s="137">
        <v>1788</v>
      </c>
      <c r="H23" s="137">
        <v>1881</v>
      </c>
      <c r="I23" s="137">
        <v>1847</v>
      </c>
      <c r="J23" s="646"/>
      <c r="K23" s="662">
        <f>(D23-E23)/E23</f>
        <v>0.18878923766816144</v>
      </c>
      <c r="L23" s="1018">
        <f>(E23-F23)/F23</f>
        <v>0.65799256505576209</v>
      </c>
      <c r="M23" s="666">
        <f t="shared" si="8"/>
        <v>-0.24776286353467561</v>
      </c>
      <c r="N23" s="656">
        <f t="shared" si="8"/>
        <v>-4.9441786283891544E-2</v>
      </c>
      <c r="O23" s="666">
        <f>(H23-I23)/I23</f>
        <v>1.8408229561451002E-2</v>
      </c>
      <c r="P23" s="131"/>
      <c r="Y23" s="139"/>
    </row>
    <row r="24" spans="1:27">
      <c r="B24" s="132" t="str">
        <f>IFERROR(D24/$D$25,"")</f>
        <v/>
      </c>
      <c r="C24" s="123" t="s">
        <v>215</v>
      </c>
      <c r="D24" s="674" t="s">
        <v>216</v>
      </c>
      <c r="E24" s="674" t="s">
        <v>216</v>
      </c>
      <c r="F24" s="674">
        <v>2197</v>
      </c>
      <c r="G24" s="674">
        <v>2427</v>
      </c>
      <c r="H24" s="674">
        <v>2105</v>
      </c>
      <c r="I24" s="674" t="s">
        <v>216</v>
      </c>
      <c r="J24" s="646"/>
      <c r="K24" s="663"/>
      <c r="L24" s="657"/>
      <c r="M24" s="667">
        <f t="shared" si="8"/>
        <v>-9.4767202307375356E-2</v>
      </c>
      <c r="N24" s="657">
        <f t="shared" si="8"/>
        <v>0.15296912114014252</v>
      </c>
      <c r="O24" s="667"/>
      <c r="P24" s="131"/>
      <c r="Y24" s="139"/>
    </row>
    <row r="25" spans="1:27">
      <c r="B25" s="126">
        <f>SUM(B21:B24)</f>
        <v>1</v>
      </c>
      <c r="C25" s="671" t="s">
        <v>209</v>
      </c>
      <c r="D25" s="668">
        <f t="shared" ref="D25:I25" si="13">SUM(D21:D24)</f>
        <v>19953</v>
      </c>
      <c r="E25" s="669">
        <f t="shared" si="13"/>
        <v>16748</v>
      </c>
      <c r="F25" s="669">
        <f t="shared" si="13"/>
        <v>13248</v>
      </c>
      <c r="G25" s="669">
        <f t="shared" si="13"/>
        <v>14291</v>
      </c>
      <c r="H25" s="669">
        <f t="shared" si="13"/>
        <v>14049</v>
      </c>
      <c r="I25" s="670">
        <f t="shared" si="13"/>
        <v>11013</v>
      </c>
      <c r="J25" s="672"/>
      <c r="K25" s="647">
        <f>(D25-E25)/E25</f>
        <v>0.19136613326964413</v>
      </c>
      <c r="L25" s="648">
        <f t="shared" si="8"/>
        <v>0.26419082125603865</v>
      </c>
      <c r="M25" s="648">
        <f t="shared" ref="M25" si="14">(F25-G25)/G25</f>
        <v>-7.2982996291372199E-2</v>
      </c>
      <c r="N25" s="648">
        <f t="shared" ref="N25" si="15">(G25-H25)/H25</f>
        <v>1.7225425297174177E-2</v>
      </c>
      <c r="O25" s="648">
        <f t="shared" ref="O25" si="16">(H25-I25)/I25</f>
        <v>0.27567420321438302</v>
      </c>
      <c r="P25" s="131"/>
      <c r="Q25" s="121"/>
      <c r="Y25" s="139"/>
    </row>
    <row r="26" spans="1:27">
      <c r="C26" s="14"/>
      <c r="D26" s="15"/>
      <c r="E26" s="16"/>
      <c r="F26" s="15"/>
      <c r="G26" s="16"/>
      <c r="H26" s="15"/>
      <c r="I26" s="16"/>
      <c r="J26" s="16"/>
      <c r="Q26" s="121"/>
      <c r="Y26" s="139"/>
    </row>
    <row r="27" spans="1:27" ht="20.25">
      <c r="B27" s="1230" t="s">
        <v>106</v>
      </c>
      <c r="C27" s="1230"/>
      <c r="D27" s="1230" t="s">
        <v>217</v>
      </c>
      <c r="E27" s="1230"/>
      <c r="F27" s="1230"/>
      <c r="G27" s="1230"/>
      <c r="H27" s="1230"/>
      <c r="I27" s="1229" t="s">
        <v>218</v>
      </c>
      <c r="J27" s="1229"/>
      <c r="K27" s="1229"/>
      <c r="L27" s="1229"/>
      <c r="M27" s="1229"/>
      <c r="N27" s="1229"/>
      <c r="O27" s="1229"/>
      <c r="P27" s="1229"/>
      <c r="Q27" s="121"/>
      <c r="Y27" s="139"/>
    </row>
    <row r="28" spans="1:27" ht="40.5" customHeight="1">
      <c r="B28" s="1234" t="s">
        <v>211</v>
      </c>
      <c r="C28" s="1234"/>
      <c r="D28" s="1231" t="s">
        <v>219</v>
      </c>
      <c r="E28" s="1231"/>
      <c r="F28" s="1231"/>
      <c r="G28" s="1231"/>
      <c r="H28" s="1231"/>
      <c r="I28" s="121"/>
      <c r="Q28" s="121"/>
      <c r="Y28" s="139"/>
    </row>
    <row r="29" spans="1:27" ht="41.25" customHeight="1">
      <c r="B29" s="1234" t="s">
        <v>213</v>
      </c>
      <c r="C29" s="1234"/>
      <c r="D29" s="1231" t="s">
        <v>220</v>
      </c>
      <c r="E29" s="1231"/>
      <c r="F29" s="1231"/>
      <c r="G29" s="1231"/>
      <c r="H29" s="1231"/>
      <c r="I29" s="121"/>
      <c r="Q29" s="121"/>
      <c r="Y29" s="139"/>
    </row>
    <row r="30" spans="1:27" ht="35.25" customHeight="1">
      <c r="B30" s="1234" t="s">
        <v>214</v>
      </c>
      <c r="C30" s="1234"/>
      <c r="D30" s="1232" t="s">
        <v>221</v>
      </c>
      <c r="E30" s="1232"/>
      <c r="F30" s="1232"/>
      <c r="G30" s="1232"/>
      <c r="H30" s="1232"/>
      <c r="I30" s="121"/>
      <c r="Q30" s="121"/>
      <c r="Y30" s="139"/>
    </row>
    <row r="31" spans="1:27" ht="30.75" customHeight="1">
      <c r="D31"/>
      <c r="I31" s="121"/>
      <c r="Q31" s="121"/>
      <c r="Y31" s="139"/>
    </row>
    <row r="32" spans="1:27" ht="30.75" customHeight="1">
      <c r="D32"/>
      <c r="I32" s="121"/>
      <c r="Q32" s="121"/>
      <c r="Y32" s="139"/>
    </row>
    <row r="33" spans="2:25" ht="30.75" customHeight="1">
      <c r="B33" s="1228"/>
      <c r="C33" s="1228"/>
      <c r="D33" s="1019"/>
      <c r="E33" s="1019"/>
      <c r="F33" s="1019"/>
      <c r="G33" s="1019"/>
      <c r="I33" s="121"/>
      <c r="Q33" s="121"/>
      <c r="Y33" s="139"/>
    </row>
    <row r="34" spans="2:25" ht="30.75" customHeight="1">
      <c r="I34" s="122"/>
      <c r="J34" s="140"/>
      <c r="K34" s="140"/>
      <c r="L34" s="140"/>
      <c r="M34" s="140"/>
      <c r="N34" s="140"/>
      <c r="O34" s="140"/>
      <c r="P34" s="140"/>
      <c r="Q34" s="122"/>
      <c r="R34" s="140"/>
      <c r="S34" s="140"/>
      <c r="T34" s="140"/>
      <c r="U34" s="140"/>
      <c r="V34" s="140"/>
      <c r="W34" s="140"/>
      <c r="X34" s="140"/>
      <c r="Y34" s="141"/>
    </row>
    <row r="35" spans="2:25" ht="21" customHeight="1"/>
    <row r="36" spans="2:25" ht="20.25">
      <c r="B36" s="1230" t="s">
        <v>222</v>
      </c>
      <c r="C36" s="1230"/>
      <c r="D36" s="1230"/>
      <c r="E36" s="1230"/>
      <c r="F36" s="1230"/>
      <c r="G36" s="1230"/>
      <c r="H36" s="1230"/>
      <c r="I36" s="1230"/>
      <c r="J36" s="1235" t="s">
        <v>223</v>
      </c>
      <c r="K36" s="1236"/>
      <c r="L36" s="1236"/>
      <c r="M36" s="1236"/>
      <c r="N36" s="1236"/>
      <c r="O36" s="1236"/>
      <c r="P36" s="1236"/>
      <c r="Q36" s="1237"/>
    </row>
    <row r="37" spans="2:25" ht="13.5" customHeight="1">
      <c r="B37" s="1238" t="s">
        <v>224</v>
      </c>
      <c r="C37" s="1238"/>
      <c r="D37" s="1238" t="s">
        <v>217</v>
      </c>
      <c r="E37" s="1238"/>
      <c r="F37" s="1238"/>
      <c r="G37" s="1238"/>
      <c r="H37" s="1238"/>
      <c r="I37" s="1238"/>
      <c r="J37" s="121"/>
      <c r="Q37" s="139"/>
      <c r="T37" s="11"/>
      <c r="U37" s="11"/>
    </row>
    <row r="38" spans="2:25" ht="66" customHeight="1">
      <c r="B38" s="1244" t="s">
        <v>225</v>
      </c>
      <c r="C38" s="1244"/>
      <c r="D38" s="1243" t="s">
        <v>226</v>
      </c>
      <c r="E38" s="1243"/>
      <c r="F38" s="1243"/>
      <c r="G38" s="1243"/>
      <c r="H38" s="1243"/>
      <c r="I38" s="1243"/>
      <c r="J38" s="121"/>
      <c r="Q38" s="139"/>
      <c r="T38" s="11"/>
      <c r="U38" s="11"/>
    </row>
    <row r="39" spans="2:25" ht="37.5" customHeight="1">
      <c r="B39" s="1244" t="s">
        <v>227</v>
      </c>
      <c r="C39" s="1244"/>
      <c r="D39" s="1243" t="s">
        <v>228</v>
      </c>
      <c r="E39" s="1243"/>
      <c r="F39" s="1243"/>
      <c r="G39" s="1243"/>
      <c r="H39" s="1243"/>
      <c r="I39" s="1243"/>
      <c r="J39" s="121"/>
      <c r="Q39" s="139"/>
      <c r="T39" s="11"/>
      <c r="U39" s="11"/>
    </row>
    <row r="40" spans="2:25" ht="41.25" customHeight="1">
      <c r="B40" s="1242" t="s">
        <v>229</v>
      </c>
      <c r="C40" s="1242"/>
      <c r="D40" s="1243" t="s">
        <v>230</v>
      </c>
      <c r="E40" s="1243"/>
      <c r="F40" s="1243"/>
      <c r="G40" s="1243"/>
      <c r="H40" s="1243"/>
      <c r="I40" s="1243"/>
      <c r="J40" s="121"/>
      <c r="Q40" s="139"/>
      <c r="T40" s="11"/>
      <c r="U40" s="11"/>
    </row>
    <row r="41" spans="2:25">
      <c r="B41" s="1238" t="s">
        <v>231</v>
      </c>
      <c r="C41" s="1238"/>
      <c r="D41" s="1238"/>
      <c r="E41" s="1238"/>
      <c r="F41" s="1238"/>
      <c r="G41" s="1238"/>
      <c r="H41" s="1238"/>
      <c r="I41" s="1238"/>
      <c r="J41" s="121"/>
      <c r="Q41" s="139"/>
      <c r="T41" s="11"/>
      <c r="U41" s="11"/>
    </row>
    <row r="42" spans="2:25">
      <c r="B42" s="981" t="s">
        <v>232</v>
      </c>
      <c r="C42" s="981" t="s">
        <v>233</v>
      </c>
      <c r="D42" s="1263" t="s">
        <v>234</v>
      </c>
      <c r="E42" s="1263"/>
      <c r="F42" s="1263"/>
      <c r="G42" s="1263" t="s">
        <v>235</v>
      </c>
      <c r="H42" s="1263"/>
      <c r="I42" s="1263"/>
      <c r="J42" s="121"/>
      <c r="Q42" s="139"/>
      <c r="T42" s="11"/>
      <c r="U42" s="11"/>
    </row>
    <row r="43" spans="2:25" ht="13.15" customHeight="1">
      <c r="B43" s="982" t="s">
        <v>236</v>
      </c>
      <c r="C43" s="542" t="s">
        <v>237</v>
      </c>
      <c r="D43" s="1245">
        <v>3.8399999999999997E-2</v>
      </c>
      <c r="E43" s="1246"/>
      <c r="F43" s="1247"/>
      <c r="G43" s="1248" t="s">
        <v>238</v>
      </c>
      <c r="H43" s="1249"/>
      <c r="I43" s="1250"/>
      <c r="J43" s="121"/>
      <c r="Q43" s="139"/>
      <c r="T43" s="11"/>
      <c r="U43" s="11"/>
    </row>
    <row r="44" spans="2:25">
      <c r="B44" s="982" t="s">
        <v>239</v>
      </c>
      <c r="C44" s="542" t="s">
        <v>240</v>
      </c>
      <c r="D44" s="1245">
        <v>3.5000000000000003E-2</v>
      </c>
      <c r="E44" s="1246"/>
      <c r="F44" s="1247"/>
      <c r="G44" s="1248" t="s">
        <v>241</v>
      </c>
      <c r="H44" s="1249"/>
      <c r="I44" s="1250"/>
      <c r="J44" s="121"/>
      <c r="Q44" s="139"/>
      <c r="T44" s="11"/>
      <c r="U44" s="11"/>
    </row>
    <row r="45" spans="2:25">
      <c r="B45" s="982" t="s">
        <v>242</v>
      </c>
      <c r="C45" s="542" t="s">
        <v>243</v>
      </c>
      <c r="D45" s="1245">
        <v>4.5999999999999999E-2</v>
      </c>
      <c r="E45" s="1246"/>
      <c r="F45" s="1247"/>
      <c r="G45" s="1248" t="s">
        <v>244</v>
      </c>
      <c r="H45" s="1249"/>
      <c r="I45" s="1250"/>
      <c r="J45" s="121"/>
      <c r="Q45" s="139"/>
      <c r="T45" s="11"/>
      <c r="U45" s="11"/>
    </row>
    <row r="46" spans="2:25">
      <c r="B46" s="982" t="s">
        <v>239</v>
      </c>
      <c r="C46" s="542" t="s">
        <v>245</v>
      </c>
      <c r="D46" s="1245">
        <v>0.02</v>
      </c>
      <c r="E46" s="1246"/>
      <c r="F46" s="1247"/>
      <c r="G46" s="1248" t="s">
        <v>241</v>
      </c>
      <c r="H46" s="1249"/>
      <c r="I46" s="1250"/>
      <c r="J46" s="121"/>
      <c r="Q46" s="139"/>
      <c r="T46" s="11"/>
      <c r="U46" s="11"/>
    </row>
    <row r="47" spans="2:25">
      <c r="B47" s="982" t="s">
        <v>246</v>
      </c>
      <c r="C47" s="542" t="s">
        <v>247</v>
      </c>
      <c r="D47" s="1245">
        <v>5.16E-2</v>
      </c>
      <c r="E47" s="1246"/>
      <c r="F47" s="1247"/>
      <c r="G47" s="1248" t="s">
        <v>248</v>
      </c>
      <c r="H47" s="1249"/>
      <c r="I47" s="1250"/>
      <c r="J47" s="121"/>
      <c r="Q47" s="139"/>
      <c r="T47" s="11"/>
      <c r="U47" s="11"/>
    </row>
    <row r="48" spans="2:25">
      <c r="B48" s="982" t="s">
        <v>249</v>
      </c>
      <c r="C48" s="542" t="s">
        <v>250</v>
      </c>
      <c r="D48" s="1245">
        <v>3.39E-2</v>
      </c>
      <c r="E48" s="1246"/>
      <c r="F48" s="1247"/>
      <c r="G48" s="1248" t="s">
        <v>248</v>
      </c>
      <c r="H48" s="1249"/>
      <c r="I48" s="1250"/>
      <c r="J48" s="121"/>
      <c r="Q48" s="139"/>
      <c r="T48" s="11"/>
      <c r="U48" s="11"/>
    </row>
    <row r="49" spans="2:21">
      <c r="B49" s="982" t="s">
        <v>251</v>
      </c>
      <c r="C49" s="542" t="s">
        <v>252</v>
      </c>
      <c r="D49" s="1245">
        <v>4.0300000000000002E-2</v>
      </c>
      <c r="E49" s="1246"/>
      <c r="F49" s="1247"/>
      <c r="G49" s="1248" t="s">
        <v>248</v>
      </c>
      <c r="H49" s="1249"/>
      <c r="I49" s="1250"/>
      <c r="Q49" s="139"/>
      <c r="T49" s="11"/>
      <c r="U49" s="11"/>
    </row>
    <row r="50" spans="2:21">
      <c r="B50" s="1267" t="s">
        <v>253</v>
      </c>
      <c r="C50" s="1268"/>
      <c r="D50" s="1264">
        <f>(D43+(D44+D45)*B21+(D46+D47)*B22+(D48+D49)*B23)/3</f>
        <v>3.8890332280860022E-2</v>
      </c>
      <c r="E50" s="1265"/>
      <c r="F50" s="1266"/>
      <c r="G50" s="1239"/>
      <c r="H50" s="1240"/>
      <c r="I50" s="1241"/>
      <c r="Q50" s="139"/>
      <c r="T50" s="11"/>
      <c r="U50" s="11"/>
    </row>
    <row r="51" spans="2:21" ht="20.25">
      <c r="B51" s="1230" t="s">
        <v>254</v>
      </c>
      <c r="C51" s="1260"/>
      <c r="D51" s="1261"/>
      <c r="E51" s="1261"/>
      <c r="F51" s="1261"/>
      <c r="G51" s="1261"/>
      <c r="H51" s="1261"/>
      <c r="I51" s="1262"/>
      <c r="J51" s="121"/>
      <c r="Q51" s="139"/>
      <c r="T51" s="11"/>
      <c r="U51" s="11"/>
    </row>
    <row r="52" spans="2:21" ht="12.75" customHeight="1">
      <c r="B52" s="1251" t="s">
        <v>255</v>
      </c>
      <c r="C52" s="1252"/>
      <c r="D52" s="1252"/>
      <c r="E52" s="1252"/>
      <c r="F52" s="1252"/>
      <c r="G52" s="1252"/>
      <c r="H52" s="1252"/>
      <c r="I52" s="1253"/>
      <c r="J52" s="121"/>
      <c r="Q52" s="139"/>
      <c r="T52" s="11"/>
      <c r="U52" s="11"/>
    </row>
    <row r="53" spans="2:21">
      <c r="B53" s="1254"/>
      <c r="C53" s="1255"/>
      <c r="D53" s="1255"/>
      <c r="E53" s="1255"/>
      <c r="F53" s="1255"/>
      <c r="G53" s="1255"/>
      <c r="H53" s="1255"/>
      <c r="I53" s="1256"/>
      <c r="J53" s="121"/>
      <c r="Q53" s="139"/>
      <c r="T53" s="11"/>
      <c r="U53" s="11"/>
    </row>
    <row r="54" spans="2:21">
      <c r="B54" s="1254"/>
      <c r="C54" s="1255"/>
      <c r="D54" s="1255"/>
      <c r="E54" s="1255"/>
      <c r="F54" s="1255"/>
      <c r="G54" s="1255"/>
      <c r="H54" s="1255"/>
      <c r="I54" s="1256"/>
      <c r="J54" s="121"/>
      <c r="Q54" s="139"/>
      <c r="T54" s="11"/>
      <c r="U54" s="11"/>
    </row>
    <row r="55" spans="2:21">
      <c r="B55" s="1254"/>
      <c r="C55" s="1255"/>
      <c r="D55" s="1255"/>
      <c r="E55" s="1255"/>
      <c r="F55" s="1255"/>
      <c r="G55" s="1255"/>
      <c r="H55" s="1255"/>
      <c r="I55" s="1256"/>
      <c r="J55" s="121"/>
      <c r="Q55" s="139"/>
      <c r="T55" s="11"/>
      <c r="U55" s="11"/>
    </row>
    <row r="56" spans="2:21">
      <c r="B56" s="1254"/>
      <c r="C56" s="1255"/>
      <c r="D56" s="1255"/>
      <c r="E56" s="1255"/>
      <c r="F56" s="1255"/>
      <c r="G56" s="1255"/>
      <c r="H56" s="1255"/>
      <c r="I56" s="1256"/>
      <c r="J56" s="121"/>
      <c r="Q56" s="139"/>
      <c r="T56" s="11"/>
      <c r="U56" s="11"/>
    </row>
    <row r="57" spans="2:21">
      <c r="B57" s="1254"/>
      <c r="C57" s="1255"/>
      <c r="D57" s="1255"/>
      <c r="E57" s="1255"/>
      <c r="F57" s="1255"/>
      <c r="G57" s="1255"/>
      <c r="H57" s="1255"/>
      <c r="I57" s="1256"/>
      <c r="J57" s="121"/>
      <c r="Q57" s="139"/>
      <c r="T57" s="11"/>
      <c r="U57" s="11"/>
    </row>
    <row r="58" spans="2:21">
      <c r="B58" s="1254"/>
      <c r="C58" s="1255"/>
      <c r="D58" s="1255"/>
      <c r="E58" s="1255"/>
      <c r="F58" s="1255"/>
      <c r="G58" s="1255"/>
      <c r="H58" s="1255"/>
      <c r="I58" s="1256"/>
      <c r="J58" s="121"/>
      <c r="Q58" s="139"/>
      <c r="T58" s="11"/>
      <c r="U58" s="11"/>
    </row>
    <row r="59" spans="2:21">
      <c r="B59" s="1254"/>
      <c r="C59" s="1255"/>
      <c r="D59" s="1255"/>
      <c r="E59" s="1255"/>
      <c r="F59" s="1255"/>
      <c r="G59" s="1255"/>
      <c r="H59" s="1255"/>
      <c r="I59" s="1256"/>
      <c r="J59" s="121"/>
      <c r="Q59" s="139"/>
      <c r="T59" s="11"/>
      <c r="U59" s="11"/>
    </row>
    <row r="60" spans="2:21">
      <c r="B60" s="1254"/>
      <c r="C60" s="1255"/>
      <c r="D60" s="1255"/>
      <c r="E60" s="1255"/>
      <c r="F60" s="1255"/>
      <c r="G60" s="1255"/>
      <c r="H60" s="1255"/>
      <c r="I60" s="1256"/>
      <c r="J60" s="121"/>
      <c r="Q60" s="139"/>
      <c r="T60" s="11"/>
      <c r="U60" s="11"/>
    </row>
    <row r="61" spans="2:21">
      <c r="B61" s="1254"/>
      <c r="C61" s="1255"/>
      <c r="D61" s="1255"/>
      <c r="E61" s="1255"/>
      <c r="F61" s="1255"/>
      <c r="G61" s="1255"/>
      <c r="H61" s="1255"/>
      <c r="I61" s="1256"/>
      <c r="J61" s="121"/>
      <c r="Q61" s="139"/>
      <c r="T61" s="11"/>
      <c r="U61" s="11"/>
    </row>
    <row r="62" spans="2:21">
      <c r="B62" s="1254"/>
      <c r="C62" s="1255"/>
      <c r="D62" s="1255"/>
      <c r="E62" s="1255"/>
      <c r="F62" s="1255"/>
      <c r="G62" s="1255"/>
      <c r="H62" s="1255"/>
      <c r="I62" s="1256"/>
      <c r="J62" s="121"/>
      <c r="Q62" s="139"/>
      <c r="T62" s="11"/>
      <c r="U62" s="11"/>
    </row>
    <row r="63" spans="2:21">
      <c r="B63" s="1254"/>
      <c r="C63" s="1255"/>
      <c r="D63" s="1255"/>
      <c r="E63" s="1255"/>
      <c r="F63" s="1255"/>
      <c r="G63" s="1255"/>
      <c r="H63" s="1255"/>
      <c r="I63" s="1256"/>
      <c r="J63" s="121"/>
      <c r="Q63" s="139"/>
      <c r="T63" s="11"/>
      <c r="U63" s="11"/>
    </row>
    <row r="64" spans="2:21">
      <c r="B64" s="1254"/>
      <c r="C64" s="1255"/>
      <c r="D64" s="1255"/>
      <c r="E64" s="1255"/>
      <c r="F64" s="1255"/>
      <c r="G64" s="1255"/>
      <c r="H64" s="1255"/>
      <c r="I64" s="1256"/>
      <c r="J64" s="121"/>
      <c r="Q64" s="139"/>
      <c r="T64" s="11"/>
      <c r="U64" s="11"/>
    </row>
    <row r="65" spans="2:21">
      <c r="B65" s="1254"/>
      <c r="C65" s="1255"/>
      <c r="D65" s="1255"/>
      <c r="E65" s="1255"/>
      <c r="F65" s="1255"/>
      <c r="G65" s="1255"/>
      <c r="H65" s="1255"/>
      <c r="I65" s="1256"/>
      <c r="J65" s="121"/>
      <c r="Q65" s="139"/>
      <c r="T65" s="11"/>
      <c r="U65" s="11"/>
    </row>
    <row r="66" spans="2:21">
      <c r="B66" s="1254"/>
      <c r="C66" s="1255"/>
      <c r="D66" s="1255"/>
      <c r="E66" s="1255"/>
      <c r="F66" s="1255"/>
      <c r="G66" s="1255"/>
      <c r="H66" s="1255"/>
      <c r="I66" s="1256"/>
      <c r="J66" s="121"/>
      <c r="Q66" s="139"/>
      <c r="T66" s="11"/>
      <c r="U66" s="11"/>
    </row>
    <row r="67" spans="2:21">
      <c r="B67" s="1254"/>
      <c r="C67" s="1255"/>
      <c r="D67" s="1255"/>
      <c r="E67" s="1255"/>
      <c r="F67" s="1255"/>
      <c r="G67" s="1255"/>
      <c r="H67" s="1255"/>
      <c r="I67" s="1256"/>
      <c r="J67" s="121"/>
      <c r="Q67" s="139"/>
      <c r="T67" s="11"/>
      <c r="U67" s="11"/>
    </row>
    <row r="68" spans="2:21">
      <c r="B68" s="1257"/>
      <c r="C68" s="1258"/>
      <c r="D68" s="1258"/>
      <c r="E68" s="1258"/>
      <c r="F68" s="1258"/>
      <c r="G68" s="1258"/>
      <c r="H68" s="1258"/>
      <c r="I68" s="1259"/>
      <c r="J68" s="122"/>
      <c r="K68" s="140"/>
      <c r="L68" s="140"/>
      <c r="M68" s="140"/>
      <c r="N68" s="140"/>
      <c r="O68" s="140"/>
      <c r="P68" s="140"/>
      <c r="Q68" s="141"/>
      <c r="T68" s="11"/>
      <c r="U68" s="11"/>
    </row>
    <row r="69" spans="2:21">
      <c r="O69" s="246"/>
      <c r="T69" s="11"/>
      <c r="U69" s="11"/>
    </row>
    <row r="70" spans="2:21">
      <c r="O70" s="246"/>
      <c r="T70" s="11"/>
      <c r="U70" s="11"/>
    </row>
    <row r="71" spans="2:21">
      <c r="O71" s="246"/>
      <c r="T71" s="11"/>
      <c r="U71" s="11"/>
    </row>
    <row r="72" spans="2:21">
      <c r="T72" s="11"/>
      <c r="U72" s="11"/>
    </row>
    <row r="73" spans="2:21">
      <c r="T73" s="11"/>
      <c r="U73" s="11"/>
    </row>
    <row r="74" spans="2:21">
      <c r="T74" s="11"/>
      <c r="U74" s="11"/>
    </row>
    <row r="75" spans="2:21">
      <c r="T75" s="11"/>
      <c r="U75" s="11"/>
    </row>
    <row r="76" spans="2:21">
      <c r="T76" s="11"/>
      <c r="U76" s="11"/>
    </row>
    <row r="77" spans="2:21">
      <c r="T77" s="11"/>
      <c r="U77" s="11"/>
    </row>
    <row r="78" spans="2:21">
      <c r="T78" s="11"/>
      <c r="U78" s="11"/>
    </row>
  </sheetData>
  <mergeCells count="49">
    <mergeCell ref="B41:I41"/>
    <mergeCell ref="D43:F43"/>
    <mergeCell ref="D44:F44"/>
    <mergeCell ref="G43:I43"/>
    <mergeCell ref="G44:I44"/>
    <mergeCell ref="D48:F48"/>
    <mergeCell ref="G48:I48"/>
    <mergeCell ref="B52:I68"/>
    <mergeCell ref="B51:I51"/>
    <mergeCell ref="D42:F42"/>
    <mergeCell ref="G42:I42"/>
    <mergeCell ref="G46:I46"/>
    <mergeCell ref="G45:I45"/>
    <mergeCell ref="D45:F45"/>
    <mergeCell ref="D47:F47"/>
    <mergeCell ref="D50:F50"/>
    <mergeCell ref="B50:C50"/>
    <mergeCell ref="G47:I47"/>
    <mergeCell ref="J36:Q36"/>
    <mergeCell ref="D37:I37"/>
    <mergeCell ref="B29:C29"/>
    <mergeCell ref="G50:I50"/>
    <mergeCell ref="B40:C40"/>
    <mergeCell ref="D40:I40"/>
    <mergeCell ref="B30:C30"/>
    <mergeCell ref="D38:I38"/>
    <mergeCell ref="B36:I36"/>
    <mergeCell ref="B37:C37"/>
    <mergeCell ref="B38:C38"/>
    <mergeCell ref="B39:C39"/>
    <mergeCell ref="D39:I39"/>
    <mergeCell ref="D46:F46"/>
    <mergeCell ref="D49:F49"/>
    <mergeCell ref="G49:I49"/>
    <mergeCell ref="Q2:Y2"/>
    <mergeCell ref="K3:P3"/>
    <mergeCell ref="B2:P2"/>
    <mergeCell ref="K19:P19"/>
    <mergeCell ref="B33:C33"/>
    <mergeCell ref="B18:P18"/>
    <mergeCell ref="D19:I19"/>
    <mergeCell ref="D27:H27"/>
    <mergeCell ref="D28:H28"/>
    <mergeCell ref="D29:H29"/>
    <mergeCell ref="D30:H30"/>
    <mergeCell ref="I27:P27"/>
    <mergeCell ref="D3:I3"/>
    <mergeCell ref="B28:C28"/>
    <mergeCell ref="B27:C27"/>
  </mergeCells>
  <phoneticPr fontId="0" type="noConversion"/>
  <conditionalFormatting sqref="B5:B13">
    <cfRule type="dataBar" priority="1">
      <dataBar>
        <cfvo type="min"/>
        <cfvo type="max"/>
        <color rgb="FF638EC6"/>
      </dataBar>
      <extLst>
        <ext xmlns:x14="http://schemas.microsoft.com/office/spreadsheetml/2009/9/main" uri="{B025F937-C7B1-47D3-B67F-A62EFF666E3E}">
          <x14:id>{0DABA5EE-E7A6-4C53-8DC7-2AD03089E49A}</x14:id>
        </ext>
      </extLst>
    </cfRule>
  </conditionalFormatting>
  <conditionalFormatting sqref="B21:B24">
    <cfRule type="dataBar" priority="68">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5">
    <cfRule type="dataBar" priority="50">
      <dataBar>
        <cfvo type="min"/>
        <cfvo type="max"/>
        <color rgb="FF63C384"/>
      </dataBar>
      <extLst>
        <ext xmlns:x14="http://schemas.microsoft.com/office/spreadsheetml/2009/9/main" uri="{B025F937-C7B1-47D3-B67F-A62EFF666E3E}">
          <x14:id>{767D33FE-8570-4B26-81B7-5505E2A08A62}</x14:id>
        </ext>
      </extLst>
    </cfRule>
  </conditionalFormatting>
  <conditionalFormatting sqref="D21:D24">
    <cfRule type="dataBar" priority="69">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13">
    <cfRule type="dataBar" priority="24">
      <dataBar>
        <cfvo type="min"/>
        <cfvo type="max"/>
        <color rgb="FF63C384"/>
      </dataBar>
      <extLst>
        <ext xmlns:x14="http://schemas.microsoft.com/office/spreadsheetml/2009/9/main" uri="{B025F937-C7B1-47D3-B67F-A62EFF666E3E}">
          <x14:id>{83BDDF4E-0A7D-4B3E-A60B-AD52AC0FFA68}</x14:id>
        </ext>
      </extLst>
    </cfRule>
  </conditionalFormatting>
  <conditionalFormatting sqref="D21:I24">
    <cfRule type="dataBar" priority="70">
      <dataBar>
        <cfvo type="min"/>
        <cfvo type="max"/>
        <color rgb="FF63C384"/>
      </dataBar>
      <extLst>
        <ext xmlns:x14="http://schemas.microsoft.com/office/spreadsheetml/2009/9/main" uri="{B025F937-C7B1-47D3-B67F-A62EFF666E3E}">
          <x14:id>{5BBC426E-7FA9-4F5C-AC78-B3996BA8F931}</x14:id>
        </ext>
      </extLst>
    </cfRule>
  </conditionalFormatting>
  <conditionalFormatting sqref="E5:E15">
    <cfRule type="dataBar" priority="49">
      <dataBar>
        <cfvo type="min"/>
        <cfvo type="max"/>
        <color rgb="FF63C384"/>
      </dataBar>
      <extLst>
        <ext xmlns:x14="http://schemas.microsoft.com/office/spreadsheetml/2009/9/main" uri="{B025F937-C7B1-47D3-B67F-A62EFF666E3E}">
          <x14:id>{740A2B96-C6E5-4177-AC04-9573B81E30EC}</x14:id>
        </ext>
      </extLst>
    </cfRule>
  </conditionalFormatting>
  <conditionalFormatting sqref="E21:E24">
    <cfRule type="dataBar" priority="71">
      <dataBar>
        <cfvo type="min"/>
        <cfvo type="max"/>
        <color rgb="FF63C384"/>
      </dataBar>
      <extLst>
        <ext xmlns:x14="http://schemas.microsoft.com/office/spreadsheetml/2009/9/main" uri="{B025F937-C7B1-47D3-B67F-A62EFF666E3E}">
          <x14:id>{5AA7A103-2149-42E1-9BBB-48A01258D43D}</x14:id>
        </ext>
      </extLst>
    </cfRule>
  </conditionalFormatting>
  <conditionalFormatting sqref="F5:F15">
    <cfRule type="dataBar" priority="48">
      <dataBar>
        <cfvo type="min"/>
        <cfvo type="max"/>
        <color rgb="FF63C384"/>
      </dataBar>
      <extLst>
        <ext xmlns:x14="http://schemas.microsoft.com/office/spreadsheetml/2009/9/main" uri="{B025F937-C7B1-47D3-B67F-A62EFF666E3E}">
          <x14:id>{5EFE30C4-0901-404E-9108-731E3BE4821E}</x14:id>
        </ext>
      </extLst>
    </cfRule>
  </conditionalFormatting>
  <conditionalFormatting sqref="F21:F24">
    <cfRule type="dataBar" priority="72">
      <dataBar>
        <cfvo type="min"/>
        <cfvo type="max"/>
        <color rgb="FF63C384"/>
      </dataBar>
      <extLst>
        <ext xmlns:x14="http://schemas.microsoft.com/office/spreadsheetml/2009/9/main" uri="{B025F937-C7B1-47D3-B67F-A62EFF666E3E}">
          <x14:id>{5EE1521A-2483-44CA-9CCA-E5FC63E6246F}</x14:id>
        </ext>
      </extLst>
    </cfRule>
  </conditionalFormatting>
  <conditionalFormatting sqref="G5:G15">
    <cfRule type="dataBar" priority="47">
      <dataBar>
        <cfvo type="min"/>
        <cfvo type="max"/>
        <color rgb="FF63C384"/>
      </dataBar>
      <extLst>
        <ext xmlns:x14="http://schemas.microsoft.com/office/spreadsheetml/2009/9/main" uri="{B025F937-C7B1-47D3-B67F-A62EFF666E3E}">
          <x14:id>{A1F44ECC-EF2B-4606-87E9-B7F443AC18BF}</x14:id>
        </ext>
      </extLst>
    </cfRule>
  </conditionalFormatting>
  <conditionalFormatting sqref="G21:G24">
    <cfRule type="dataBar" priority="73">
      <dataBar>
        <cfvo type="min"/>
        <cfvo type="max"/>
        <color rgb="FF63C384"/>
      </dataBar>
      <extLst>
        <ext xmlns:x14="http://schemas.microsoft.com/office/spreadsheetml/2009/9/main" uri="{B025F937-C7B1-47D3-B67F-A62EFF666E3E}">
          <x14:id>{00DC50B7-1706-4DFB-A90F-9F95CB19CA6D}</x14:id>
        </ext>
      </extLst>
    </cfRule>
  </conditionalFormatting>
  <conditionalFormatting sqref="H5:H15">
    <cfRule type="dataBar" priority="46">
      <dataBar>
        <cfvo type="min"/>
        <cfvo type="max"/>
        <color rgb="FF63C384"/>
      </dataBar>
      <extLst>
        <ext xmlns:x14="http://schemas.microsoft.com/office/spreadsheetml/2009/9/main" uri="{B025F937-C7B1-47D3-B67F-A62EFF666E3E}">
          <x14:id>{4320827E-AAAF-46DA-9F47-1F13F9C2B2E6}</x14:id>
        </ext>
      </extLst>
    </cfRule>
  </conditionalFormatting>
  <conditionalFormatting sqref="H21:H24">
    <cfRule type="dataBar" priority="74">
      <dataBar>
        <cfvo type="min"/>
        <cfvo type="max"/>
        <color rgb="FF63C384"/>
      </dataBar>
      <extLst>
        <ext xmlns:x14="http://schemas.microsoft.com/office/spreadsheetml/2009/9/main" uri="{B025F937-C7B1-47D3-B67F-A62EFF666E3E}">
          <x14:id>{EED505F4-1AE5-4E85-A25F-1DAC1EADC97D}</x14:id>
        </ext>
      </extLst>
    </cfRule>
  </conditionalFormatting>
  <conditionalFormatting sqref="I5:I15">
    <cfRule type="dataBar" priority="45">
      <dataBar>
        <cfvo type="min"/>
        <cfvo type="max"/>
        <color rgb="FF63C384"/>
      </dataBar>
      <extLst>
        <ext xmlns:x14="http://schemas.microsoft.com/office/spreadsheetml/2009/9/main" uri="{B025F937-C7B1-47D3-B67F-A62EFF666E3E}">
          <x14:id>{5091493A-8CC0-4646-874A-93DEE51CD4AB}</x14:id>
        </ext>
      </extLst>
    </cfRule>
  </conditionalFormatting>
  <conditionalFormatting sqref="I21:I24">
    <cfRule type="dataBar" priority="75">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5">
    <cfRule type="dataBar" priority="57">
      <dataBar>
        <cfvo type="min"/>
        <cfvo type="max"/>
        <color rgb="FF63C384"/>
      </dataBar>
      <extLst>
        <ext xmlns:x14="http://schemas.microsoft.com/office/spreadsheetml/2009/9/main" uri="{B025F937-C7B1-47D3-B67F-A62EFF666E3E}">
          <x14:id>{5A27FB5F-AC6D-40FD-B152-7630C251B9C8}</x14:id>
        </ext>
      </extLst>
    </cfRule>
  </conditionalFormatting>
  <conditionalFormatting sqref="K21:K24">
    <cfRule type="dataBar" priority="76">
      <dataBar>
        <cfvo type="min"/>
        <cfvo type="max"/>
        <color rgb="FF63C384"/>
      </dataBar>
      <extLst>
        <ext xmlns:x14="http://schemas.microsoft.com/office/spreadsheetml/2009/9/main" uri="{B025F937-C7B1-47D3-B67F-A62EFF666E3E}">
          <x14:id>{60785AC6-7D44-400D-A2D8-9BBBDC5C548B}</x14:id>
        </ext>
      </extLst>
    </cfRule>
  </conditionalFormatting>
  <conditionalFormatting sqref="K5:O13">
    <cfRule type="dataBar" priority="30">
      <dataBar>
        <cfvo type="min"/>
        <cfvo type="max"/>
        <color rgb="FF63C384"/>
      </dataBar>
      <extLst>
        <ext xmlns:x14="http://schemas.microsoft.com/office/spreadsheetml/2009/9/main" uri="{B025F937-C7B1-47D3-B67F-A62EFF666E3E}">
          <x14:id>{1642E512-5328-4DB9-81F4-5A67EFFA2D7A}</x14:id>
        </ext>
      </extLst>
    </cfRule>
    <cfRule type="dataBar" priority="31">
      <dataBar>
        <cfvo type="min"/>
        <cfvo type="max"/>
        <color rgb="FF63C384"/>
      </dataBar>
      <extLst>
        <ext xmlns:x14="http://schemas.microsoft.com/office/spreadsheetml/2009/9/main" uri="{B025F937-C7B1-47D3-B67F-A62EFF666E3E}">
          <x14:id>{5832A442-CC22-41FC-AD17-86122538435B}</x14:id>
        </ext>
      </extLst>
    </cfRule>
  </conditionalFormatting>
  <conditionalFormatting sqref="K21:O24">
    <cfRule type="dataBar" priority="77">
      <dataBar>
        <cfvo type="min"/>
        <cfvo type="max"/>
        <color rgb="FF63C384"/>
      </dataBar>
      <extLst>
        <ext xmlns:x14="http://schemas.microsoft.com/office/spreadsheetml/2009/9/main" uri="{B025F937-C7B1-47D3-B67F-A62EFF666E3E}">
          <x14:id>{BE9D279A-ADD8-46F4-B26E-577DEFFA037B}</x14:id>
        </ext>
      </extLst>
    </cfRule>
    <cfRule type="dataBar" priority="78">
      <dataBar>
        <cfvo type="min"/>
        <cfvo type="max"/>
        <color rgb="FF63C384"/>
      </dataBar>
      <extLst>
        <ext xmlns:x14="http://schemas.microsoft.com/office/spreadsheetml/2009/9/main" uri="{B025F937-C7B1-47D3-B67F-A62EFF666E3E}">
          <x14:id>{CBC457F7-3DB8-46A0-988B-11CCF8FF31E5}</x14:id>
        </ext>
      </extLst>
    </cfRule>
    <cfRule type="dataBar" priority="79">
      <dataBar>
        <cfvo type="min"/>
        <cfvo type="max"/>
        <color rgb="FF63C384"/>
      </dataBar>
      <extLst>
        <ext xmlns:x14="http://schemas.microsoft.com/office/spreadsheetml/2009/9/main" uri="{B025F937-C7B1-47D3-B67F-A62EFF666E3E}">
          <x14:id>{589E11FE-E342-4D21-9EB3-CB0F15AE87A6}</x14:id>
        </ext>
      </extLst>
    </cfRule>
    <cfRule type="dataBar" priority="80">
      <dataBar>
        <cfvo type="min"/>
        <cfvo type="max"/>
        <color rgb="FF63C384"/>
      </dataBar>
      <extLst>
        <ext xmlns:x14="http://schemas.microsoft.com/office/spreadsheetml/2009/9/main" uri="{B025F937-C7B1-47D3-B67F-A62EFF666E3E}">
          <x14:id>{A85696C3-3FD4-4347-BBC8-6CEF041D9BC2}</x14:id>
        </ext>
      </extLst>
    </cfRule>
    <cfRule type="dataBar" priority="81">
      <dataBar>
        <cfvo type="min"/>
        <cfvo type="max"/>
        <color rgb="FF63C384"/>
      </dataBar>
      <extLst>
        <ext xmlns:x14="http://schemas.microsoft.com/office/spreadsheetml/2009/9/main" uri="{B025F937-C7B1-47D3-B67F-A62EFF666E3E}">
          <x14:id>{4CBCF4A4-EFBB-41F0-984E-0C4EF2D8C81C}</x14:id>
        </ext>
      </extLst>
    </cfRule>
    <cfRule type="dataBar" priority="82">
      <dataBar>
        <cfvo type="min"/>
        <cfvo type="max"/>
        <color rgb="FF63C384"/>
      </dataBar>
      <extLst>
        <ext xmlns:x14="http://schemas.microsoft.com/office/spreadsheetml/2009/9/main" uri="{B025F937-C7B1-47D3-B67F-A62EFF666E3E}">
          <x14:id>{9095667E-69EE-4811-BEDE-AFA010708C3B}</x14:id>
        </ext>
      </extLst>
    </cfRule>
    <cfRule type="dataBar" priority="83">
      <dataBar>
        <cfvo type="min"/>
        <cfvo type="max"/>
        <color rgb="FF63C384"/>
      </dataBar>
      <extLst>
        <ext xmlns:x14="http://schemas.microsoft.com/office/spreadsheetml/2009/9/main" uri="{B025F937-C7B1-47D3-B67F-A62EFF666E3E}">
          <x14:id>{00030478-9DDE-4C48-B970-8BFEEA7887D7}</x14:id>
        </ext>
      </extLst>
    </cfRule>
    <cfRule type="dataBar" priority="84">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5">
    <cfRule type="dataBar" priority="55">
      <dataBar>
        <cfvo type="min"/>
        <cfvo type="max"/>
        <color rgb="FF63C384"/>
      </dataBar>
      <extLst>
        <ext xmlns:x14="http://schemas.microsoft.com/office/spreadsheetml/2009/9/main" uri="{B025F937-C7B1-47D3-B67F-A62EFF666E3E}">
          <x14:id>{086E2BE5-AF7D-45A1-A497-EB3FB49CEB4D}</x14:id>
        </ext>
      </extLst>
    </cfRule>
  </conditionalFormatting>
  <conditionalFormatting sqref="L21:L24">
    <cfRule type="dataBar" priority="85">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4:M15">
    <cfRule type="dataBar" priority="54">
      <dataBar>
        <cfvo type="min"/>
        <cfvo type="max"/>
        <color rgb="FF63C384"/>
      </dataBar>
      <extLst>
        <ext xmlns:x14="http://schemas.microsoft.com/office/spreadsheetml/2009/9/main" uri="{B025F937-C7B1-47D3-B67F-A62EFF666E3E}">
          <x14:id>{CF921376-951B-44A1-A35C-F489AA25CABD}</x14:id>
        </ext>
      </extLst>
    </cfRule>
  </conditionalFormatting>
  <conditionalFormatting sqref="M23:M24">
    <cfRule type="dataBar" priority="86">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O13">
    <cfRule type="dataBar" priority="36">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4:N15">
    <cfRule type="dataBar" priority="53">
      <dataBar>
        <cfvo type="min"/>
        <cfvo type="max"/>
        <color rgb="FF63C384"/>
      </dataBar>
      <extLst>
        <ext xmlns:x14="http://schemas.microsoft.com/office/spreadsheetml/2009/9/main" uri="{B025F937-C7B1-47D3-B67F-A62EFF666E3E}">
          <x14:id>{13101FF6-2EA7-4030-B4D6-DA0DA1C2F6A6}</x14:id>
        </ext>
      </extLst>
    </cfRule>
  </conditionalFormatting>
  <conditionalFormatting sqref="N21:N24">
    <cfRule type="dataBar" priority="87">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4:O15">
    <cfRule type="dataBar" priority="52">
      <dataBar>
        <cfvo type="min"/>
        <cfvo type="max"/>
        <color rgb="FF63C384"/>
      </dataBar>
      <extLst>
        <ext xmlns:x14="http://schemas.microsoft.com/office/spreadsheetml/2009/9/main" uri="{B025F937-C7B1-47D3-B67F-A62EFF666E3E}">
          <x14:id>{1F18C40A-A33A-4D0B-B57F-47D9D6CF0D64}</x14:id>
        </ext>
      </extLst>
    </cfRule>
  </conditionalFormatting>
  <conditionalFormatting sqref="O21:O24">
    <cfRule type="dataBar" priority="88">
      <dataBar>
        <cfvo type="min"/>
        <cfvo type="max"/>
        <color rgb="FF63C384"/>
      </dataBar>
      <extLst>
        <ext xmlns:x14="http://schemas.microsoft.com/office/spreadsheetml/2009/9/main" uri="{B025F937-C7B1-47D3-B67F-A62EFF666E3E}">
          <x14:id>{26AC0999-7FF4-4431-B91F-7A7C0E85B670}</x14:id>
        </ext>
      </extLst>
    </cfRule>
  </conditionalFormatting>
  <hyperlinks>
    <hyperlink ref="B43" r:id="rId1" xr:uid="{43EB9DD6-10F8-47A1-B95A-C5D144D6F8FA}"/>
    <hyperlink ref="B44" r:id="rId2" xr:uid="{3DB2EA39-5FB0-4218-995B-DDC700DABE5E}"/>
    <hyperlink ref="B46" r:id="rId3" xr:uid="{5B87E05D-D5E7-42C9-830D-2EB5555C6E8F}"/>
    <hyperlink ref="B45" r:id="rId4" xr:uid="{F588E9EB-AC7C-47E9-AC65-0CDD5528D210}"/>
    <hyperlink ref="B47" r:id="rId5" xr:uid="{5529CB35-BAC9-41E0-8434-5F88E8552C0F}"/>
    <hyperlink ref="B49" r:id="rId6" location=":~:text=The%20Luxury%20Leather%20Goods%20segment%20worldwide%20is%20projected,in%20a%20market%20volume%20of%20US%2492.36bn%20in%202028" xr:uid="{651DFC46-F86E-49D4-BCCE-BE609A984536}"/>
    <hyperlink ref="B48" r:id="rId7" xr:uid="{03AFF048-7B8A-4896-877A-96E08193FCE9}"/>
  </hyperlinks>
  <pageMargins left="0.75" right="0.75" top="1" bottom="1" header="0" footer="0"/>
  <pageSetup orientation="landscape" r:id="rId8"/>
  <headerFooter alignWithMargins="0"/>
  <drawing r:id="rId9"/>
  <legacyDrawing r:id="rId10"/>
  <extLst>
    <ext xmlns:x14="http://schemas.microsoft.com/office/spreadsheetml/2009/9/main" uri="{78C0D931-6437-407d-A8EE-F0AAD7539E65}">
      <x14:conditionalFormattings>
        <x14:conditionalFormatting xmlns:xm="http://schemas.microsoft.com/office/excel/2006/main">
          <x14:cfRule type="dataBar" id="{0DABA5EE-E7A6-4C53-8DC7-2AD03089E49A}">
            <x14:dataBar minLength="0" maxLength="100" border="1" negativeBarBorderColorSameAsPositive="0">
              <x14:cfvo type="autoMin"/>
              <x14:cfvo type="autoMax"/>
              <x14:borderColor rgb="FF638EC6"/>
              <x14:negativeFillColor rgb="FFFF0000"/>
              <x14:negativeBorderColor rgb="FFFF0000"/>
              <x14:axisColor rgb="FF000000"/>
            </x14:dataBar>
          </x14:cfRule>
          <xm:sqref>B5:B13</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B21:B24</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D5:D15</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D21:D24</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D5:I13</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D21:I24</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E5:E15</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E21:E24</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F5:F15</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F21:F24</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G5:G15</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G21:G24</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H5:H15</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H21:H24</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I5:I15</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I21:I24</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K5:K15</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K21:K24</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K5:O13</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K21:O24</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L5:L15</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L21:L24</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M14:M15</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M23:M24</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M5:O13</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N14:N15</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N21:N24</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O21:O24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
  <sheetViews>
    <sheetView workbookViewId="0"/>
  </sheetViews>
  <sheetFormatPr defaultColWidth="11.42578125" defaultRowHeight="12.75"/>
  <cols>
    <col min="1" max="1" width="27.140625" bestFit="1" customWidth="1"/>
  </cols>
  <sheetData>
    <row r="1" spans="1:1">
      <c r="A1" t="s">
        <v>256</v>
      </c>
    </row>
    <row r="2" spans="1:1">
      <c r="A2" t="s">
        <v>257</v>
      </c>
    </row>
    <row r="3" spans="1:1">
      <c r="A3" t="s">
        <v>258</v>
      </c>
    </row>
    <row r="4" spans="1:1">
      <c r="A4" t="s">
        <v>259</v>
      </c>
    </row>
    <row r="5" spans="1:1">
      <c r="A5" t="s">
        <v>260</v>
      </c>
    </row>
    <row r="6" spans="1:1">
      <c r="A6" s="11" t="s">
        <v>261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M78"/>
  <sheetViews>
    <sheetView showGridLines="0" topLeftCell="A23" zoomScaleNormal="100" workbookViewId="0">
      <selection activeCell="C44" sqref="C44"/>
    </sheetView>
  </sheetViews>
  <sheetFormatPr defaultColWidth="11.42578125" defaultRowHeight="12.75" customHeight="1"/>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1.5703125" customWidth="1"/>
    <col min="10" max="10" width="10.7109375" customWidth="1"/>
  </cols>
  <sheetData>
    <row r="1" spans="2:13" ht="15">
      <c r="B1" s="156" t="s">
        <v>262</v>
      </c>
      <c r="C1" s="157" t="s">
        <v>263</v>
      </c>
      <c r="D1" s="1272" t="s">
        <v>217</v>
      </c>
      <c r="E1" s="1272"/>
      <c r="F1" s="1272"/>
      <c r="G1" s="1272"/>
      <c r="H1" s="1272"/>
    </row>
    <row r="2" spans="2:13" ht="81.75" customHeight="1">
      <c r="B2" s="158"/>
      <c r="C2" s="288" t="e" vm="2">
        <v>#VALUE!</v>
      </c>
      <c r="D2" s="1269" t="s">
        <v>264</v>
      </c>
      <c r="E2" s="1270"/>
      <c r="F2" s="1270"/>
      <c r="G2" s="1270"/>
      <c r="H2" s="1271"/>
    </row>
    <row r="3" spans="2:13" ht="81.75" customHeight="1">
      <c r="B3" s="158"/>
      <c r="C3" s="289" t="e" vm="3">
        <v>#VALUE!</v>
      </c>
      <c r="D3" s="1269" t="s">
        <v>265</v>
      </c>
      <c r="E3" s="1270"/>
      <c r="F3" s="1270"/>
      <c r="G3" s="1270"/>
      <c r="H3" s="1271"/>
    </row>
    <row r="4" spans="2:13" ht="81.75" customHeight="1">
      <c r="B4" s="158"/>
      <c r="C4" s="290" t="e" vm="4">
        <v>#VALUE!</v>
      </c>
      <c r="D4" s="1269" t="s">
        <v>266</v>
      </c>
      <c r="E4" s="1270"/>
      <c r="F4" s="1270"/>
      <c r="G4" s="1270"/>
      <c r="H4" s="1271"/>
      <c r="I4" s="348"/>
    </row>
    <row r="5" spans="2:13" ht="81.75" customHeight="1">
      <c r="B5" s="158"/>
      <c r="C5" s="291" t="e" vm="5">
        <v>#VALUE!</v>
      </c>
      <c r="D5" s="1269" t="s">
        <v>267</v>
      </c>
      <c r="E5" s="1270"/>
      <c r="F5" s="1270"/>
      <c r="G5" s="1270"/>
      <c r="H5" s="1271"/>
    </row>
    <row r="6" spans="2:13">
      <c r="B6" s="11"/>
    </row>
    <row r="7" spans="2:13" ht="59.25" customHeight="1">
      <c r="B7" s="155" t="s">
        <v>268</v>
      </c>
      <c r="C7" s="284" t="e" vm="1">
        <f>OP!E2</f>
        <v>#VALUE!</v>
      </c>
      <c r="D7" s="285" t="e" vm="2">
        <f>C2</f>
        <v>#VALUE!</v>
      </c>
      <c r="E7" s="286" t="e" vm="3">
        <f>C3</f>
        <v>#VALUE!</v>
      </c>
      <c r="F7" s="287" t="e" vm="4">
        <f>C4</f>
        <v>#VALUE!</v>
      </c>
      <c r="G7" s="473" t="e" vm="5">
        <f>C5</f>
        <v>#VALUE!</v>
      </c>
      <c r="H7" s="495" t="s">
        <v>269</v>
      </c>
      <c r="I7" s="439" t="s">
        <v>270</v>
      </c>
    </row>
    <row r="8" spans="2:13" ht="16.5" customHeight="1">
      <c r="B8" s="150" t="s">
        <v>271</v>
      </c>
      <c r="C8" s="145"/>
      <c r="D8" s="146"/>
      <c r="E8" s="146"/>
      <c r="F8" s="146"/>
      <c r="G8" s="146"/>
      <c r="H8" s="147" t="str">
        <f t="shared" ref="H8:H21" si="0">IFERROR(AVERAGE(C8:G8),"")</f>
        <v/>
      </c>
      <c r="I8" s="418"/>
      <c r="K8" s="1277" t="s">
        <v>272</v>
      </c>
      <c r="L8" s="1278"/>
      <c r="M8" s="1279"/>
    </row>
    <row r="9" spans="2:13" ht="13.5" customHeight="1">
      <c r="B9" s="149" t="s">
        <v>273</v>
      </c>
      <c r="C9" s="484">
        <f ca="1">OP!C27</f>
        <v>66801.991870069498</v>
      </c>
      <c r="D9" s="484" cm="1">
        <f t="array" aca="1" ref="D9" ca="1">_FV(D7,"Shares outstanding",TRUE)*_FV(D7,"Price")/1000000</f>
        <v>286281.10908000002</v>
      </c>
      <c r="E9" s="484" cm="1">
        <f t="array" aca="1" ref="E9" ca="1">_FV(E7,"Shares outstanding",TRUE)*_FV(E7,"Price")/1000000</f>
        <v>26041.788799999998</v>
      </c>
      <c r="F9" s="484" cm="1">
        <f t="array" aca="1" ref="F9" ca="1">_FV(F7,"Shares outstanding",TRUE)*_FV(F7,"Price")/1000000</f>
        <v>208921.8426</v>
      </c>
      <c r="G9" s="484" cm="1">
        <f t="array" aca="1" ref="G9" ca="1">_FV(G7,"Shares outstanding",TRUE)*_FV(G7,"Price")/1000000</f>
        <v>1299.5725050000001</v>
      </c>
      <c r="H9" s="486">
        <f t="shared" ca="1" si="0"/>
        <v>117869.26097101389</v>
      </c>
      <c r="I9" s="487">
        <f ca="1">SQRT((C9-H9)^2)</f>
        <v>51067.269100944395</v>
      </c>
      <c r="K9" s="1280"/>
      <c r="L9" s="1275" t="s">
        <v>274</v>
      </c>
      <c r="M9" s="1276"/>
    </row>
    <row r="10" spans="2:13">
      <c r="B10" s="360" t="s">
        <v>275</v>
      </c>
      <c r="C10" s="485">
        <f>C55</f>
        <v>19953</v>
      </c>
      <c r="D10" s="485">
        <f>D55</f>
        <v>10581</v>
      </c>
      <c r="E10" s="485">
        <f>E55</f>
        <v>20351</v>
      </c>
      <c r="F10" s="485">
        <f>F55</f>
        <v>3671</v>
      </c>
      <c r="G10" s="485">
        <f>G55</f>
        <v>7615.2345000000005</v>
      </c>
      <c r="H10" s="488">
        <f t="shared" si="0"/>
        <v>12434.2469</v>
      </c>
      <c r="I10" s="489">
        <f>SQRT((C10-H10)^2)</f>
        <v>7518.7530999999999</v>
      </c>
      <c r="K10" s="1280"/>
      <c r="L10" s="1275"/>
      <c r="M10" s="1276"/>
    </row>
    <row r="11" spans="2:13" ht="16.5" customHeight="1">
      <c r="B11" s="150" t="s">
        <v>276</v>
      </c>
      <c r="C11" s="154"/>
      <c r="D11" s="154"/>
      <c r="E11" s="154"/>
      <c r="F11" s="154"/>
      <c r="G11" s="154"/>
      <c r="H11" s="386" t="str">
        <f t="shared" si="0"/>
        <v/>
      </c>
      <c r="I11" s="419"/>
      <c r="K11" s="1274"/>
      <c r="L11" s="1275" t="s">
        <v>277</v>
      </c>
      <c r="M11" s="1276"/>
    </row>
    <row r="12" spans="2:13">
      <c r="B12" s="149" t="s">
        <v>278</v>
      </c>
      <c r="C12" s="535">
        <f>C55/C54-1</f>
        <v>0.19136613326964413</v>
      </c>
      <c r="D12" s="369">
        <f>D55/D54-1</f>
        <v>0.18038821954484607</v>
      </c>
      <c r="E12" s="369">
        <f>E55/E54-1</f>
        <v>0.15335789175403791</v>
      </c>
      <c r="F12" s="369">
        <f>F55/F54-1</f>
        <v>0.43622848200312991</v>
      </c>
      <c r="G12" s="369">
        <f>G55/G54-1</f>
        <v>2.5434158348147218E-2</v>
      </c>
      <c r="H12" s="387">
        <f t="shared" si="0"/>
        <v>0.19735497698396104</v>
      </c>
      <c r="I12" s="420">
        <f t="shared" ref="I12:I17" si="1">SQRT((C12-H12)^2)</f>
        <v>5.9888437143169049E-3</v>
      </c>
      <c r="K12" s="1274"/>
      <c r="L12" s="1275"/>
      <c r="M12" s="1276"/>
    </row>
    <row r="13" spans="2:13">
      <c r="B13" s="361" t="s">
        <v>279</v>
      </c>
      <c r="C13" s="536">
        <f>C55/C53-1</f>
        <v>0.40139064475347652</v>
      </c>
      <c r="D13" s="362">
        <f>D55/D53-1</f>
        <v>2.152860548271752</v>
      </c>
      <c r="E13" s="362">
        <f>E55/E53-1</f>
        <v>0.55351145038167937</v>
      </c>
      <c r="F13" s="362">
        <f>F55/F53-1</f>
        <v>1.2872274143302183</v>
      </c>
      <c r="G13" s="362">
        <f>G55/G53-1</f>
        <v>0.34030384271671132</v>
      </c>
      <c r="H13" s="388">
        <f t="shared" si="0"/>
        <v>0.94705878009076749</v>
      </c>
      <c r="I13" s="421">
        <f t="shared" si="1"/>
        <v>0.54566813533729097</v>
      </c>
      <c r="K13" s="1281"/>
      <c r="L13" s="1275" t="s">
        <v>280</v>
      </c>
      <c r="M13" s="1276"/>
    </row>
    <row r="14" spans="2:13">
      <c r="B14" s="370" t="s">
        <v>145</v>
      </c>
      <c r="C14" s="1021">
        <f>C58/C55</f>
        <v>0.25214253495714928</v>
      </c>
      <c r="D14" s="371">
        <f>D58/D55</f>
        <v>1.9847840468764768</v>
      </c>
      <c r="E14" s="371">
        <f>E58/E55</f>
        <v>0.27463023930028008</v>
      </c>
      <c r="F14" s="371">
        <f>F58/F55</f>
        <v>1.2794878779624081</v>
      </c>
      <c r="G14" s="371">
        <f>G58/G55</f>
        <v>0.15442058941192158</v>
      </c>
      <c r="H14" s="388">
        <f t="shared" si="0"/>
        <v>0.78909305770164717</v>
      </c>
      <c r="I14" s="422">
        <f t="shared" si="1"/>
        <v>0.53695052274449795</v>
      </c>
      <c r="K14" s="1282"/>
      <c r="L14" s="1283"/>
      <c r="M14" s="1284"/>
    </row>
    <row r="15" spans="2:13">
      <c r="B15" s="361" t="s">
        <v>281</v>
      </c>
      <c r="C15" s="1021">
        <f>C61/C55</f>
        <v>0.19661203828998144</v>
      </c>
      <c r="D15" s="362">
        <f>D61/D55</f>
        <v>1.3310651167186467</v>
      </c>
      <c r="E15" s="362">
        <f>E61/E55</f>
        <v>0.18411871652498649</v>
      </c>
      <c r="F15" s="362">
        <f>F61/F55</f>
        <v>0.9171887769000272</v>
      </c>
      <c r="G15" s="362">
        <f>G61/G55</f>
        <v>0.10974796639551941</v>
      </c>
      <c r="H15" s="388">
        <f t="shared" si="0"/>
        <v>0.54774652296583226</v>
      </c>
      <c r="I15" s="421">
        <f t="shared" si="1"/>
        <v>0.35113448467585084</v>
      </c>
    </row>
    <row r="16" spans="2:13">
      <c r="B16" s="370" t="s">
        <v>282</v>
      </c>
      <c r="C16" s="538">
        <f>C61/C73</f>
        <v>0.20692019621288044</v>
      </c>
      <c r="D16" s="371">
        <f>D61/D73</f>
        <v>0.24881633806798106</v>
      </c>
      <c r="E16" s="371">
        <f>E61/E73</f>
        <v>0.25346681999594128</v>
      </c>
      <c r="F16" s="371">
        <f>F61/F73</f>
        <v>0.27028979690134058</v>
      </c>
      <c r="G16" s="371">
        <f>G61/G73</f>
        <v>6.8293087710563444E-2</v>
      </c>
      <c r="H16" s="388">
        <f t="shared" si="0"/>
        <v>0.20955724777774137</v>
      </c>
      <c r="I16" s="422">
        <f t="shared" si="1"/>
        <v>2.6370515648609372E-3</v>
      </c>
    </row>
    <row r="17" spans="1:9">
      <c r="B17" s="360" t="s">
        <v>283</v>
      </c>
      <c r="C17" s="363">
        <f>(C61+C60)/(C72+C73)</f>
        <v>8.8824718452209073E-2</v>
      </c>
      <c r="D17" s="363">
        <f>(D61+D60)/(D72+D73)</f>
        <v>0.11424754070445227</v>
      </c>
      <c r="E17" s="363">
        <f>(E61+E60)/(E72+E73)</f>
        <v>0.10861143523920654</v>
      </c>
      <c r="F17" s="363">
        <f>(F61+F60)/(F72+F73)</f>
        <v>0.16503921882503603</v>
      </c>
      <c r="G17" s="363">
        <f>(G61+G60)/(G72+G73)</f>
        <v>4.5601525578310258E-2</v>
      </c>
      <c r="H17" s="389">
        <f t="shared" si="0"/>
        <v>0.10446488775984282</v>
      </c>
      <c r="I17" s="423">
        <f t="shared" si="1"/>
        <v>1.5640169307633747E-2</v>
      </c>
    </row>
    <row r="18" spans="1:9" ht="15.75">
      <c r="B18" s="150" t="s">
        <v>284</v>
      </c>
      <c r="C18" s="154"/>
      <c r="D18" s="154"/>
      <c r="E18" s="154"/>
      <c r="F18" s="154"/>
      <c r="G18" s="154"/>
      <c r="H18" s="390" t="str">
        <f t="shared" si="0"/>
        <v/>
      </c>
      <c r="I18" s="419"/>
    </row>
    <row r="19" spans="1:9">
      <c r="B19" s="149" t="s">
        <v>90</v>
      </c>
      <c r="C19" s="539">
        <f>C72/C69</f>
        <v>0.38327585785212903</v>
      </c>
      <c r="D19" s="372">
        <f>D72/D69</f>
        <v>0.14659923057498922</v>
      </c>
      <c r="E19" s="372">
        <f>E72/E69</f>
        <v>0.19569252526442946</v>
      </c>
      <c r="F19" s="537">
        <f>F72/F69</f>
        <v>2.1192508161979495E-3</v>
      </c>
      <c r="G19" s="537">
        <f>G72/G69</f>
        <v>7.1978694306485281E-4</v>
      </c>
      <c r="H19" s="391">
        <f t="shared" si="0"/>
        <v>0.14568133029016211</v>
      </c>
      <c r="I19" s="424">
        <f>SQRT((C19-H19)^2)</f>
        <v>0.23759452756196692</v>
      </c>
    </row>
    <row r="20" spans="1:9">
      <c r="B20" s="361" t="s">
        <v>285</v>
      </c>
      <c r="C20" s="540">
        <f>(C72-C64)/C57</f>
        <v>-0.40977559176145095</v>
      </c>
      <c r="D20" s="364">
        <f>(D72-D64)/D57</f>
        <v>0.5907860365708858</v>
      </c>
      <c r="E20" s="364">
        <f>(E72-E64)/E57</f>
        <v>0.31784975878704341</v>
      </c>
      <c r="F20" s="364">
        <f>(F72-F64)/F57</f>
        <v>-1.7504286530767765</v>
      </c>
      <c r="G20" s="364">
        <f>(G72-G64)/G57</f>
        <v>-1.3840255591054311</v>
      </c>
      <c r="H20" s="391">
        <f t="shared" si="0"/>
        <v>-0.52711880171714598</v>
      </c>
      <c r="I20" s="425">
        <f>SQRT((C20-H20)^2)</f>
        <v>0.11734320995569503</v>
      </c>
    </row>
    <row r="21" spans="1:9">
      <c r="B21" s="373" t="s">
        <v>286</v>
      </c>
      <c r="C21" s="383">
        <f>-C57/C59</f>
        <v>25.217054263565892</v>
      </c>
      <c r="D21" s="383">
        <f>-D57/D59</f>
        <v>23.710585585585587</v>
      </c>
      <c r="E21" s="383">
        <f>-E57/E59</f>
        <v>27.903846153846153</v>
      </c>
      <c r="F21" s="383">
        <f>-F57/F59</f>
        <v>84.661290322580641</v>
      </c>
      <c r="G21" s="383">
        <f>-G57/G59</f>
        <v>25.241935483870968</v>
      </c>
      <c r="H21" s="392">
        <f t="shared" si="0"/>
        <v>37.346942361889845</v>
      </c>
      <c r="I21" s="426">
        <f>SQRT((C21-H21)^2)</f>
        <v>12.129888098323953</v>
      </c>
    </row>
    <row r="22" spans="1:9" ht="15.75">
      <c r="B22" s="150" t="s">
        <v>287</v>
      </c>
      <c r="C22" s="154"/>
      <c r="D22" s="154"/>
      <c r="E22" s="154"/>
      <c r="F22" s="154"/>
      <c r="G22" s="154"/>
      <c r="H22" s="393"/>
      <c r="I22" s="419"/>
    </row>
    <row r="23" spans="1:9">
      <c r="B23" s="365" t="s">
        <v>288</v>
      </c>
      <c r="C23" s="366">
        <f>C67/C71</f>
        <v>2.4159132007233275</v>
      </c>
      <c r="D23" s="366">
        <f>D67/D71</f>
        <v>1.259867482484228</v>
      </c>
      <c r="E23" s="366">
        <f>E67/E71</f>
        <v>1.371032212555843</v>
      </c>
      <c r="F23" s="366">
        <f>F67/F71</f>
        <v>3.937416777629827</v>
      </c>
      <c r="G23" s="366">
        <f>G67/G71</f>
        <v>9.2300177619893429</v>
      </c>
      <c r="H23" s="394">
        <f t="shared" ref="H23:H40" si="2">IFERROR(AVERAGE(C23:G23),"")</f>
        <v>3.6428494870765133</v>
      </c>
      <c r="I23" s="427">
        <f>SQRT((C23-H23)^2)</f>
        <v>1.2269362863531859</v>
      </c>
    </row>
    <row r="24" spans="1:9">
      <c r="B24" s="373" t="s">
        <v>289</v>
      </c>
      <c r="C24" s="374">
        <f>(C64+C65)/C71</f>
        <v>1.8263062720091368</v>
      </c>
      <c r="D24" s="374">
        <f>(D64+D65)/D71</f>
        <v>0.36642044193640427</v>
      </c>
      <c r="E24" s="374">
        <f>(E64+E65)/E71</f>
        <v>0.6484834234657888</v>
      </c>
      <c r="F24" s="374">
        <f>(F64+F65)/F71</f>
        <v>3.1984021304926764</v>
      </c>
      <c r="G24" s="374">
        <f>(G64+G65)/G71</f>
        <v>2.5213143872113677</v>
      </c>
      <c r="H24" s="392">
        <f t="shared" si="2"/>
        <v>1.7121853310230748</v>
      </c>
      <c r="I24" s="428">
        <f>SQRT((C24-H24)^2)</f>
        <v>0.11412094098606196</v>
      </c>
    </row>
    <row r="25" spans="1:9" ht="15.75">
      <c r="B25" s="150" t="s">
        <v>290</v>
      </c>
      <c r="C25" s="154"/>
      <c r="D25" s="154"/>
      <c r="E25" s="154"/>
      <c r="F25" s="154"/>
      <c r="G25" s="154"/>
      <c r="H25" s="393" t="str">
        <f t="shared" si="2"/>
        <v/>
      </c>
      <c r="I25" s="419"/>
    </row>
    <row r="26" spans="1:9">
      <c r="B26" s="365" t="s">
        <v>291</v>
      </c>
      <c r="C26" s="541">
        <f>C56/C66</f>
        <v>0.87894588500563697</v>
      </c>
      <c r="D26" s="366">
        <f>D56/D66</f>
        <v>1.2297849303607462</v>
      </c>
      <c r="E26" s="366">
        <f>E56/E66</f>
        <v>1.1540873460246361</v>
      </c>
      <c r="F26" s="366">
        <f>F56/F66</f>
        <v>1.9050028105677346</v>
      </c>
      <c r="G26" s="366">
        <f>G56/G66</f>
        <v>0.26873272224647171</v>
      </c>
      <c r="H26" s="394">
        <f t="shared" si="2"/>
        <v>1.0873107388410452</v>
      </c>
      <c r="I26" s="427">
        <f>SQRT((C26-H26)^2)</f>
        <v>0.20836485383540826</v>
      </c>
    </row>
    <row r="27" spans="1:9">
      <c r="B27" s="370" t="s">
        <v>292</v>
      </c>
      <c r="C27" s="543">
        <f>C55/C65</f>
        <v>23.419014084507044</v>
      </c>
      <c r="D27" s="374">
        <f>D55/D65</f>
        <v>2.4849694692343824</v>
      </c>
      <c r="E27" s="374">
        <f>E55/E65</f>
        <v>17.246610169491525</v>
      </c>
      <c r="F27" s="374">
        <f>F55/F65</f>
        <v>9.5848563968668401</v>
      </c>
      <c r="G27" s="374">
        <f>G55/G65</f>
        <v>11.310708898944192</v>
      </c>
      <c r="H27" s="391">
        <f t="shared" si="2"/>
        <v>12.809231803808796</v>
      </c>
      <c r="I27" s="428">
        <f>SQRT((C27-H27)^2)</f>
        <v>10.609782280698248</v>
      </c>
    </row>
    <row r="28" spans="1:9">
      <c r="A28" s="11" t="s">
        <v>293</v>
      </c>
      <c r="B28" s="361" t="s">
        <v>294</v>
      </c>
      <c r="C28" s="367">
        <f>C56/C70</f>
        <v>3.098360655737705</v>
      </c>
      <c r="D28" s="364">
        <f>D56/D70</f>
        <v>2.8434228493400089</v>
      </c>
      <c r="E28" s="364">
        <f>E56/E70</f>
        <v>2.2770658418029166</v>
      </c>
      <c r="F28" s="364">
        <f>F56/F70</f>
        <v>4.3616473616473614</v>
      </c>
      <c r="G28" s="364">
        <f>G56/G70</f>
        <v>6.1979865771812079</v>
      </c>
      <c r="H28" s="391">
        <f t="shared" si="2"/>
        <v>3.75569665714184</v>
      </c>
      <c r="I28" s="425">
        <f>SQRT((C28-H28)^2)</f>
        <v>0.65733600140413495</v>
      </c>
    </row>
    <row r="29" spans="1:9">
      <c r="B29" s="370" t="s">
        <v>295</v>
      </c>
      <c r="C29" s="544">
        <f>C55/C68</f>
        <v>2.888390272148234</v>
      </c>
      <c r="D29" s="374">
        <f>D55/D68</f>
        <v>0.45894599869876385</v>
      </c>
      <c r="E29" s="374">
        <f>E55/E68</f>
        <v>6.0067886658795748</v>
      </c>
      <c r="F29" s="374">
        <f>F55/F68</f>
        <v>1.8290981564524165</v>
      </c>
      <c r="G29" s="374">
        <f>G55/G68</f>
        <v>2.7712490761271247</v>
      </c>
      <c r="H29" s="391">
        <f t="shared" si="2"/>
        <v>2.7908944338612227</v>
      </c>
      <c r="I29" s="428">
        <f>SQRT((C29-H29)^2)</f>
        <v>9.7495838287011249E-2</v>
      </c>
    </row>
    <row r="30" spans="1:9">
      <c r="B30" s="360" t="s">
        <v>296</v>
      </c>
      <c r="C30" s="375">
        <f>C55/C69</f>
        <v>0.488003521901827</v>
      </c>
      <c r="D30" s="375">
        <f>D55/D69</f>
        <v>7.8583842074773855E-2</v>
      </c>
      <c r="E30" s="375">
        <f>E55/E69</f>
        <v>0.59959930467576084</v>
      </c>
      <c r="F30" s="375">
        <f>F55/F69</f>
        <v>0.21026404719628844</v>
      </c>
      <c r="G30" s="375">
        <f>G55/G69</f>
        <v>0.53976822860433316</v>
      </c>
      <c r="H30" s="391">
        <f t="shared" si="2"/>
        <v>0.38324378889059663</v>
      </c>
      <c r="I30" s="429">
        <f>SQRT((C30-H30)^2)</f>
        <v>0.10475973301123037</v>
      </c>
    </row>
    <row r="31" spans="1:9" ht="15.75">
      <c r="B31" s="151" t="s">
        <v>130</v>
      </c>
      <c r="C31" s="154"/>
      <c r="D31" s="154"/>
      <c r="E31" s="154"/>
      <c r="F31" s="154"/>
      <c r="G31" s="154"/>
      <c r="H31" s="395" t="str">
        <f t="shared" si="2"/>
        <v/>
      </c>
      <c r="I31" s="419"/>
    </row>
    <row r="32" spans="1:9">
      <c r="B32" s="149" t="s">
        <v>297</v>
      </c>
      <c r="C32" s="970">
        <f ca="1">C9/C61</f>
        <v>17.028292600068696</v>
      </c>
      <c r="D32" s="382">
        <f ca="1">D9/D61</f>
        <v>20.326690505538203</v>
      </c>
      <c r="E32" s="382">
        <f ca="1">E9/E61</f>
        <v>6.9500370429677067</v>
      </c>
      <c r="F32" s="382">
        <f ca="1">F9/F61</f>
        <v>62.049849302049303</v>
      </c>
      <c r="G32" s="382">
        <f ca="1">G9/G61</f>
        <v>1.5549654773848602</v>
      </c>
      <c r="H32" s="394">
        <f t="shared" ca="1" si="2"/>
        <v>21.581966985601753</v>
      </c>
      <c r="I32" s="430">
        <f ca="1">SQRT((C32-H32)^2)</f>
        <v>4.553674385533057</v>
      </c>
    </row>
    <row r="33" spans="2:10">
      <c r="B33" s="361" t="s">
        <v>293</v>
      </c>
      <c r="C33" s="971">
        <f ca="1">C9/C55</f>
        <v>3.3479673166977144</v>
      </c>
      <c r="D33" s="368">
        <f ca="1">D9/D55</f>
        <v>27.056148670258011</v>
      </c>
      <c r="E33" s="368">
        <f ca="1">E9/E55</f>
        <v>1.2796319001523266</v>
      </c>
      <c r="F33" s="368">
        <f ca="1">F9/F55</f>
        <v>56.911425388177612</v>
      </c>
      <c r="G33" s="368">
        <f ca="1">G9/G55</f>
        <v>0.17065429895822642</v>
      </c>
      <c r="H33" s="391">
        <f t="shared" ca="1" si="2"/>
        <v>17.753165514848781</v>
      </c>
      <c r="I33" s="431">
        <f ca="1">SQRT((C33-H33)^2)</f>
        <v>14.405198198151068</v>
      </c>
    </row>
    <row r="34" spans="2:10">
      <c r="B34" s="370" t="s">
        <v>298</v>
      </c>
      <c r="C34" s="971">
        <f ca="1">C9/C73</f>
        <v>3.5234976459765543</v>
      </c>
      <c r="D34" s="384">
        <f ca="1">D9/D73</f>
        <v>5.0576126966292136</v>
      </c>
      <c r="E34" s="384">
        <f ca="1">E9/E73</f>
        <v>1.7616037881350199</v>
      </c>
      <c r="F34" s="384">
        <f ca="1">F9/F73</f>
        <v>16.771441165609698</v>
      </c>
      <c r="G34" s="384">
        <f ca="1">G9/G73</f>
        <v>0.10619339373394242</v>
      </c>
      <c r="H34" s="391">
        <f t="shared" ca="1" si="2"/>
        <v>5.4440697380168857</v>
      </c>
      <c r="I34" s="432">
        <f ca="1">SQRT((C34-H34)^2)</f>
        <v>1.9205720920403313</v>
      </c>
    </row>
    <row r="35" spans="2:10">
      <c r="B35" s="361" t="s">
        <v>299</v>
      </c>
      <c r="C35" s="971">
        <f ca="1">(C72+C9-C64)/C55</f>
        <v>3.2143533238144388</v>
      </c>
      <c r="D35" s="368">
        <f ca="1">(D72+D9-D64)/D55</f>
        <v>28.231746439845008</v>
      </c>
      <c r="E35" s="368">
        <f ca="1">(E72+E9-E64)/E55</f>
        <v>1.3929432853422437</v>
      </c>
      <c r="F35" s="368">
        <f ca="1">(F72+F9-F64)/F55</f>
        <v>54.408565132116593</v>
      </c>
      <c r="G35" s="368">
        <f ca="1">(G72+G9-G64)/G55</f>
        <v>-0.1181842128433471</v>
      </c>
      <c r="H35" s="391">
        <f t="shared" ca="1" si="2"/>
        <v>17.425884793654987</v>
      </c>
      <c r="I35" s="431">
        <f ca="1">SQRT((C35-H35)^2)</f>
        <v>14.211531469840548</v>
      </c>
    </row>
    <row r="36" spans="2:10">
      <c r="B36" s="373" t="s">
        <v>300</v>
      </c>
      <c r="C36" s="972">
        <f ca="1">(C72+C9-C64)/C57</f>
        <v>9.8579760021625411</v>
      </c>
      <c r="D36" s="381">
        <f ca="1">(D72+D9-D64)/D57</f>
        <v>14.187609075279033</v>
      </c>
      <c r="E36" s="381">
        <f ca="1">(E72+E9-E64)/E57</f>
        <v>3.9073451137146793</v>
      </c>
      <c r="F36" s="381">
        <f ca="1">(F72+F9-F64)/F57</f>
        <v>38.051789407506192</v>
      </c>
      <c r="G36" s="381">
        <f ca="1">(G72+G9-G64)/G57</f>
        <v>-0.56630249975224278</v>
      </c>
      <c r="H36" s="392">
        <f t="shared" ca="1" si="2"/>
        <v>13.087683419782042</v>
      </c>
      <c r="I36" s="433">
        <f ca="1">SQRT((C36-H36)^2)</f>
        <v>3.2297074176195011</v>
      </c>
    </row>
    <row r="37" spans="2:10" ht="15.75">
      <c r="B37" s="151" t="s">
        <v>301</v>
      </c>
      <c r="C37" s="154"/>
      <c r="D37" s="154"/>
      <c r="E37" s="154"/>
      <c r="F37" s="154"/>
      <c r="G37" s="154"/>
      <c r="H37" s="396" t="str">
        <f t="shared" si="2"/>
        <v/>
      </c>
      <c r="I37" s="419"/>
    </row>
    <row r="38" spans="2:10">
      <c r="B38" s="149" t="s">
        <v>66</v>
      </c>
      <c r="C38" s="545">
        <f>OP!M25</f>
        <v>0.98</v>
      </c>
      <c r="D38" s="385" cm="1">
        <f t="array" aca="1" ref="D38" ca="1">256.93/(_FV(D51,"Shares outstanding",TRUE)/1000000)</f>
        <v>0.5137144133352608</v>
      </c>
      <c r="E38" s="385" cm="1">
        <f t="array" aca="1" ref="E38" ca="1">70.06/(_FV(E51,"Shares outstanding",TRUE)/1000000)</f>
        <v>0.56765148175996272</v>
      </c>
      <c r="F38" s="385" cm="1">
        <f t="array" aca="1" ref="F38" ca="1">32.7/(_FV(F51,"Shares outstanding",TRUE)/1000000)</f>
        <v>0.30974884767745203</v>
      </c>
      <c r="G38" s="514" cm="1">
        <f t="array" aca="1" ref="G38" ca="1">38.42/(_FV(G51,"Shares outstanding",TRUE)/1000000)</f>
        <v>0.26341139004014247</v>
      </c>
      <c r="H38" s="387">
        <f t="shared" ca="1" si="2"/>
        <v>0.52690522656256367</v>
      </c>
      <c r="I38" s="434">
        <f ca="1">SQRT((C38-H38)^2)</f>
        <v>0.45309477343743632</v>
      </c>
    </row>
    <row r="39" spans="2:10">
      <c r="B39" s="376" t="s">
        <v>302</v>
      </c>
      <c r="C39" s="1024">
        <f>OP!M27</f>
        <v>1.28</v>
      </c>
      <c r="D39" s="377">
        <v>1.02</v>
      </c>
      <c r="E39" s="377">
        <v>1.1499999999999999</v>
      </c>
      <c r="F39" s="377">
        <v>0.76</v>
      </c>
      <c r="G39" s="377">
        <v>0.97</v>
      </c>
      <c r="H39" s="397">
        <f t="shared" si="2"/>
        <v>1.036</v>
      </c>
      <c r="I39" s="435">
        <f>SQRT((C39-H39)^2)</f>
        <v>0.24399999999999999</v>
      </c>
    </row>
    <row r="40" spans="2:10">
      <c r="B40" s="373" t="s">
        <v>303</v>
      </c>
      <c r="C40" s="1020">
        <f ca="1">OP!M37</f>
        <v>2.7708754607201121E-2</v>
      </c>
      <c r="D40" s="380">
        <v>1.77E-2</v>
      </c>
      <c r="E40" s="380">
        <v>3.56E-2</v>
      </c>
      <c r="F40" s="380">
        <v>7.3000000000000001E-3</v>
      </c>
      <c r="G40" s="380">
        <v>2.64E-2</v>
      </c>
      <c r="H40" s="388">
        <f t="shared" ca="1" si="2"/>
        <v>2.2941750921440223E-2</v>
      </c>
      <c r="I40" s="436">
        <f ca="1">SQRT((C40-H40)^2)</f>
        <v>4.7670036857608983E-3</v>
      </c>
    </row>
    <row r="41" spans="2:10" ht="15.75">
      <c r="B41" s="151" t="s">
        <v>304</v>
      </c>
      <c r="C41" s="154"/>
      <c r="D41" s="154"/>
      <c r="E41" s="154"/>
      <c r="F41" s="154"/>
      <c r="G41" s="154"/>
      <c r="H41" s="398"/>
      <c r="I41" s="419"/>
    </row>
    <row r="42" spans="2:10">
      <c r="B42" s="152" t="s">
        <v>305</v>
      </c>
      <c r="C42" s="511" cm="1">
        <f t="array" aca="1" ref="C42" ca="1">(_FV(C51,"Price"))/97.94-1</f>
        <v>0.18899326118031445</v>
      </c>
      <c r="D42" s="511">
        <f ca="1">D44/639-1</f>
        <v>-0.10422535211267614</v>
      </c>
      <c r="E42" s="475">
        <f ca="1">E44/463.7-1</f>
        <v>-0.54496441664869533</v>
      </c>
      <c r="F42" s="475">
        <f ca="1">F44/1310.5-1</f>
        <v>0.51011064479206403</v>
      </c>
      <c r="G42" s="515" cm="1">
        <f t="array" aca="1" ref="G42" ca="1">(_FV(G51,"Price"))/11.18-1</f>
        <v>-0.20304114490160996</v>
      </c>
      <c r="H42" s="387">
        <f t="shared" ref="H42:H49" ca="1" si="3">IFERROR(AVERAGE(C42:G42),"")</f>
        <v>-3.062540153812059E-2</v>
      </c>
      <c r="I42" s="412">
        <f ca="1">SQRT((C42-H42)^2)</f>
        <v>0.21961866271843505</v>
      </c>
    </row>
    <row r="43" spans="2:10">
      <c r="B43" s="361" t="s">
        <v>306</v>
      </c>
      <c r="C43" s="546" cm="1">
        <f t="array" aca="1" ref="C43" ca="1">(_FV(C51,"Price"))/57.5-1</f>
        <v>1.0252173913043481</v>
      </c>
      <c r="D43" s="512">
        <f ca="1">D44/402.3-1</f>
        <v>0.42281879194630867</v>
      </c>
      <c r="E43" s="476">
        <f ca="1">E44/518.5-1</f>
        <v>-0.59305689488910318</v>
      </c>
      <c r="F43" s="476">
        <f ca="1">F44/799-1</f>
        <v>1.4768460575719651</v>
      </c>
      <c r="G43" s="516" cm="1">
        <f t="array" aca="1" ref="G43" ca="1">(_FV(G51,"Price"))/10.48-1</f>
        <v>-0.14980916030534353</v>
      </c>
      <c r="H43" s="387">
        <f t="shared" ca="1" si="3"/>
        <v>0.436403237125635</v>
      </c>
      <c r="I43" s="437">
        <f ca="1">SQRT((C43-H43)^2)</f>
        <v>0.58881415417871308</v>
      </c>
    </row>
    <row r="44" spans="2:10">
      <c r="B44" s="153" t="s">
        <v>307</v>
      </c>
      <c r="C44" s="513" cm="1">
        <f t="array" aca="1" ref="C44" ca="1">_FV(C7,"Price")*J52</f>
        <v>118.25497500000002</v>
      </c>
      <c r="D44" s="513" cm="1">
        <f t="array" aca="1" ref="D44" ca="1">_FV(D7,"Price")</f>
        <v>572.4</v>
      </c>
      <c r="E44" s="513" cm="1">
        <f t="array" aca="1" ref="E44" ca="1">_FV(E7,"Price")</f>
        <v>211</v>
      </c>
      <c r="F44" s="513" cm="1">
        <f t="array" aca="1" ref="F44" ca="1">_FV(F7,"Price")</f>
        <v>1979</v>
      </c>
      <c r="G44" s="513" cm="1">
        <f t="array" aca="1" ref="G44" ca="1">_FV(G7,"Price")*J53</f>
        <v>8.3540159999999997</v>
      </c>
      <c r="H44" s="387">
        <f t="shared" ca="1" si="3"/>
        <v>577.80179819999989</v>
      </c>
      <c r="I44" s="509">
        <f ca="1">SQRT((C44-H44)^2)</f>
        <v>459.54682319999989</v>
      </c>
    </row>
    <row r="45" spans="2:10">
      <c r="B45" s="361" t="s">
        <v>308</v>
      </c>
      <c r="C45" s="534">
        <f>151.03*J52</f>
        <v>153.37096500000001</v>
      </c>
      <c r="D45" s="534">
        <v>858.3</v>
      </c>
      <c r="E45" s="534">
        <v>533.70000000000005</v>
      </c>
      <c r="F45" s="534">
        <v>1985.7</v>
      </c>
      <c r="G45" s="534" t="s">
        <v>98</v>
      </c>
      <c r="H45" s="387">
        <f t="shared" si="3"/>
        <v>882.76774124999997</v>
      </c>
      <c r="I45" s="510">
        <f>SQRT((C45-H45)^2)</f>
        <v>729.3967762499999</v>
      </c>
    </row>
    <row r="46" spans="2:10">
      <c r="B46" s="378" t="s">
        <v>309</v>
      </c>
      <c r="C46" s="547">
        <f ca="1">C45/C44-1</f>
        <v>0.29695148132245586</v>
      </c>
      <c r="D46" s="379">
        <f ca="1">D45/D44-1</f>
        <v>0.49947589098532497</v>
      </c>
      <c r="E46" s="379">
        <f ca="1">E45/E44-1</f>
        <v>1.5293838862559244</v>
      </c>
      <c r="F46" s="379">
        <f ca="1">F45/F44-1</f>
        <v>3.3855482566953476E-3</v>
      </c>
      <c r="G46" s="379" t="s">
        <v>98</v>
      </c>
      <c r="H46" s="399">
        <f t="shared" ca="1" si="3"/>
        <v>0.58229920170510019</v>
      </c>
      <c r="I46" s="438">
        <f ca="1">SQRT((C46-H46)^2)</f>
        <v>0.28534772038264433</v>
      </c>
    </row>
    <row r="47" spans="2:10" ht="15.75">
      <c r="B47" s="151" t="s">
        <v>310</v>
      </c>
      <c r="C47" s="151" t="s">
        <v>212</v>
      </c>
      <c r="D47" s="151"/>
      <c r="E47" s="151"/>
      <c r="F47" s="151"/>
      <c r="G47" s="151"/>
      <c r="H47" s="151" t="str">
        <f t="shared" si="3"/>
        <v/>
      </c>
      <c r="I47" s="411"/>
      <c r="J47" s="416"/>
    </row>
    <row r="48" spans="2:10">
      <c r="B48" s="152" t="s">
        <v>311</v>
      </c>
      <c r="C48" s="440">
        <f>(Inputs!C59-Inputs!F59)/Inputs!F59</f>
        <v>1.2892398815399801</v>
      </c>
      <c r="D48" s="315"/>
      <c r="E48" s="315"/>
      <c r="F48" s="315"/>
      <c r="G48" s="315"/>
      <c r="H48" s="399">
        <f t="shared" si="3"/>
        <v>1.2892398815399801</v>
      </c>
      <c r="I48" s="412">
        <f>SQRT((C48-H48)^2)</f>
        <v>0</v>
      </c>
      <c r="J48" s="315"/>
    </row>
    <row r="49" spans="2:10">
      <c r="B49" s="413" t="s">
        <v>312</v>
      </c>
      <c r="C49" s="414">
        <f>C62/C10</f>
        <v>0</v>
      </c>
      <c r="D49" s="414">
        <f>D62/D10</f>
        <v>0</v>
      </c>
      <c r="E49" s="414">
        <f>E62/E10</f>
        <v>0</v>
      </c>
      <c r="F49" s="414">
        <f>F62/F10</f>
        <v>0</v>
      </c>
      <c r="G49" s="414">
        <f>G62/G10</f>
        <v>0</v>
      </c>
      <c r="H49" s="399">
        <f t="shared" si="3"/>
        <v>0</v>
      </c>
      <c r="I49" s="415">
        <f>SQRT((C49-H49)^2)</f>
        <v>0</v>
      </c>
      <c r="J49" s="417"/>
    </row>
    <row r="50" spans="2:10"/>
    <row r="51" spans="2:10" ht="54.75" customHeight="1">
      <c r="B51" s="518" t="s">
        <v>313</v>
      </c>
      <c r="C51" s="519" t="e" vm="1">
        <f>OP!E2</f>
        <v>#VALUE!</v>
      </c>
      <c r="D51" s="520" t="e" vm="2">
        <f>D7</f>
        <v>#VALUE!</v>
      </c>
      <c r="E51" s="521" t="e" vm="3">
        <f>E7</f>
        <v>#VALUE!</v>
      </c>
      <c r="F51" s="522" t="e" vm="4">
        <f>F7</f>
        <v>#VALUE!</v>
      </c>
      <c r="G51" s="523" t="e" vm="5">
        <f>G7</f>
        <v>#VALUE!</v>
      </c>
      <c r="I51" s="1273" t="s">
        <v>314</v>
      </c>
      <c r="J51" s="1273"/>
    </row>
    <row r="52" spans="2:10">
      <c r="B52" s="524" t="s">
        <v>315</v>
      </c>
      <c r="C52" s="148"/>
      <c r="D52" s="148"/>
      <c r="E52" s="148"/>
      <c r="F52" s="148"/>
      <c r="G52" s="525"/>
      <c r="I52" s="554" t="s">
        <v>316</v>
      </c>
      <c r="J52" s="555">
        <v>1.0155000000000001</v>
      </c>
    </row>
    <row r="53" spans="2:10">
      <c r="B53" s="526" t="s">
        <v>317</v>
      </c>
      <c r="C53" s="490">
        <f>'Fin. Data'!E5</f>
        <v>14238</v>
      </c>
      <c r="D53" s="491">
        <v>3356</v>
      </c>
      <c r="E53" s="491">
        <v>13100</v>
      </c>
      <c r="F53" s="491">
        <f>196+1409</f>
        <v>1605</v>
      </c>
      <c r="G53" s="527">
        <f>5595*J52</f>
        <v>5681.7225000000008</v>
      </c>
      <c r="I53" s="556" t="s">
        <v>318</v>
      </c>
      <c r="J53" s="557">
        <v>0.93759999999999999</v>
      </c>
    </row>
    <row r="54" spans="2:10">
      <c r="B54" s="526" t="s">
        <v>319</v>
      </c>
      <c r="C54" s="490">
        <f>'Fin. Data'!C5</f>
        <v>16748</v>
      </c>
      <c r="D54" s="491">
        <v>8964</v>
      </c>
      <c r="E54" s="504">
        <v>17645</v>
      </c>
      <c r="F54" s="491">
        <f>337+2219</f>
        <v>2556</v>
      </c>
      <c r="G54" s="527">
        <f>7313*J52</f>
        <v>7426.3515000000007</v>
      </c>
    </row>
    <row r="55" spans="2:10">
      <c r="B55" s="526" t="s">
        <v>275</v>
      </c>
      <c r="C55" s="490">
        <f>'Fin. Data'!B5</f>
        <v>19953</v>
      </c>
      <c r="D55" s="491">
        <v>10581</v>
      </c>
      <c r="E55" s="504">
        <v>20351</v>
      </c>
      <c r="F55" s="491">
        <f>519+3152</f>
        <v>3671</v>
      </c>
      <c r="G55" s="527">
        <f>7499*J52</f>
        <v>7615.2345000000005</v>
      </c>
    </row>
    <row r="56" spans="2:10">
      <c r="B56" s="526" t="s">
        <v>320</v>
      </c>
      <c r="C56" s="490">
        <f>'Fin. Data'!B5-'Fin. Data'!B7</f>
        <v>6237</v>
      </c>
      <c r="D56" s="491">
        <v>24988</v>
      </c>
      <c r="E56" s="504">
        <v>5153</v>
      </c>
      <c r="F56" s="491">
        <v>3389</v>
      </c>
      <c r="G56" s="527">
        <f>1847*J52</f>
        <v>1875.6285</v>
      </c>
    </row>
    <row r="57" spans="2:10">
      <c r="B57" s="526" t="s">
        <v>74</v>
      </c>
      <c r="C57" s="490">
        <f>'Fin. Data'!B19</f>
        <v>6506</v>
      </c>
      <c r="D57" s="491">
        <v>21055</v>
      </c>
      <c r="E57" s="504">
        <v>7255</v>
      </c>
      <c r="F57" s="491">
        <f>F58+552</f>
        <v>5249</v>
      </c>
      <c r="G57" s="527">
        <f>G58+(41+366)*J52</f>
        <v>1589.2575000000002</v>
      </c>
    </row>
    <row r="58" spans="2:10">
      <c r="B58" s="526" t="s">
        <v>321</v>
      </c>
      <c r="C58" s="492">
        <f>'Fin. Data'!B11</f>
        <v>5031</v>
      </c>
      <c r="D58" s="491">
        <v>21001</v>
      </c>
      <c r="E58" s="504">
        <v>5589</v>
      </c>
      <c r="F58" s="491">
        <v>4697</v>
      </c>
      <c r="G58" s="527">
        <f>J52*1158</f>
        <v>1175.9490000000001</v>
      </c>
    </row>
    <row r="59" spans="2:10">
      <c r="B59" s="526" t="s">
        <v>322</v>
      </c>
      <c r="C59" s="492">
        <f>'Fin. Data'!B14</f>
        <v>-258</v>
      </c>
      <c r="D59" s="491">
        <v>-888</v>
      </c>
      <c r="E59" s="504">
        <v>-260</v>
      </c>
      <c r="F59" s="493">
        <v>-62</v>
      </c>
      <c r="G59" s="527">
        <f>-J52*(1158-1096)</f>
        <v>-62.961000000000006</v>
      </c>
    </row>
    <row r="60" spans="2:10">
      <c r="B60" s="526" t="s">
        <v>323</v>
      </c>
      <c r="C60" s="492">
        <f>'Fin. Data'!B21</f>
        <v>-847</v>
      </c>
      <c r="D60" s="491">
        <v>-5362</v>
      </c>
      <c r="E60" s="504">
        <v>-1420</v>
      </c>
      <c r="F60" s="491">
        <v>-1305</v>
      </c>
      <c r="G60" s="527">
        <f>-J52*273</f>
        <v>-277.23150000000004</v>
      </c>
    </row>
    <row r="61" spans="2:10">
      <c r="B61" s="526" t="s">
        <v>87</v>
      </c>
      <c r="C61" s="492">
        <f>'Fin. Data'!B23</f>
        <v>3923</v>
      </c>
      <c r="D61" s="491">
        <v>14084</v>
      </c>
      <c r="E61" s="491">
        <v>3747</v>
      </c>
      <c r="F61" s="491">
        <v>3367</v>
      </c>
      <c r="G61" s="527">
        <f>J52*823</f>
        <v>835.75650000000007</v>
      </c>
    </row>
    <row r="62" spans="2:10">
      <c r="B62" s="526" t="s">
        <v>324</v>
      </c>
      <c r="C62" s="492"/>
      <c r="D62" s="491"/>
      <c r="E62" s="491"/>
      <c r="F62" s="491"/>
      <c r="G62" s="527"/>
    </row>
    <row r="63" spans="2:10">
      <c r="B63" s="528" t="s">
        <v>325</v>
      </c>
      <c r="C63" s="494"/>
      <c r="D63" s="494"/>
      <c r="E63" s="494"/>
      <c r="F63" s="494"/>
      <c r="G63" s="529"/>
    </row>
    <row r="64" spans="2:10">
      <c r="B64" s="526" t="s">
        <v>326</v>
      </c>
      <c r="C64" s="490">
        <f>'Fin. Data'!B39</f>
        <v>18337</v>
      </c>
      <c r="D64" s="491">
        <v>7300</v>
      </c>
      <c r="E64" s="491">
        <v>4336</v>
      </c>
      <c r="F64" s="491">
        <v>9225</v>
      </c>
      <c r="G64" s="527">
        <f>2176*J52</f>
        <v>2209.7280000000001</v>
      </c>
    </row>
    <row r="65" spans="2:7">
      <c r="B65" s="526" t="s">
        <v>327</v>
      </c>
      <c r="C65" s="490">
        <f>'Fin. Data'!B40</f>
        <v>852</v>
      </c>
      <c r="D65" s="491">
        <v>4258</v>
      </c>
      <c r="E65" s="491">
        <v>1180</v>
      </c>
      <c r="F65" s="491">
        <v>383</v>
      </c>
      <c r="G65" s="527">
        <f>J52*663</f>
        <v>673.27650000000006</v>
      </c>
    </row>
    <row r="66" spans="2:7">
      <c r="B66" s="526" t="s">
        <v>328</v>
      </c>
      <c r="C66" s="490">
        <f>'Fin. Data'!B41</f>
        <v>7096</v>
      </c>
      <c r="D66" s="491">
        <v>20319</v>
      </c>
      <c r="E66" s="491">
        <v>4465</v>
      </c>
      <c r="F66" s="491">
        <v>1779</v>
      </c>
      <c r="G66" s="527">
        <f>6873*J52</f>
        <v>6979.5315000000001</v>
      </c>
    </row>
    <row r="67" spans="2:7">
      <c r="B67" s="526" t="s">
        <v>329</v>
      </c>
      <c r="C67" s="490">
        <f>Inputs!C27</f>
        <v>25384</v>
      </c>
      <c r="D67" s="491">
        <v>39740</v>
      </c>
      <c r="E67" s="491">
        <v>11662</v>
      </c>
      <c r="F67" s="491">
        <v>11828</v>
      </c>
      <c r="G67" s="527">
        <f>10393*J52</f>
        <v>10554.0915</v>
      </c>
    </row>
    <row r="68" spans="2:7">
      <c r="B68" s="526" t="s">
        <v>330</v>
      </c>
      <c r="C68" s="490">
        <f>'Fin. Data'!B42</f>
        <v>6908</v>
      </c>
      <c r="D68" s="491">
        <v>23055</v>
      </c>
      <c r="E68" s="491">
        <v>3388</v>
      </c>
      <c r="F68" s="491">
        <v>2007</v>
      </c>
      <c r="G68" s="527">
        <f>2706*J52</f>
        <v>2747.9430000000002</v>
      </c>
    </row>
    <row r="69" spans="2:7">
      <c r="B69" s="526" t="s">
        <v>62</v>
      </c>
      <c r="C69" s="490">
        <f>'Fin. Data'!B44</f>
        <v>40887</v>
      </c>
      <c r="D69" s="491">
        <v>134646</v>
      </c>
      <c r="E69" s="491">
        <v>33941</v>
      </c>
      <c r="F69" s="491">
        <v>17459</v>
      </c>
      <c r="G69" s="527">
        <f>13893*J52</f>
        <v>14108.3415</v>
      </c>
    </row>
    <row r="70" spans="2:7">
      <c r="B70" s="526" t="s">
        <v>331</v>
      </c>
      <c r="C70" s="490">
        <f>Inputs!C43</f>
        <v>2013</v>
      </c>
      <c r="D70" s="491">
        <v>8788</v>
      </c>
      <c r="E70" s="504">
        <v>2263</v>
      </c>
      <c r="F70" s="491">
        <v>777</v>
      </c>
      <c r="G70" s="527">
        <f>298*J52</f>
        <v>302.61900000000003</v>
      </c>
    </row>
    <row r="71" spans="2:7">
      <c r="B71" s="526" t="s">
        <v>332</v>
      </c>
      <c r="C71" s="490">
        <f>Inputs!C42</f>
        <v>10507</v>
      </c>
      <c r="D71" s="491">
        <v>31543</v>
      </c>
      <c r="E71" s="491">
        <v>8506</v>
      </c>
      <c r="F71" s="491">
        <v>3004</v>
      </c>
      <c r="G71" s="527">
        <f>1126*J52</f>
        <v>1143.453</v>
      </c>
    </row>
    <row r="72" spans="2:7">
      <c r="B72" s="526" t="s">
        <v>333</v>
      </c>
      <c r="C72" s="490">
        <f>'Fin. Data'!B58</f>
        <v>15671</v>
      </c>
      <c r="D72" s="491">
        <f>10380+9359</f>
        <v>19739</v>
      </c>
      <c r="E72" s="491">
        <f>2295+4347</f>
        <v>6642</v>
      </c>
      <c r="F72" s="491">
        <f>2+35</f>
        <v>37</v>
      </c>
      <c r="G72" s="527">
        <f>(2+8)*J52</f>
        <v>10.155000000000001</v>
      </c>
    </row>
    <row r="73" spans="2:7">
      <c r="B73" s="530" t="s">
        <v>334</v>
      </c>
      <c r="C73" s="531">
        <f>'Fin. Data'!B64</f>
        <v>18959</v>
      </c>
      <c r="D73" s="532">
        <f>55111+1493</f>
        <v>56604</v>
      </c>
      <c r="E73" s="532">
        <v>14783</v>
      </c>
      <c r="F73" s="532">
        <v>12457</v>
      </c>
      <c r="G73" s="533">
        <f>12051*J52</f>
        <v>12237.790500000001</v>
      </c>
    </row>
    <row r="74" spans="2:7"/>
    <row r="78" spans="2:7" ht="12.75" customHeight="1">
      <c r="C78" t="str" cm="1">
        <f t="array" aca="1" ref="C78" ca="1">_FV(C51,"Industry")</f>
        <v>Textiles &amp; Apparel</v>
      </c>
      <c r="D78" t="str" cm="1">
        <f t="array" aca="1" ref="D78" ca="1">_FV(D51,"Industry")</f>
        <v>Textiles &amp; Apparel</v>
      </c>
      <c r="E78" t="str" cm="1">
        <f t="array" aca="1" ref="E78" ca="1">_FV(E51,"Industry")</f>
        <v>Specialty Retailers</v>
      </c>
      <c r="F78" t="str" cm="1">
        <f t="array" aca="1" ref="F78" ca="1">_FV(F51,"Industry")</f>
        <v>Textiles &amp; Apparel</v>
      </c>
      <c r="G78" t="str" cm="1">
        <f t="array" aca="1" ref="G78" ca="1">_FV(G51,"Industry")</f>
        <v>Textiles &amp; Apparel</v>
      </c>
    </row>
  </sheetData>
  <mergeCells count="13">
    <mergeCell ref="I51:J51"/>
    <mergeCell ref="K11:K12"/>
    <mergeCell ref="L11:M12"/>
    <mergeCell ref="K8:M8"/>
    <mergeCell ref="K9:K10"/>
    <mergeCell ref="K13:K14"/>
    <mergeCell ref="L13:M14"/>
    <mergeCell ref="L9:M10"/>
    <mergeCell ref="D4:H4"/>
    <mergeCell ref="D1:H1"/>
    <mergeCell ref="D2:H2"/>
    <mergeCell ref="D3:H3"/>
    <mergeCell ref="D5:H5"/>
  </mergeCells>
  <pageMargins left="0.7" right="0.7" top="0.75" bottom="0.75" header="0.3" footer="0.3"/>
  <pageSetup orientation="portrait" r:id="rId1"/>
  <ignoredErrors>
    <ignoredError sqref="I45" evalError="1"/>
  </ignoredError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Z100"/>
  <sheetViews>
    <sheetView showGridLines="0" zoomScale="80" zoomScaleNormal="80" workbookViewId="0">
      <selection activeCell="K22" sqref="K22"/>
    </sheetView>
  </sheetViews>
  <sheetFormatPr defaultColWidth="11.42578125" defaultRowHeight="12.75" customHeight="1"/>
  <cols>
    <col min="1" max="1" width="1.140625" style="65" customWidth="1"/>
    <col min="2" max="2" width="59.42578125" style="65" customWidth="1"/>
    <col min="3" max="4" width="12.85546875" style="65" customWidth="1"/>
    <col min="5" max="5" width="12.140625" style="65" bestFit="1" customWidth="1"/>
    <col min="6" max="6" width="11" style="65" customWidth="1"/>
    <col min="7" max="7" width="10.42578125" style="65" customWidth="1"/>
    <col min="8" max="8" width="20.28515625" style="347" customWidth="1"/>
    <col min="9" max="9" width="54" style="347" customWidth="1"/>
    <col min="10" max="10" width="64.140625" style="65" customWidth="1"/>
    <col min="11" max="11" width="34.7109375" style="65" bestFit="1" customWidth="1"/>
    <col min="12" max="12" width="21.28515625" style="65" customWidth="1"/>
    <col min="13" max="13" width="32.28515625" style="65" customWidth="1"/>
    <col min="14" max="14" width="23.7109375" style="65" customWidth="1"/>
    <col min="15" max="15" width="33.42578125" style="65" customWidth="1"/>
    <col min="16" max="16" width="31.42578125" style="65" customWidth="1"/>
    <col min="17" max="17" width="11.42578125" style="65" customWidth="1"/>
    <col min="18" max="18" width="10.42578125" style="65" customWidth="1"/>
    <col min="19" max="19" width="12.28515625" style="65" bestFit="1" customWidth="1"/>
    <col min="20" max="20" width="15.42578125" style="65" customWidth="1"/>
    <col min="21" max="21" width="18.140625" style="65" bestFit="1" customWidth="1"/>
    <col min="22" max="22" width="18.28515625" style="65" bestFit="1" customWidth="1"/>
    <col min="23" max="23" width="17.28515625" style="65" bestFit="1" customWidth="1"/>
    <col min="24" max="29" width="11.42578125" style="65"/>
    <col min="30" max="30" width="13" style="65" bestFit="1" customWidth="1"/>
    <col min="31" max="16384" width="11.42578125" style="65"/>
  </cols>
  <sheetData>
    <row r="1" spans="1:23">
      <c r="B1" s="174" t="s">
        <v>335</v>
      </c>
      <c r="C1" s="69"/>
      <c r="D1" s="69"/>
      <c r="E1" s="69"/>
      <c r="F1" s="69"/>
      <c r="G1" s="69"/>
      <c r="H1" s="341"/>
      <c r="I1" s="341"/>
      <c r="J1" s="69"/>
      <c r="S1" s="79" t="s">
        <v>336</v>
      </c>
    </row>
    <row r="2" spans="1:23">
      <c r="B2" s="75" t="s">
        <v>337</v>
      </c>
      <c r="C2" s="175" t="s">
        <v>338</v>
      </c>
      <c r="D2" s="69"/>
      <c r="E2" s="69"/>
      <c r="F2" s="69"/>
      <c r="G2" s="69"/>
      <c r="H2" s="341"/>
      <c r="I2" s="341"/>
      <c r="J2" s="69"/>
      <c r="S2" s="79" t="s">
        <v>339</v>
      </c>
    </row>
    <row r="3" spans="1:23" ht="20.25">
      <c r="B3" s="1286" t="s">
        <v>340</v>
      </c>
      <c r="C3" s="1286"/>
      <c r="D3" s="1286"/>
      <c r="E3" s="1286"/>
      <c r="F3" s="1286"/>
      <c r="G3" s="1286"/>
      <c r="H3" s="1286"/>
      <c r="I3" s="1286"/>
      <c r="J3" s="1286"/>
      <c r="K3" s="1287" t="s">
        <v>341</v>
      </c>
      <c r="L3" s="1287"/>
      <c r="M3" s="1287"/>
      <c r="N3" s="1287"/>
      <c r="O3" s="1287"/>
      <c r="P3" s="1287"/>
    </row>
    <row r="4" spans="1:23" ht="31.5">
      <c r="B4" s="165" t="s">
        <v>342</v>
      </c>
      <c r="C4" s="194" t="s">
        <v>343</v>
      </c>
      <c r="D4" s="194" t="s">
        <v>344</v>
      </c>
      <c r="E4" s="194" t="s">
        <v>345</v>
      </c>
      <c r="F4" s="194" t="s">
        <v>346</v>
      </c>
      <c r="G4" s="194" t="s">
        <v>347</v>
      </c>
      <c r="H4" s="166" t="s">
        <v>348</v>
      </c>
      <c r="I4" s="166" t="s">
        <v>349</v>
      </c>
      <c r="J4" s="167" t="s">
        <v>350</v>
      </c>
      <c r="K4" s="165" t="s">
        <v>342</v>
      </c>
      <c r="L4" s="197" t="e" vm="1">
        <f>Peers!C7</f>
        <v>#VALUE!</v>
      </c>
      <c r="M4" s="197" t="e" vm="2">
        <f>Peers!D7</f>
        <v>#VALUE!</v>
      </c>
      <c r="N4" s="197" t="e" vm="3">
        <f>Peers!E7</f>
        <v>#VALUE!</v>
      </c>
      <c r="O4" s="197" t="e" vm="4">
        <f>Peers!F7</f>
        <v>#VALUE!</v>
      </c>
      <c r="P4" s="1000" t="e" vm="5">
        <f>Peers!G7</f>
        <v>#VALUE!</v>
      </c>
      <c r="Q4" s="995" t="s">
        <v>269</v>
      </c>
    </row>
    <row r="5" spans="1:23" ht="15">
      <c r="B5" s="176" t="s">
        <v>351</v>
      </c>
      <c r="C5" s="177"/>
      <c r="D5" s="178"/>
      <c r="E5" s="178"/>
      <c r="F5" s="178"/>
      <c r="G5" s="178"/>
      <c r="H5" s="342"/>
      <c r="I5" s="342"/>
      <c r="J5" s="179"/>
      <c r="K5" s="176" t="s">
        <v>352</v>
      </c>
      <c r="L5" s="178"/>
      <c r="M5" s="178"/>
      <c r="N5" s="178"/>
      <c r="O5" s="178"/>
      <c r="P5" s="178"/>
      <c r="Q5" s="996"/>
    </row>
    <row r="6" spans="1:23" ht="51">
      <c r="A6" s="65">
        <v>1</v>
      </c>
      <c r="B6" s="481" t="s">
        <v>353</v>
      </c>
      <c r="C6" s="168" t="s">
        <v>354</v>
      </c>
      <c r="D6" s="168" t="s">
        <v>336</v>
      </c>
      <c r="E6" s="168" t="s">
        <v>355</v>
      </c>
      <c r="F6" s="180" t="s">
        <v>336</v>
      </c>
      <c r="G6" s="250"/>
      <c r="H6" s="480" t="s">
        <v>336</v>
      </c>
      <c r="I6" s="480" t="s">
        <v>356</v>
      </c>
      <c r="J6" s="480" t="s">
        <v>357</v>
      </c>
      <c r="K6" s="170" t="s">
        <v>358</v>
      </c>
      <c r="L6" s="335">
        <f>L12/L$11</f>
        <v>0.97228486944319148</v>
      </c>
      <c r="M6" s="335">
        <f>M12/M$11</f>
        <v>31.133163217087233</v>
      </c>
      <c r="N6" s="335">
        <f t="shared" ref="N6:O6" si="0">N12/N$11</f>
        <v>1.4376689106186429</v>
      </c>
      <c r="O6" s="335">
        <f t="shared" si="0"/>
        <v>34.595478071370202</v>
      </c>
      <c r="P6" s="1001">
        <f t="shared" ref="P6:P9" si="1">P12/P$11</f>
        <v>6.8373468998229798</v>
      </c>
      <c r="Q6" s="997">
        <f>AVERAGE(L6:P6)</f>
        <v>14.995188393668448</v>
      </c>
      <c r="R6" s="977"/>
    </row>
    <row r="7" spans="1:23" s="69" customFormat="1" ht="38.25">
      <c r="A7" s="69">
        <v>2</v>
      </c>
      <c r="B7" s="481" t="s">
        <v>359</v>
      </c>
      <c r="C7" s="168" t="s">
        <v>354</v>
      </c>
      <c r="D7" s="168" t="s">
        <v>339</v>
      </c>
      <c r="E7" s="168" t="s">
        <v>360</v>
      </c>
      <c r="F7" s="180"/>
      <c r="G7" s="247"/>
      <c r="H7" s="480" t="s">
        <v>336</v>
      </c>
      <c r="I7" s="169"/>
      <c r="J7" s="169" t="s">
        <v>361</v>
      </c>
      <c r="K7" s="170" t="s">
        <v>362</v>
      </c>
      <c r="L7" s="335">
        <f t="shared" ref="L7:O9" si="2">L13/L$11</f>
        <v>30.519999999999996</v>
      </c>
      <c r="M7" s="335">
        <f t="shared" si="2"/>
        <v>377.3008222285228</v>
      </c>
      <c r="N7" s="335">
        <f t="shared" si="2"/>
        <v>50.76905311778291</v>
      </c>
      <c r="O7" s="335">
        <f t="shared" si="2"/>
        <v>182.77880686461455</v>
      </c>
      <c r="P7" s="1001">
        <f t="shared" si="1"/>
        <v>187.51070633478193</v>
      </c>
      <c r="Q7" s="998">
        <f>AVERAGE(L7:P7)</f>
        <v>165.77587770914045</v>
      </c>
      <c r="R7" s="978"/>
    </row>
    <row r="8" spans="1:23" ht="18">
      <c r="A8" s="65">
        <v>3</v>
      </c>
      <c r="B8" s="481" t="s">
        <v>363</v>
      </c>
      <c r="C8" s="168" t="str">
        <f>VLOOKUP($B$2,'Sector Impact'!$K$4:$AA$16,A8+1,FALSE)</f>
        <v>Medium</v>
      </c>
      <c r="D8" s="168" t="s">
        <v>336</v>
      </c>
      <c r="E8" s="168" t="s">
        <v>355</v>
      </c>
      <c r="F8" s="180" t="s">
        <v>336</v>
      </c>
      <c r="G8" s="743"/>
      <c r="H8" s="480" t="s">
        <v>336</v>
      </c>
      <c r="I8" s="480" t="s">
        <v>364</v>
      </c>
      <c r="J8" s="169" t="s">
        <v>365</v>
      </c>
      <c r="K8" s="170" t="s">
        <v>366</v>
      </c>
      <c r="L8" s="335">
        <f>L14/L$11</f>
        <v>48.809021199819576</v>
      </c>
      <c r="M8" s="335">
        <f t="shared" si="2"/>
        <v>520.96058973631978</v>
      </c>
      <c r="N8" s="335">
        <f t="shared" si="2"/>
        <v>61.850798486560862</v>
      </c>
      <c r="O8" s="335">
        <f t="shared" si="2"/>
        <v>214.03868155815854</v>
      </c>
      <c r="P8" s="1002">
        <f>P14/P$11</f>
        <v>187.44005847751635</v>
      </c>
      <c r="Q8" s="998">
        <f>AVERAGE(L8:P8)</f>
        <v>206.61982989167501</v>
      </c>
      <c r="R8" s="978"/>
    </row>
    <row r="9" spans="1:23" ht="38.25">
      <c r="A9" s="65">
        <v>4</v>
      </c>
      <c r="B9" s="481" t="s">
        <v>367</v>
      </c>
      <c r="C9" s="168" t="s">
        <v>354</v>
      </c>
      <c r="D9" s="168" t="s">
        <v>336</v>
      </c>
      <c r="E9" s="168" t="s">
        <v>355</v>
      </c>
      <c r="F9" s="180" t="s">
        <v>336</v>
      </c>
      <c r="G9" s="250"/>
      <c r="H9" s="480" t="s">
        <v>336</v>
      </c>
      <c r="I9" s="169"/>
      <c r="J9" s="171" t="s">
        <v>368</v>
      </c>
      <c r="K9" s="170" t="s">
        <v>369</v>
      </c>
      <c r="L9" s="335">
        <f t="shared" si="2"/>
        <v>0.70099734375783085</v>
      </c>
      <c r="M9" s="335">
        <f t="shared" si="2"/>
        <v>11.183253000661564</v>
      </c>
      <c r="N9" s="335">
        <f t="shared" si="2"/>
        <v>1.1434818927816814</v>
      </c>
      <c r="O9" s="335">
        <f t="shared" si="2"/>
        <v>3.9052029419776626</v>
      </c>
      <c r="P9" s="1001">
        <f t="shared" si="1"/>
        <v>0.85552191465673177</v>
      </c>
      <c r="Q9" s="999">
        <f>AVERAGE(L9:P9)</f>
        <v>3.5576914187670936</v>
      </c>
      <c r="R9" s="978"/>
    </row>
    <row r="10" spans="1:23" ht="51">
      <c r="A10" s="65">
        <v>5</v>
      </c>
      <c r="B10" s="481" t="s">
        <v>370</v>
      </c>
      <c r="C10" s="168" t="s">
        <v>371</v>
      </c>
      <c r="D10" s="168" t="s">
        <v>336</v>
      </c>
      <c r="E10" s="168" t="s">
        <v>360</v>
      </c>
      <c r="F10" s="180" t="s">
        <v>336</v>
      </c>
      <c r="G10" s="250"/>
      <c r="H10" s="169"/>
      <c r="I10" s="480" t="s">
        <v>372</v>
      </c>
      <c r="J10" s="171" t="s">
        <v>373</v>
      </c>
      <c r="K10" s="176" t="s">
        <v>374</v>
      </c>
      <c r="L10" s="178"/>
      <c r="M10" s="178"/>
      <c r="N10" s="178"/>
      <c r="O10" s="178"/>
      <c r="P10" s="178"/>
      <c r="R10"/>
      <c r="U10" s="69"/>
      <c r="V10" s="69"/>
      <c r="W10" s="69"/>
    </row>
    <row r="11" spans="1:23" ht="15">
      <c r="B11" s="176" t="s">
        <v>375</v>
      </c>
      <c r="C11" s="173"/>
      <c r="D11" s="173"/>
      <c r="E11" s="182"/>
      <c r="F11" s="182"/>
      <c r="G11" s="183"/>
      <c r="H11" s="343"/>
      <c r="I11" s="343"/>
      <c r="J11" s="184"/>
      <c r="K11" s="170" t="s">
        <v>376</v>
      </c>
      <c r="L11" s="482">
        <f>Peers!C55</f>
        <v>19953</v>
      </c>
      <c r="M11" s="550">
        <f>Peers!D10</f>
        <v>10581</v>
      </c>
      <c r="N11" s="550">
        <f>Peers!E10</f>
        <v>20351</v>
      </c>
      <c r="O11" s="550">
        <f>Peers!F10</f>
        <v>3671</v>
      </c>
      <c r="P11" s="336">
        <f>Peers!G10</f>
        <v>7615.2345000000005</v>
      </c>
      <c r="R11"/>
    </row>
    <row r="12" spans="1:23" ht="60">
      <c r="A12" s="65">
        <v>6</v>
      </c>
      <c r="B12" s="481" t="s">
        <v>377</v>
      </c>
      <c r="C12" s="168" t="s">
        <v>371</v>
      </c>
      <c r="D12" s="168" t="s">
        <v>336</v>
      </c>
      <c r="E12" s="168" t="s">
        <v>360</v>
      </c>
      <c r="F12" s="180"/>
      <c r="G12" s="251"/>
      <c r="H12" s="169"/>
      <c r="I12" s="169"/>
      <c r="J12" s="185" t="s">
        <v>378</v>
      </c>
      <c r="K12" s="170" t="s">
        <v>379</v>
      </c>
      <c r="L12" s="549">
        <v>19400</v>
      </c>
      <c r="M12" s="549">
        <f>329420</f>
        <v>329420</v>
      </c>
      <c r="N12" s="740">
        <v>29258</v>
      </c>
      <c r="O12" s="549">
        <v>127000</v>
      </c>
      <c r="P12" s="483">
        <f>52068</f>
        <v>52068</v>
      </c>
      <c r="R12"/>
    </row>
    <row r="13" spans="1:23" ht="15">
      <c r="A13" s="65">
        <v>7</v>
      </c>
      <c r="B13" s="481" t="s">
        <v>380</v>
      </c>
      <c r="C13" s="168" t="str">
        <f>VLOOKUP($B$2,'Sector Impact'!$K$4:$AA$16,A13+1,FALSE)</f>
        <v>Medium</v>
      </c>
      <c r="D13" s="168" t="s">
        <v>339</v>
      </c>
      <c r="E13" s="168" t="s">
        <v>354</v>
      </c>
      <c r="F13" s="186"/>
      <c r="G13" s="1043"/>
      <c r="H13" s="169"/>
      <c r="I13" s="169"/>
      <c r="J13" s="187" t="s">
        <v>381</v>
      </c>
      <c r="K13" s="170" t="s">
        <v>382</v>
      </c>
      <c r="L13" s="742">
        <f>L11*30.52</f>
        <v>608965.55999999994</v>
      </c>
      <c r="M13" s="549">
        <v>3992220</v>
      </c>
      <c r="N13" s="548">
        <v>1033201</v>
      </c>
      <c r="O13" s="549">
        <v>670981</v>
      </c>
      <c r="P13" s="483">
        <v>1427938</v>
      </c>
      <c r="R13"/>
    </row>
    <row r="14" spans="1:23" ht="32.25" customHeight="1">
      <c r="A14" s="65">
        <v>8</v>
      </c>
      <c r="B14" s="505" t="s">
        <v>383</v>
      </c>
      <c r="C14" s="168" t="s">
        <v>371</v>
      </c>
      <c r="D14" s="168"/>
      <c r="E14" s="168" t="s">
        <v>360</v>
      </c>
      <c r="F14" s="180"/>
      <c r="G14" s="251"/>
      <c r="H14" s="169"/>
      <c r="I14" s="169"/>
      <c r="J14" s="187" t="s">
        <v>384</v>
      </c>
      <c r="K14" s="170" t="s">
        <v>385</v>
      </c>
      <c r="L14" s="744">
        <v>973886.4</v>
      </c>
      <c r="M14" s="549">
        <f>1531190*3.6</f>
        <v>5512284</v>
      </c>
      <c r="N14" s="551">
        <f>349646*3.6</f>
        <v>1258725.6000000001</v>
      </c>
      <c r="O14" s="549">
        <f>218260*3.6</f>
        <v>785736</v>
      </c>
      <c r="P14" s="552">
        <f>396.5*3600</f>
        <v>1427400</v>
      </c>
      <c r="R14"/>
    </row>
    <row r="15" spans="1:23" ht="51">
      <c r="A15" s="65">
        <v>9</v>
      </c>
      <c r="B15" s="505" t="s">
        <v>386</v>
      </c>
      <c r="C15" s="168" t="s">
        <v>354</v>
      </c>
      <c r="D15" s="168" t="s">
        <v>336</v>
      </c>
      <c r="E15" s="168" t="s">
        <v>360</v>
      </c>
      <c r="F15" s="180" t="s">
        <v>336</v>
      </c>
      <c r="G15" s="250"/>
      <c r="H15" s="344"/>
      <c r="I15" s="344"/>
      <c r="J15" s="187" t="s">
        <v>387</v>
      </c>
      <c r="K15" s="170" t="s">
        <v>388</v>
      </c>
      <c r="L15" s="483">
        <v>13987</v>
      </c>
      <c r="M15" s="549">
        <v>118330</v>
      </c>
      <c r="N15" s="549">
        <v>23271</v>
      </c>
      <c r="O15" s="549">
        <v>14336</v>
      </c>
      <c r="P15" s="483">
        <v>6515</v>
      </c>
      <c r="R15"/>
    </row>
    <row r="16" spans="1:23" ht="42" customHeight="1">
      <c r="A16" s="65">
        <v>10</v>
      </c>
      <c r="B16" s="481" t="s">
        <v>389</v>
      </c>
      <c r="C16" s="168" t="str">
        <f>VLOOKUP($B$2,'Sector Impact'!$K$4:$AA$16,A16+1,FALSE)</f>
        <v>Medium</v>
      </c>
      <c r="D16" s="168" t="s">
        <v>336</v>
      </c>
      <c r="E16" s="168" t="s">
        <v>360</v>
      </c>
      <c r="F16" s="180"/>
      <c r="G16" s="745"/>
      <c r="H16" s="169"/>
      <c r="I16" s="345"/>
      <c r="J16" s="816" t="s">
        <v>390</v>
      </c>
      <c r="K16" s="176" t="s">
        <v>391</v>
      </c>
      <c r="L16" s="178"/>
      <c r="M16" s="178"/>
      <c r="N16" s="178"/>
      <c r="O16" s="178"/>
      <c r="P16" s="179"/>
      <c r="R16"/>
    </row>
    <row r="17" spans="1:18">
      <c r="A17" s="65">
        <v>11</v>
      </c>
      <c r="B17" s="481" t="s">
        <v>392</v>
      </c>
      <c r="C17" s="168" t="s">
        <v>371</v>
      </c>
      <c r="D17" s="188" t="s">
        <v>336</v>
      </c>
      <c r="E17" s="188" t="s">
        <v>360</v>
      </c>
      <c r="F17" s="188" t="s">
        <v>336</v>
      </c>
      <c r="G17" s="250"/>
      <c r="H17" s="169"/>
      <c r="I17" s="345"/>
      <c r="J17" s="187" t="s">
        <v>393</v>
      </c>
      <c r="K17" s="170" t="s">
        <v>394</v>
      </c>
      <c r="L17" s="195" t="s">
        <v>395</v>
      </c>
      <c r="M17" s="195" t="s">
        <v>396</v>
      </c>
      <c r="N17" s="195" t="s">
        <v>397</v>
      </c>
      <c r="O17" s="195" t="s">
        <v>398</v>
      </c>
      <c r="P17" s="195" t="s">
        <v>399</v>
      </c>
      <c r="R17"/>
    </row>
    <row r="18" spans="1:18" ht="46.5" customHeight="1">
      <c r="A18" s="65">
        <v>12</v>
      </c>
      <c r="B18" s="481" t="s">
        <v>400</v>
      </c>
      <c r="C18" s="168" t="str">
        <f>VLOOKUP($B$2,'Sector Impact'!$K$4:$AA$16,A18+1,FALSE)</f>
        <v>Medium</v>
      </c>
      <c r="D18" s="168" t="s">
        <v>336</v>
      </c>
      <c r="E18" s="168" t="s">
        <v>360</v>
      </c>
      <c r="F18" s="180"/>
      <c r="G18" s="250"/>
      <c r="H18" s="344"/>
      <c r="I18" s="344"/>
      <c r="J18" s="348" t="s">
        <v>401</v>
      </c>
      <c r="K18" s="170" t="s">
        <v>402</v>
      </c>
      <c r="L18" s="195" t="s">
        <v>403</v>
      </c>
      <c r="M18" s="195" t="s">
        <v>404</v>
      </c>
      <c r="N18" s="195" t="s">
        <v>405</v>
      </c>
      <c r="O18" s="195" t="s">
        <v>406</v>
      </c>
      <c r="P18" s="195" t="s">
        <v>407</v>
      </c>
    </row>
    <row r="19" spans="1:18" ht="153">
      <c r="A19" s="65">
        <v>13</v>
      </c>
      <c r="B19" s="481" t="s">
        <v>408</v>
      </c>
      <c r="C19" s="168" t="s">
        <v>354</v>
      </c>
      <c r="D19" s="168" t="s">
        <v>336</v>
      </c>
      <c r="E19" s="168" t="s">
        <v>360</v>
      </c>
      <c r="F19" s="180" t="s">
        <v>336</v>
      </c>
      <c r="G19" s="250"/>
      <c r="H19" s="169"/>
      <c r="I19" s="345"/>
      <c r="J19" s="187" t="s">
        <v>409</v>
      </c>
      <c r="K19" s="170" t="s">
        <v>410</v>
      </c>
      <c r="L19" s="196" t="s">
        <v>411</v>
      </c>
      <c r="M19" s="196" t="s">
        <v>412</v>
      </c>
      <c r="N19" s="196" t="s">
        <v>413</v>
      </c>
      <c r="O19" s="196" t="s">
        <v>412</v>
      </c>
      <c r="P19" s="196" t="s">
        <v>414</v>
      </c>
    </row>
    <row r="20" spans="1:18" ht="63.75">
      <c r="A20" s="65">
        <v>14</v>
      </c>
      <c r="B20" s="481" t="s">
        <v>415</v>
      </c>
      <c r="C20" s="168" t="s">
        <v>416</v>
      </c>
      <c r="D20" s="168" t="s">
        <v>336</v>
      </c>
      <c r="E20" s="168" t="s">
        <v>360</v>
      </c>
      <c r="F20" s="180"/>
      <c r="G20" s="250"/>
      <c r="H20" s="344"/>
      <c r="I20" s="344"/>
      <c r="J20" s="187" t="s">
        <v>417</v>
      </c>
      <c r="K20" s="817" t="s">
        <v>418</v>
      </c>
      <c r="L20" s="818" t="s">
        <v>419</v>
      </c>
      <c r="M20" s="818" t="s">
        <v>420</v>
      </c>
      <c r="N20" s="818" t="s">
        <v>420</v>
      </c>
      <c r="O20" s="818" t="s">
        <v>419</v>
      </c>
      <c r="P20" s="818" t="s">
        <v>421</v>
      </c>
      <c r="Q20" s="553" t="s">
        <v>422</v>
      </c>
    </row>
    <row r="21" spans="1:18">
      <c r="A21" s="65">
        <v>15</v>
      </c>
      <c r="B21" s="481" t="s">
        <v>423</v>
      </c>
      <c r="C21" s="168"/>
      <c r="D21" s="168"/>
      <c r="E21" s="168"/>
      <c r="F21" s="180"/>
      <c r="G21" s="181"/>
      <c r="H21" s="169"/>
      <c r="I21" s="345"/>
      <c r="J21" s="187"/>
    </row>
    <row r="22" spans="1:18" ht="76.5">
      <c r="A22" s="65">
        <v>16</v>
      </c>
      <c r="B22" s="481" t="s">
        <v>424</v>
      </c>
      <c r="C22" s="172" t="s">
        <v>354</v>
      </c>
      <c r="D22" s="168"/>
      <c r="E22" s="168"/>
      <c r="F22" s="180"/>
      <c r="G22" s="247"/>
      <c r="H22" s="344"/>
      <c r="I22" s="344"/>
      <c r="J22" s="171" t="s">
        <v>425</v>
      </c>
    </row>
    <row r="23" spans="1:18" ht="15">
      <c r="B23" s="176" t="s">
        <v>426</v>
      </c>
      <c r="C23" s="189"/>
      <c r="D23" s="173"/>
      <c r="E23" s="182"/>
      <c r="F23" s="182"/>
      <c r="G23" s="183"/>
      <c r="H23" s="343"/>
      <c r="I23" s="343"/>
      <c r="J23" s="184"/>
      <c r="K23" s="1289" t="s">
        <v>427</v>
      </c>
      <c r="L23" s="1290"/>
      <c r="M23" s="1291"/>
    </row>
    <row r="24" spans="1:18" ht="45" customHeight="1">
      <c r="A24" s="65">
        <v>17</v>
      </c>
      <c r="B24" s="481" t="s">
        <v>428</v>
      </c>
      <c r="C24" s="190"/>
      <c r="D24" s="191"/>
      <c r="E24" s="186" t="s">
        <v>354</v>
      </c>
      <c r="F24" s="186"/>
      <c r="G24" s="247"/>
      <c r="H24" s="169"/>
      <c r="I24" s="345"/>
      <c r="J24" s="192" t="s">
        <v>429</v>
      </c>
      <c r="K24" s="218" t="s">
        <v>430</v>
      </c>
      <c r="L24" s="66" t="s">
        <v>431</v>
      </c>
      <c r="M24" s="67" t="s">
        <v>432</v>
      </c>
      <c r="O24" s="441" t="s">
        <v>272</v>
      </c>
    </row>
    <row r="25" spans="1:18" ht="45.75" customHeight="1">
      <c r="A25" s="65">
        <v>18</v>
      </c>
      <c r="B25" s="481" t="s">
        <v>433</v>
      </c>
      <c r="C25" s="190"/>
      <c r="D25" s="191"/>
      <c r="E25" s="186" t="s">
        <v>354</v>
      </c>
      <c r="F25" s="186"/>
      <c r="G25" s="781"/>
      <c r="H25" s="169"/>
      <c r="I25" s="345"/>
      <c r="J25" s="187" t="s">
        <v>434</v>
      </c>
      <c r="K25" s="159" t="s">
        <v>435</v>
      </c>
      <c r="L25" s="160" t="s">
        <v>355</v>
      </c>
      <c r="M25" s="1292" t="s">
        <v>436</v>
      </c>
      <c r="O25" s="442"/>
    </row>
    <row r="26" spans="1:18" ht="15.75" customHeight="1">
      <c r="A26" s="65">
        <v>19</v>
      </c>
      <c r="B26" s="481" t="s">
        <v>437</v>
      </c>
      <c r="C26" s="190"/>
      <c r="D26" s="191"/>
      <c r="E26" s="186"/>
      <c r="F26" s="186"/>
      <c r="G26" s="247"/>
      <c r="H26" s="169"/>
      <c r="I26" s="345"/>
      <c r="J26" s="192" t="s">
        <v>438</v>
      </c>
      <c r="K26" s="159" t="s">
        <v>354</v>
      </c>
      <c r="L26" s="160" t="s">
        <v>360</v>
      </c>
      <c r="M26" s="1293"/>
      <c r="O26" s="443"/>
    </row>
    <row r="27" spans="1:18" ht="25.5">
      <c r="A27" s="65">
        <v>20</v>
      </c>
      <c r="B27" s="481" t="s">
        <v>439</v>
      </c>
      <c r="C27" s="190"/>
      <c r="D27" s="191"/>
      <c r="E27" s="186"/>
      <c r="F27" s="186"/>
      <c r="G27" s="247"/>
      <c r="H27" s="169"/>
      <c r="I27" s="345"/>
      <c r="J27" s="192" t="s">
        <v>440</v>
      </c>
      <c r="K27" s="161" t="s">
        <v>371</v>
      </c>
      <c r="L27" s="162" t="s">
        <v>354</v>
      </c>
      <c r="M27" s="1293"/>
      <c r="O27" s="444"/>
    </row>
    <row r="28" spans="1:18" ht="25.5">
      <c r="A28" s="65">
        <v>21</v>
      </c>
      <c r="B28" s="481" t="s">
        <v>441</v>
      </c>
      <c r="C28" s="190"/>
      <c r="D28" s="191"/>
      <c r="E28" s="186" t="s">
        <v>360</v>
      </c>
      <c r="F28" s="186"/>
      <c r="G28" s="250"/>
      <c r="H28" s="169"/>
      <c r="I28" s="345"/>
      <c r="J28" s="187" t="s">
        <v>442</v>
      </c>
      <c r="K28" s="163" t="s">
        <v>443</v>
      </c>
      <c r="L28" s="164" t="s">
        <v>444</v>
      </c>
      <c r="M28" s="1294"/>
    </row>
    <row r="29" spans="1:18">
      <c r="A29" s="65">
        <v>22</v>
      </c>
      <c r="B29" s="481" t="s">
        <v>445</v>
      </c>
      <c r="C29" s="190"/>
      <c r="D29" s="191"/>
      <c r="E29" s="186" t="s">
        <v>355</v>
      </c>
      <c r="F29" s="186"/>
      <c r="G29" s="250"/>
      <c r="H29" s="169"/>
      <c r="I29" s="345"/>
      <c r="J29" s="187" t="s">
        <v>446</v>
      </c>
    </row>
    <row r="30" spans="1:18" ht="26.1" customHeight="1">
      <c r="A30" s="65">
        <v>23</v>
      </c>
      <c r="B30" s="481" t="s">
        <v>447</v>
      </c>
      <c r="C30" s="190"/>
      <c r="D30" s="191"/>
      <c r="E30" s="186" t="s">
        <v>360</v>
      </c>
      <c r="F30" s="186"/>
      <c r="G30" s="250"/>
      <c r="H30" s="169"/>
      <c r="I30" s="345"/>
      <c r="J30" s="192" t="s">
        <v>448</v>
      </c>
    </row>
    <row r="31" spans="1:18" ht="32.25" customHeight="1">
      <c r="A31" s="65">
        <v>24</v>
      </c>
      <c r="B31" s="517" t="s">
        <v>449</v>
      </c>
      <c r="C31" s="190"/>
      <c r="D31" s="191"/>
      <c r="E31" s="186" t="s">
        <v>360</v>
      </c>
      <c r="F31" s="186"/>
      <c r="G31" s="247"/>
      <c r="H31" s="169"/>
      <c r="I31" s="345"/>
      <c r="J31" s="185" t="s">
        <v>450</v>
      </c>
      <c r="L31" s="409"/>
    </row>
    <row r="32" spans="1:18" ht="46.5" customHeight="1">
      <c r="A32" s="65">
        <v>25</v>
      </c>
      <c r="B32" s="481" t="s">
        <v>451</v>
      </c>
      <c r="C32" s="190"/>
      <c r="D32" s="186"/>
      <c r="E32" s="186"/>
      <c r="F32" s="186"/>
      <c r="G32" s="250"/>
      <c r="H32" s="169"/>
      <c r="I32" s="345"/>
      <c r="J32" s="187" t="s">
        <v>452</v>
      </c>
      <c r="L32" s="410"/>
    </row>
    <row r="33" spans="1:26" ht="13.5" customHeight="1">
      <c r="A33" s="65">
        <v>26</v>
      </c>
      <c r="B33" s="481" t="s">
        <v>453</v>
      </c>
      <c r="C33" s="190"/>
      <c r="D33" s="186"/>
      <c r="E33" s="186"/>
      <c r="F33" s="186"/>
      <c r="G33" s="181"/>
      <c r="H33" s="169"/>
      <c r="I33" s="345"/>
      <c r="J33" s="187" t="s">
        <v>454</v>
      </c>
      <c r="L33" s="248"/>
      <c r="N33" s="248"/>
    </row>
    <row r="34" spans="1:26" ht="26.25" customHeight="1">
      <c r="A34" s="65">
        <v>27</v>
      </c>
      <c r="B34" s="481" t="s">
        <v>455</v>
      </c>
      <c r="C34" s="190"/>
      <c r="D34" s="193"/>
      <c r="E34" s="186"/>
      <c r="F34" s="186"/>
      <c r="G34" s="250"/>
      <c r="H34" s="169"/>
      <c r="I34" s="345"/>
      <c r="J34" s="187" t="s">
        <v>456</v>
      </c>
      <c r="L34" s="249"/>
      <c r="N34" s="249"/>
    </row>
    <row r="35" spans="1:26">
      <c r="B35" s="72"/>
      <c r="C35" s="72"/>
      <c r="D35" s="72"/>
      <c r="E35" s="72"/>
      <c r="F35" s="72"/>
      <c r="G35" s="72"/>
      <c r="H35" s="346"/>
      <c r="I35" s="346"/>
      <c r="J35" s="72"/>
      <c r="S35" s="73"/>
    </row>
    <row r="36" spans="1:26" ht="18">
      <c r="B36" s="74"/>
      <c r="S36" s="73"/>
    </row>
    <row r="37" spans="1:26">
      <c r="K37"/>
      <c r="S37" s="73"/>
    </row>
    <row r="38" spans="1:26">
      <c r="C38"/>
      <c r="D38"/>
      <c r="E38"/>
      <c r="F38"/>
      <c r="G38"/>
      <c r="H38" s="348"/>
      <c r="I38" s="348"/>
      <c r="J38"/>
      <c r="K38"/>
      <c r="L38"/>
      <c r="M38"/>
      <c r="N38"/>
      <c r="O38"/>
      <c r="P38"/>
      <c r="Q38"/>
      <c r="R38"/>
      <c r="S38"/>
      <c r="T38"/>
      <c r="U38"/>
      <c r="V38"/>
      <c r="W38"/>
      <c r="X38"/>
      <c r="Y38"/>
      <c r="Z38"/>
    </row>
    <row r="39" spans="1:26">
      <c r="C39"/>
      <c r="D39"/>
      <c r="E39"/>
      <c r="F39"/>
      <c r="G39"/>
      <c r="H39" s="348"/>
      <c r="I39" s="348"/>
      <c r="J39"/>
      <c r="M39"/>
      <c r="N39"/>
      <c r="O39"/>
      <c r="P39"/>
      <c r="Q39"/>
      <c r="R39"/>
      <c r="S39"/>
      <c r="T39"/>
      <c r="U39"/>
      <c r="V39"/>
      <c r="W39"/>
      <c r="X39"/>
      <c r="Y39"/>
      <c r="Z39"/>
    </row>
    <row r="54" spans="14:18">
      <c r="N54" s="1288"/>
      <c r="O54" s="1288"/>
      <c r="P54" s="1288"/>
      <c r="Q54" s="1288"/>
      <c r="R54" s="1288"/>
    </row>
    <row r="55" spans="14:18">
      <c r="O55" s="350"/>
      <c r="P55" s="350"/>
      <c r="Q55" s="350"/>
      <c r="R55" s="350"/>
    </row>
    <row r="56" spans="14:18">
      <c r="N56" s="351"/>
      <c r="O56" s="351"/>
      <c r="P56" s="351"/>
      <c r="Q56" s="351"/>
      <c r="R56" s="351"/>
    </row>
    <row r="57" spans="14:18">
      <c r="N57" s="351"/>
      <c r="O57" s="351"/>
      <c r="P57" s="351"/>
      <c r="Q57" s="351"/>
      <c r="R57" s="351"/>
    </row>
    <row r="58" spans="14:18">
      <c r="N58" s="351"/>
      <c r="O58" s="351"/>
      <c r="P58" s="351"/>
      <c r="Q58" s="351"/>
      <c r="R58" s="351"/>
    </row>
    <row r="59" spans="14:18">
      <c r="N59" s="351"/>
      <c r="O59" s="351"/>
      <c r="P59" s="351"/>
      <c r="Q59" s="351"/>
      <c r="R59" s="351"/>
    </row>
    <row r="60" spans="14:18">
      <c r="N60" s="351"/>
      <c r="O60" s="351"/>
      <c r="P60" s="351"/>
      <c r="Q60" s="351"/>
      <c r="R60" s="351"/>
    </row>
    <row r="61" spans="14:18">
      <c r="N61" s="351"/>
      <c r="O61" s="351"/>
      <c r="P61" s="351"/>
      <c r="Q61" s="351"/>
      <c r="R61" s="351"/>
    </row>
    <row r="62" spans="14:18">
      <c r="N62" s="351"/>
      <c r="O62" s="351"/>
      <c r="P62" s="351"/>
      <c r="Q62" s="351"/>
      <c r="R62" s="351"/>
    </row>
    <row r="63" spans="14:18">
      <c r="N63" s="351"/>
      <c r="O63" s="351"/>
      <c r="P63" s="351"/>
      <c r="Q63" s="351"/>
      <c r="R63" s="351"/>
    </row>
    <row r="64" spans="14:18">
      <c r="N64" s="351"/>
      <c r="O64" s="351"/>
      <c r="P64" s="351"/>
      <c r="Q64" s="351"/>
      <c r="R64" s="351"/>
    </row>
    <row r="65" spans="14:18">
      <c r="N65" s="351"/>
      <c r="O65" s="351"/>
      <c r="P65" s="351"/>
      <c r="Q65" s="351"/>
      <c r="R65" s="351"/>
    </row>
    <row r="66" spans="14:18">
      <c r="N66" s="1285"/>
      <c r="O66" s="1285"/>
      <c r="P66" s="1285"/>
      <c r="Q66" s="1285"/>
      <c r="R66" s="1285"/>
    </row>
    <row r="67" spans="14:18">
      <c r="N67" s="351"/>
      <c r="O67" s="351"/>
      <c r="P67" s="351"/>
      <c r="Q67" s="351"/>
      <c r="R67" s="351"/>
    </row>
    <row r="68" spans="14:18">
      <c r="N68" s="351"/>
      <c r="O68" s="351"/>
      <c r="P68" s="351"/>
      <c r="Q68" s="351"/>
      <c r="R68" s="351"/>
    </row>
    <row r="69" spans="14:18">
      <c r="N69" s="351"/>
      <c r="O69" s="351"/>
      <c r="P69" s="351"/>
      <c r="Q69" s="351"/>
      <c r="R69" s="351"/>
    </row>
    <row r="70" spans="14:18">
      <c r="N70" s="351"/>
      <c r="O70" s="351"/>
      <c r="P70" s="351"/>
      <c r="Q70" s="351"/>
      <c r="R70" s="351"/>
    </row>
    <row r="71" spans="14:18">
      <c r="N71" s="351"/>
      <c r="O71" s="351"/>
      <c r="P71" s="351"/>
      <c r="Q71" s="351"/>
      <c r="R71" s="351"/>
    </row>
    <row r="72" spans="14:18">
      <c r="N72" s="351"/>
      <c r="O72" s="351"/>
      <c r="P72" s="351"/>
      <c r="Q72" s="351"/>
      <c r="R72" s="351"/>
    </row>
    <row r="73" spans="14:18">
      <c r="N73" s="351"/>
      <c r="O73" s="351"/>
      <c r="P73" s="351"/>
      <c r="Q73" s="351"/>
      <c r="R73" s="351"/>
    </row>
    <row r="74" spans="14:18">
      <c r="N74" s="352"/>
      <c r="O74" s="351"/>
      <c r="P74" s="351"/>
      <c r="Q74" s="351"/>
      <c r="R74" s="351"/>
    </row>
    <row r="75" spans="14:18">
      <c r="N75" s="352"/>
      <c r="O75" s="351"/>
      <c r="P75" s="351"/>
      <c r="Q75" s="351"/>
      <c r="R75" s="351"/>
    </row>
    <row r="76" spans="14:18">
      <c r="N76" s="352"/>
      <c r="O76" s="351"/>
      <c r="P76" s="351"/>
      <c r="Q76" s="351"/>
      <c r="R76" s="351"/>
    </row>
    <row r="77" spans="14:18">
      <c r="N77" s="351"/>
      <c r="O77" s="351"/>
      <c r="P77" s="351"/>
      <c r="Q77" s="351"/>
      <c r="R77" s="351"/>
    </row>
    <row r="78" spans="14:18">
      <c r="N78" s="1285"/>
      <c r="O78" s="1285"/>
      <c r="P78" s="1285"/>
      <c r="Q78" s="1285"/>
      <c r="R78" s="1285"/>
    </row>
    <row r="79" spans="14:18">
      <c r="N79" s="351"/>
      <c r="O79" s="351"/>
      <c r="P79" s="351"/>
      <c r="Q79" s="351"/>
      <c r="R79" s="351"/>
    </row>
    <row r="80" spans="14:18">
      <c r="N80" s="351"/>
      <c r="O80" s="351"/>
      <c r="P80" s="351"/>
      <c r="Q80" s="351"/>
      <c r="R80" s="351"/>
    </row>
    <row r="81" spans="14:18">
      <c r="N81" s="351"/>
      <c r="O81" s="351"/>
      <c r="P81" s="351"/>
      <c r="Q81" s="351"/>
      <c r="R81" s="351"/>
    </row>
    <row r="82" spans="14:18">
      <c r="N82" s="351"/>
      <c r="O82" s="351"/>
      <c r="P82" s="351"/>
      <c r="Q82" s="351"/>
      <c r="R82" s="351"/>
    </row>
    <row r="83" spans="14:18">
      <c r="N83" s="351"/>
      <c r="O83" s="351"/>
      <c r="P83" s="351"/>
      <c r="Q83" s="351"/>
      <c r="R83" s="351"/>
    </row>
    <row r="84" spans="14:18">
      <c r="N84" s="351"/>
      <c r="O84" s="351"/>
      <c r="P84" s="351"/>
      <c r="Q84" s="351"/>
      <c r="R84" s="351"/>
    </row>
    <row r="85" spans="14:18">
      <c r="N85" s="351"/>
      <c r="O85" s="351"/>
      <c r="P85" s="351"/>
      <c r="Q85" s="351"/>
      <c r="R85" s="351"/>
    </row>
    <row r="86" spans="14:18">
      <c r="N86" s="352"/>
      <c r="O86" s="351"/>
      <c r="P86" s="351"/>
      <c r="Q86" s="351"/>
      <c r="R86" s="351"/>
    </row>
    <row r="87" spans="14:18">
      <c r="N87" s="352"/>
      <c r="O87" s="351"/>
      <c r="P87" s="351"/>
      <c r="Q87" s="351"/>
      <c r="R87" s="351"/>
    </row>
    <row r="88" spans="14:18">
      <c r="N88" s="352"/>
      <c r="O88" s="351"/>
      <c r="P88" s="351"/>
      <c r="Q88" s="351"/>
      <c r="R88" s="351"/>
    </row>
    <row r="89" spans="14:18">
      <c r="N89" s="351"/>
      <c r="O89" s="351"/>
      <c r="P89" s="351"/>
      <c r="Q89" s="351"/>
      <c r="R89" s="351"/>
    </row>
    <row r="90" spans="14:18">
      <c r="N90" s="1285"/>
      <c r="O90" s="1285"/>
      <c r="P90" s="1285"/>
      <c r="Q90" s="1285"/>
      <c r="R90" s="1285"/>
    </row>
    <row r="91" spans="14:18">
      <c r="N91" s="351"/>
      <c r="O91" s="351"/>
      <c r="P91" s="351"/>
      <c r="Q91" s="351"/>
      <c r="R91" s="351"/>
    </row>
    <row r="92" spans="14:18">
      <c r="N92" s="352"/>
      <c r="O92" s="351"/>
      <c r="P92" s="351"/>
      <c r="Q92" s="351"/>
      <c r="R92" s="351"/>
    </row>
    <row r="93" spans="14:18">
      <c r="N93" s="352"/>
      <c r="O93" s="351"/>
      <c r="P93" s="351"/>
      <c r="Q93" s="351"/>
      <c r="R93" s="351"/>
    </row>
    <row r="94" spans="14:18">
      <c r="N94" s="352"/>
      <c r="O94" s="351"/>
      <c r="P94" s="351"/>
      <c r="Q94" s="351"/>
      <c r="R94" s="351"/>
    </row>
    <row r="95" spans="14:18">
      <c r="N95" s="352"/>
      <c r="O95" s="351"/>
      <c r="P95" s="351"/>
      <c r="Q95" s="351"/>
      <c r="R95" s="351"/>
    </row>
    <row r="96" spans="14:18">
      <c r="N96" s="352"/>
      <c r="O96" s="351"/>
      <c r="P96" s="351"/>
      <c r="Q96" s="351"/>
      <c r="R96" s="351"/>
    </row>
    <row r="97" spans="14:18">
      <c r="N97" s="352"/>
      <c r="O97" s="351"/>
      <c r="P97" s="351"/>
      <c r="Q97" s="351"/>
      <c r="R97" s="351"/>
    </row>
    <row r="98" spans="14:18">
      <c r="N98" s="352"/>
      <c r="O98" s="351"/>
      <c r="P98" s="351"/>
      <c r="Q98" s="351"/>
      <c r="R98" s="351"/>
    </row>
    <row r="99" spans="14:18">
      <c r="N99" s="352"/>
      <c r="O99" s="351"/>
      <c r="P99" s="351"/>
      <c r="Q99" s="351"/>
      <c r="R99" s="351"/>
    </row>
    <row r="100" spans="14:18">
      <c r="N100" s="352"/>
      <c r="O100" s="351"/>
      <c r="P100" s="351"/>
      <c r="Q100" s="351"/>
      <c r="R100" s="351"/>
    </row>
  </sheetData>
  <mergeCells count="8">
    <mergeCell ref="N90:R90"/>
    <mergeCell ref="B3:J3"/>
    <mergeCell ref="K3:P3"/>
    <mergeCell ref="N54:R54"/>
    <mergeCell ref="N66:R66"/>
    <mergeCell ref="N78:R78"/>
    <mergeCell ref="K23:M23"/>
    <mergeCell ref="M25:M28"/>
  </mergeCells>
  <conditionalFormatting sqref="C10:G10">
    <cfRule type="expression" dxfId="29" priority="18">
      <formula>$C$10="Low"</formula>
    </cfRule>
  </conditionalFormatting>
  <conditionalFormatting sqref="D6:F6 H6:J6">
    <cfRule type="expression" dxfId="28" priority="35">
      <formula>$C$6="Low"</formula>
    </cfRule>
  </conditionalFormatting>
  <conditionalFormatting sqref="D7:G7 J7">
    <cfRule type="expression" dxfId="27" priority="34">
      <formula>$C$7="Low"</formula>
    </cfRule>
  </conditionalFormatting>
  <conditionalFormatting sqref="D8:G8 J8">
    <cfRule type="expression" dxfId="26" priority="33">
      <formula>$C$8="Low"</formula>
    </cfRule>
  </conditionalFormatting>
  <conditionalFormatting sqref="D9:G9 J9:J10">
    <cfRule type="expression" dxfId="25" priority="32">
      <formula>$C$9="Low"</formula>
    </cfRule>
  </conditionalFormatting>
  <conditionalFormatting sqref="D12:G12 J12">
    <cfRule type="expression" dxfId="24" priority="30">
      <formula>$C$12="Low"</formula>
    </cfRule>
  </conditionalFormatting>
  <conditionalFormatting sqref="D13:G13 J13">
    <cfRule type="expression" dxfId="23" priority="29">
      <formula>$C$13="Low"</formula>
    </cfRule>
  </conditionalFormatting>
  <conditionalFormatting sqref="D14:G14 J14">
    <cfRule type="expression" dxfId="22" priority="28">
      <formula>$C$14="Low"</formula>
    </cfRule>
  </conditionalFormatting>
  <conditionalFormatting sqref="D16:G16">
    <cfRule type="expression" dxfId="21" priority="26">
      <formula>$C$16="Low"</formula>
    </cfRule>
  </conditionalFormatting>
  <conditionalFormatting sqref="D19:G19 J20">
    <cfRule type="expression" dxfId="20" priority="23">
      <formula>$C$19="Low"</formula>
    </cfRule>
  </conditionalFormatting>
  <conditionalFormatting sqref="D21:G21 J21">
    <cfRule type="expression" dxfId="19" priority="21">
      <formula>$C$21="Low"</formula>
    </cfRule>
  </conditionalFormatting>
  <conditionalFormatting sqref="D18:I18">
    <cfRule type="expression" dxfId="18" priority="24">
      <formula>$C$18="Low"</formula>
    </cfRule>
  </conditionalFormatting>
  <conditionalFormatting sqref="D15:J15">
    <cfRule type="expression" dxfId="17" priority="27">
      <formula>$C$15="Low"</formula>
    </cfRule>
  </conditionalFormatting>
  <conditionalFormatting sqref="D20:J20">
    <cfRule type="expression" dxfId="16" priority="22">
      <formula>$C$20="Low"</formula>
    </cfRule>
  </conditionalFormatting>
  <conditionalFormatting sqref="D22:J22">
    <cfRule type="expression" dxfId="15" priority="20">
      <formula>$C$22="Low"</formula>
    </cfRule>
  </conditionalFormatting>
  <conditionalFormatting sqref="G6">
    <cfRule type="expression" dxfId="14" priority="16">
      <formula>$C$7="Low"</formula>
    </cfRule>
  </conditionalFormatting>
  <conditionalFormatting sqref="H16:H17">
    <cfRule type="expression" dxfId="13" priority="5">
      <formula>$C$6="Low"</formula>
    </cfRule>
  </conditionalFormatting>
  <conditionalFormatting sqref="H19">
    <cfRule type="expression" dxfId="12" priority="4">
      <formula>$C$6="Low"</formula>
    </cfRule>
  </conditionalFormatting>
  <conditionalFormatting sqref="H21">
    <cfRule type="expression" dxfId="11" priority="3">
      <formula>$C$6="Low"</formula>
    </cfRule>
  </conditionalFormatting>
  <conditionalFormatting sqref="H24:H34">
    <cfRule type="expression" dxfId="10" priority="2">
      <formula>$C$6="Low"</formula>
    </cfRule>
  </conditionalFormatting>
  <conditionalFormatting sqref="H7:I10">
    <cfRule type="expression" dxfId="9" priority="13">
      <formula>$C$6="Low"</formula>
    </cfRule>
  </conditionalFormatting>
  <conditionalFormatting sqref="H12:I14">
    <cfRule type="expression" dxfId="8" priority="6">
      <formula>$C$6="Low"</formula>
    </cfRule>
  </conditionalFormatting>
  <conditionalFormatting sqref="I16:I17">
    <cfRule type="expression" dxfId="7" priority="10">
      <formula>$C$16="Low"</formula>
    </cfRule>
  </conditionalFormatting>
  <conditionalFormatting sqref="I19">
    <cfRule type="expression" dxfId="6" priority="9">
      <formula>$C$16="Low"</formula>
    </cfRule>
  </conditionalFormatting>
  <conditionalFormatting sqref="I21">
    <cfRule type="expression" dxfId="5" priority="8">
      <formula>$C$16="Low"</formula>
    </cfRule>
  </conditionalFormatting>
  <conditionalFormatting sqref="I24:I34">
    <cfRule type="expression" dxfId="4" priority="7">
      <formula>$C$16="Low"</formula>
    </cfRule>
  </conditionalFormatting>
  <conditionalFormatting sqref="J16:J17 D17:G17">
    <cfRule type="expression" dxfId="3" priority="25">
      <formula>$C$17="Low"</formula>
    </cfRule>
  </conditionalFormatting>
  <conditionalFormatting sqref="J19">
    <cfRule type="expression" dxfId="2" priority="1">
      <formula>$C$17="Low"</formula>
    </cfRule>
  </conditionalFormatting>
  <dataValidations count="3">
    <dataValidation type="list" allowBlank="1" showInputMessage="1" showErrorMessage="1" sqref="D6:D22 C11 F12:F22 F6:F10 F24:F34 D32:D34" xr:uid="{00000000-0002-0000-0400-000000000000}">
      <formula1>$S$1:$S$2</formula1>
    </dataValidation>
    <dataValidation type="list" showInputMessage="1" showErrorMessage="1" sqref="B2" xr:uid="{00000000-0002-0000-0400-000001000000}">
      <formula1>Sectors</formula1>
    </dataValidation>
    <dataValidation type="list" allowBlank="1" showInputMessage="1" showErrorMessage="1" sqref="E6:E10 E24:E34 E12:E22" xr:uid="{00000000-0002-0000-0400-000002000000}">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75"/>
  <sheetViews>
    <sheetView showGridLines="0" tabSelected="1" topLeftCell="E39" zoomScaleNormal="85" workbookViewId="0">
      <selection activeCell="D50" sqref="D50"/>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11" width="11.140625" style="2" customWidth="1"/>
    <col min="12" max="12" width="19"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300" t="s">
        <v>457</v>
      </c>
      <c r="B1" s="1300"/>
      <c r="C1" s="1300"/>
      <c r="D1" s="1300"/>
      <c r="E1" s="1300"/>
      <c r="F1" s="1300"/>
      <c r="G1" s="1300"/>
      <c r="H1" s="1300"/>
      <c r="I1" s="1300"/>
      <c r="J1" s="1300"/>
      <c r="K1" s="1300"/>
      <c r="L1" s="1300"/>
      <c r="M1" s="1300"/>
      <c r="N1" s="1300"/>
      <c r="O1" s="1300"/>
      <c r="P1" s="1300"/>
      <c r="Q1" s="1300"/>
      <c r="R1" s="1300"/>
      <c r="S1" s="1300"/>
      <c r="T1" s="1300"/>
      <c r="U1" s="1300"/>
      <c r="V1" s="1300"/>
      <c r="W1" s="1300"/>
      <c r="X1" s="1300"/>
      <c r="Y1" s="1300"/>
      <c r="Z1" s="1300"/>
      <c r="AA1" s="1300"/>
      <c r="AB1" s="1300"/>
      <c r="AC1" s="1300"/>
      <c r="AD1" s="1300"/>
      <c r="AE1" s="1300"/>
      <c r="AF1" s="1300"/>
      <c r="AG1" s="11"/>
      <c r="AH1" s="11"/>
      <c r="AI1" s="11"/>
      <c r="AJ1" s="11"/>
      <c r="AK1" s="11"/>
      <c r="AL1" s="11"/>
      <c r="AM1" s="11"/>
      <c r="AN1" s="11"/>
    </row>
    <row r="2" spans="1:40" ht="3.75" customHeight="1" thickBot="1">
      <c r="A2" s="1301"/>
      <c r="B2" s="1301"/>
      <c r="C2" s="1301"/>
      <c r="D2" s="1301"/>
      <c r="E2" s="1301"/>
      <c r="F2" s="1301"/>
      <c r="G2" s="1301"/>
      <c r="H2" s="1301"/>
      <c r="I2" s="1301"/>
      <c r="J2" s="1301"/>
      <c r="K2" s="1301"/>
      <c r="L2" s="1301"/>
      <c r="M2" s="1301"/>
      <c r="N2" s="1301"/>
      <c r="O2" s="1301"/>
      <c r="P2" s="1301"/>
      <c r="Q2" s="1301"/>
      <c r="R2" s="1301"/>
      <c r="S2" s="1301"/>
      <c r="T2" s="1301"/>
      <c r="U2" s="1301"/>
      <c r="V2" s="1301"/>
      <c r="W2" s="1301"/>
      <c r="X2" s="1301"/>
      <c r="Y2" s="1301"/>
      <c r="Z2" s="1301"/>
      <c r="AA2" s="1301"/>
      <c r="AB2" s="1301"/>
      <c r="AC2" s="1301"/>
      <c r="AD2" s="1301"/>
      <c r="AE2" s="1301"/>
      <c r="AF2" s="1301"/>
      <c r="AG2" s="353"/>
      <c r="AH2" s="11"/>
      <c r="AI2" s="11"/>
      <c r="AJ2" s="11"/>
      <c r="AK2" s="11"/>
      <c r="AL2" s="11"/>
      <c r="AM2" s="11"/>
      <c r="AN2" s="11"/>
    </row>
    <row r="3" spans="1:40" ht="19.5" thickBot="1">
      <c r="A3" s="198"/>
      <c r="B3" s="198"/>
      <c r="C3" s="198"/>
      <c r="D3" s="198"/>
      <c r="E3" s="198"/>
      <c r="F3" s="198"/>
      <c r="G3" s="1306" t="s">
        <v>458</v>
      </c>
      <c r="H3" s="1307"/>
      <c r="I3" s="1307"/>
      <c r="J3" s="1307"/>
      <c r="K3" s="1308" t="s">
        <v>459</v>
      </c>
      <c r="L3" s="1309"/>
      <c r="M3" s="1309"/>
      <c r="N3" s="1309"/>
      <c r="O3" s="1309"/>
      <c r="P3" s="1309"/>
      <c r="Q3" s="1309"/>
      <c r="R3" s="1309"/>
      <c r="S3" s="1309"/>
      <c r="T3" s="1309"/>
      <c r="U3" s="1309"/>
      <c r="V3" s="1309"/>
      <c r="W3" s="1309"/>
      <c r="X3" s="1309"/>
      <c r="Y3" s="1309"/>
      <c r="Z3" s="1309"/>
      <c r="AA3" s="1309"/>
      <c r="AB3" s="1309"/>
      <c r="AC3" s="1309"/>
      <c r="AD3" s="1309"/>
      <c r="AE3" s="1309"/>
      <c r="AF3" s="1310"/>
      <c r="AG3" s="353"/>
      <c r="AH3" s="11"/>
      <c r="AI3" s="11"/>
      <c r="AJ3" s="11"/>
      <c r="AK3" s="11"/>
      <c r="AL3" s="11"/>
      <c r="AM3" s="11"/>
      <c r="AN3" s="11"/>
    </row>
    <row r="4" spans="1:40" ht="15">
      <c r="A4" s="221" t="s">
        <v>460</v>
      </c>
      <c r="B4" s="224" t="s">
        <v>461</v>
      </c>
      <c r="C4" s="225" t="s">
        <v>462</v>
      </c>
      <c r="D4" s="233" t="s">
        <v>463</v>
      </c>
      <c r="E4" s="233" t="s">
        <v>464</v>
      </c>
      <c r="F4" s="234" t="s">
        <v>465</v>
      </c>
      <c r="G4" s="233">
        <v>2024</v>
      </c>
      <c r="H4" s="233">
        <f>G4+1</f>
        <v>2025</v>
      </c>
      <c r="I4" s="233">
        <f t="shared" ref="I4:AF4" si="0">H4+1</f>
        <v>2026</v>
      </c>
      <c r="J4" s="234">
        <f t="shared" si="0"/>
        <v>2027</v>
      </c>
      <c r="K4" s="235">
        <f t="shared" si="0"/>
        <v>2028</v>
      </c>
      <c r="L4" s="235">
        <f t="shared" si="0"/>
        <v>2029</v>
      </c>
      <c r="M4" s="235">
        <f t="shared" si="0"/>
        <v>2030</v>
      </c>
      <c r="N4" s="235">
        <f t="shared" si="0"/>
        <v>2031</v>
      </c>
      <c r="O4" s="235">
        <f t="shared" si="0"/>
        <v>2032</v>
      </c>
      <c r="P4" s="235">
        <f t="shared" si="0"/>
        <v>2033</v>
      </c>
      <c r="Q4" s="235">
        <f t="shared" si="0"/>
        <v>2034</v>
      </c>
      <c r="R4" s="235">
        <f t="shared" si="0"/>
        <v>2035</v>
      </c>
      <c r="S4" s="235">
        <f t="shared" si="0"/>
        <v>2036</v>
      </c>
      <c r="T4" s="235">
        <f t="shared" si="0"/>
        <v>2037</v>
      </c>
      <c r="U4" s="235">
        <f t="shared" si="0"/>
        <v>2038</v>
      </c>
      <c r="V4" s="235">
        <f t="shared" si="0"/>
        <v>2039</v>
      </c>
      <c r="W4" s="235">
        <f t="shared" si="0"/>
        <v>2040</v>
      </c>
      <c r="X4" s="235">
        <f t="shared" si="0"/>
        <v>2041</v>
      </c>
      <c r="Y4" s="235">
        <f t="shared" si="0"/>
        <v>2042</v>
      </c>
      <c r="Z4" s="235">
        <f t="shared" si="0"/>
        <v>2043</v>
      </c>
      <c r="AA4" s="235">
        <f t="shared" si="0"/>
        <v>2044</v>
      </c>
      <c r="AB4" s="235">
        <f t="shared" si="0"/>
        <v>2045</v>
      </c>
      <c r="AC4" s="235">
        <f t="shared" si="0"/>
        <v>2046</v>
      </c>
      <c r="AD4" s="235">
        <f t="shared" si="0"/>
        <v>2047</v>
      </c>
      <c r="AE4" s="235">
        <f t="shared" si="0"/>
        <v>2048</v>
      </c>
      <c r="AF4" s="236">
        <f t="shared" si="0"/>
        <v>2049</v>
      </c>
      <c r="AG4" s="353"/>
      <c r="AH4" s="11"/>
      <c r="AI4" s="11"/>
      <c r="AJ4" s="11"/>
      <c r="AK4" s="11"/>
      <c r="AL4" s="11"/>
      <c r="AM4" s="11"/>
      <c r="AN4" s="11"/>
    </row>
    <row r="5" spans="1:40">
      <c r="A5" s="1302" t="s">
        <v>466</v>
      </c>
      <c r="B5" s="226">
        <v>1</v>
      </c>
      <c r="C5" s="231" t="s">
        <v>467</v>
      </c>
      <c r="D5" s="701">
        <f>'Fin. Data'!D6</f>
        <v>-7.6836634358758205E-2</v>
      </c>
      <c r="E5" s="702">
        <f t="shared" ref="E5:AF5" si="1">+E6/D6-1</f>
        <v>0.27419354838709675</v>
      </c>
      <c r="F5" s="854">
        <f t="shared" si="1"/>
        <v>0.19136613326964413</v>
      </c>
      <c r="G5" s="864">
        <f>+G6/F6-1</f>
        <v>0.12000000000000011</v>
      </c>
      <c r="H5" s="865">
        <f>+H6/G6-1</f>
        <v>0.11450000000000005</v>
      </c>
      <c r="I5" s="865">
        <f>+I6/H6-1</f>
        <v>0.10899999999999999</v>
      </c>
      <c r="J5" s="881">
        <f>+J6/I6-1</f>
        <v>0.10349999999999993</v>
      </c>
      <c r="K5" s="880">
        <f t="shared" si="1"/>
        <v>9.8500000000000032E-2</v>
      </c>
      <c r="L5" s="865">
        <f t="shared" si="1"/>
        <v>9.3499999999999917E-2</v>
      </c>
      <c r="M5" s="865">
        <f t="shared" si="1"/>
        <v>8.8500000000000023E-2</v>
      </c>
      <c r="N5" s="865">
        <f t="shared" si="1"/>
        <v>8.3499999999999908E-2</v>
      </c>
      <c r="O5" s="865">
        <f t="shared" si="1"/>
        <v>7.8500000000000014E-2</v>
      </c>
      <c r="P5" s="865">
        <f t="shared" si="1"/>
        <v>7.3499999999999899E-2</v>
      </c>
      <c r="Q5" s="865">
        <f>+Q6/P6-1</f>
        <v>6.8500000000000005E-2</v>
      </c>
      <c r="R5" s="865">
        <f t="shared" si="1"/>
        <v>6.4000000000000057E-2</v>
      </c>
      <c r="S5" s="865">
        <f t="shared" si="1"/>
        <v>5.9499999999999886E-2</v>
      </c>
      <c r="T5" s="865">
        <f t="shared" si="1"/>
        <v>5.4999999999999938E-2</v>
      </c>
      <c r="U5" s="865">
        <f t="shared" si="1"/>
        <v>5.0499999999999989E-2</v>
      </c>
      <c r="V5" s="865">
        <f t="shared" si="1"/>
        <v>4.6000000000000041E-2</v>
      </c>
      <c r="W5" s="865">
        <f t="shared" si="1"/>
        <v>4.149999999999987E-2</v>
      </c>
      <c r="X5" s="865">
        <f t="shared" si="1"/>
        <v>3.8499999999999979E-2</v>
      </c>
      <c r="Y5" s="865">
        <f t="shared" si="1"/>
        <v>3.5499999999999865E-2</v>
      </c>
      <c r="Z5" s="865">
        <f t="shared" si="1"/>
        <v>3.2499999999999973E-2</v>
      </c>
      <c r="AA5" s="865">
        <f t="shared" si="1"/>
        <v>2.949999999999986E-2</v>
      </c>
      <c r="AB5" s="865">
        <f t="shared" si="1"/>
        <v>2.6499999999999968E-2</v>
      </c>
      <c r="AC5" s="865">
        <f t="shared" si="1"/>
        <v>2.3499999999999854E-2</v>
      </c>
      <c r="AD5" s="865">
        <f t="shared" si="1"/>
        <v>2.0499999999999963E-2</v>
      </c>
      <c r="AE5" s="865">
        <f t="shared" si="1"/>
        <v>1.7499999999999849E-2</v>
      </c>
      <c r="AF5" s="881">
        <f t="shared" si="1"/>
        <v>1.4499999999999957E-2</v>
      </c>
      <c r="AG5" s="300"/>
      <c r="AH5" s="11"/>
      <c r="AI5" s="11"/>
      <c r="AJ5" s="11"/>
      <c r="AK5" s="11"/>
      <c r="AL5" s="11"/>
      <c r="AM5" s="11"/>
      <c r="AN5" s="11"/>
    </row>
    <row r="6" spans="1:40" ht="15">
      <c r="A6" s="1302"/>
      <c r="B6" s="226">
        <v>2</v>
      </c>
      <c r="C6" s="220" t="s">
        <v>468</v>
      </c>
      <c r="D6" s="703">
        <f>Inputs!D6</f>
        <v>13144</v>
      </c>
      <c r="E6" s="695">
        <f>Inputs!C6</f>
        <v>16748</v>
      </c>
      <c r="F6" s="855">
        <f>Inputs!B6</f>
        <v>19953</v>
      </c>
      <c r="G6" s="866">
        <f>Assumptions!C81</f>
        <v>22347.360000000001</v>
      </c>
      <c r="H6" s="867">
        <f>Assumptions!D81</f>
        <v>24906.132720000001</v>
      </c>
      <c r="I6" s="867">
        <f>Assumptions!E81</f>
        <v>27620.901186480001</v>
      </c>
      <c r="J6" s="883">
        <f>Assumptions!F81</f>
        <v>30479.664459280681</v>
      </c>
      <c r="K6" s="882">
        <f>Assumptions!G81</f>
        <v>33481.911408519831</v>
      </c>
      <c r="L6" s="867">
        <f>Assumptions!H81</f>
        <v>36612.47012521643</v>
      </c>
      <c r="M6" s="867">
        <f>Assumptions!I81</f>
        <v>39852.673731298084</v>
      </c>
      <c r="N6" s="867">
        <f>Assumptions!J81</f>
        <v>43180.371987861472</v>
      </c>
      <c r="O6" s="867">
        <f>Assumptions!K81</f>
        <v>46570.031188908601</v>
      </c>
      <c r="P6" s="867">
        <f>Assumptions!L81</f>
        <v>49992.928481293377</v>
      </c>
      <c r="Q6" s="867">
        <f>Assumptions!M81</f>
        <v>53417.444082261973</v>
      </c>
      <c r="R6" s="867">
        <f>Assumptions!N81</f>
        <v>56836.160503526742</v>
      </c>
      <c r="S6" s="867">
        <f>Assumptions!O81</f>
        <v>60217.91205348658</v>
      </c>
      <c r="T6" s="867">
        <f>Assumptions!P81</f>
        <v>63529.89721642834</v>
      </c>
      <c r="U6" s="867">
        <f>Assumptions!Q81</f>
        <v>66738.157025857974</v>
      </c>
      <c r="V6" s="867">
        <f>Assumptions!R81</f>
        <v>69808.112249047437</v>
      </c>
      <c r="W6" s="867">
        <f>Assumptions!S81</f>
        <v>72705.1489073829</v>
      </c>
      <c r="X6" s="867">
        <f>Assumptions!T81</f>
        <v>75504.29714031714</v>
      </c>
      <c r="Y6" s="867">
        <f>Assumptions!U81</f>
        <v>78184.699688798384</v>
      </c>
      <c r="Z6" s="867">
        <f>Assumptions!V81</f>
        <v>80725.702428684323</v>
      </c>
      <c r="AA6" s="867">
        <f>Assumptions!W81</f>
        <v>83107.110650330505</v>
      </c>
      <c r="AB6" s="867">
        <f>Assumptions!X81</f>
        <v>85309.449082564257</v>
      </c>
      <c r="AC6" s="867">
        <f>Assumptions!Y81</f>
        <v>87314.221136004504</v>
      </c>
      <c r="AD6" s="867">
        <f>Assumptions!Z81</f>
        <v>89104.162669292593</v>
      </c>
      <c r="AE6" s="867">
        <f>Assumptions!AA81</f>
        <v>90663.485516005196</v>
      </c>
      <c r="AF6" s="883">
        <f>Assumptions!AB81</f>
        <v>91978.106055987271</v>
      </c>
      <c r="AG6" s="354"/>
      <c r="AH6" s="11"/>
      <c r="AI6" s="11"/>
      <c r="AJ6" s="11"/>
      <c r="AK6" s="11"/>
      <c r="AL6" s="11"/>
      <c r="AM6" s="11"/>
      <c r="AN6" s="11"/>
    </row>
    <row r="7" spans="1:40">
      <c r="A7" s="1302"/>
      <c r="B7" s="226">
        <v>3</v>
      </c>
      <c r="C7" s="80" t="s">
        <v>469</v>
      </c>
      <c r="D7" s="704">
        <f>D8/D6</f>
        <v>0.11244674376141205</v>
      </c>
      <c r="E7" s="696">
        <f t="shared" ref="E7" si="2">E8/E6</f>
        <v>0.22408645808454741</v>
      </c>
      <c r="F7" s="856">
        <f>F8/F6</f>
        <v>0.25214253495714928</v>
      </c>
      <c r="G7" s="868" cm="1">
        <f t="array" ref="G7:AF7">Assumptions!C97:AB97</f>
        <v>0.23</v>
      </c>
      <c r="H7" s="869">
        <v>0.215</v>
      </c>
      <c r="I7" s="869">
        <v>0.22</v>
      </c>
      <c r="J7" s="885">
        <v>0.21</v>
      </c>
      <c r="K7" s="884">
        <v>0.2</v>
      </c>
      <c r="L7" s="869">
        <v>0.19</v>
      </c>
      <c r="M7" s="869">
        <v>0.185</v>
      </c>
      <c r="N7" s="869">
        <v>0.18</v>
      </c>
      <c r="O7" s="869">
        <v>0.18</v>
      </c>
      <c r="P7" s="869">
        <v>0.18</v>
      </c>
      <c r="Q7" s="869">
        <v>0.17</v>
      </c>
      <c r="R7" s="869">
        <v>0.17</v>
      </c>
      <c r="S7" s="869">
        <v>0.17</v>
      </c>
      <c r="T7" s="869">
        <v>0.17</v>
      </c>
      <c r="U7" s="869">
        <v>0.16500000000000001</v>
      </c>
      <c r="V7" s="869">
        <v>0.16500000000000001</v>
      </c>
      <c r="W7" s="869">
        <v>0.16500000000000001</v>
      </c>
      <c r="X7" s="869">
        <v>0.16500000000000001</v>
      </c>
      <c r="Y7" s="869">
        <v>0.16500000000000001</v>
      </c>
      <c r="Z7" s="869">
        <v>0.16500000000000001</v>
      </c>
      <c r="AA7" s="869">
        <v>0.16500000000000001</v>
      </c>
      <c r="AB7" s="869">
        <v>0.16500000000000001</v>
      </c>
      <c r="AC7" s="869">
        <v>0.16500000000000001</v>
      </c>
      <c r="AD7" s="869">
        <v>0.16500000000000001</v>
      </c>
      <c r="AE7" s="869">
        <v>0.16500000000000001</v>
      </c>
      <c r="AF7" s="885">
        <v>0.16500000000000001</v>
      </c>
      <c r="AG7" s="300"/>
      <c r="AH7" s="11"/>
      <c r="AI7" s="11"/>
      <c r="AJ7" s="11"/>
      <c r="AK7" s="11"/>
      <c r="AL7" s="11"/>
      <c r="AM7" s="11"/>
      <c r="AN7" s="11"/>
    </row>
    <row r="8" spans="1:40" ht="15">
      <c r="A8" s="1302"/>
      <c r="B8" s="226">
        <v>4</v>
      </c>
      <c r="C8" s="207" t="s">
        <v>83</v>
      </c>
      <c r="D8" s="705">
        <f>'Fin. Data'!D11</f>
        <v>1478</v>
      </c>
      <c r="E8" s="697">
        <f>'Fin. Data'!C11</f>
        <v>3753</v>
      </c>
      <c r="F8" s="857">
        <f>'Fin. Data'!B11</f>
        <v>5031</v>
      </c>
      <c r="G8" s="866">
        <f>G7*G6</f>
        <v>5139.8928000000005</v>
      </c>
      <c r="H8" s="867">
        <f>H7*H6</f>
        <v>5354.8185348000006</v>
      </c>
      <c r="I8" s="867">
        <f t="shared" ref="I8:AF8" si="3">I7*I6</f>
        <v>6076.5982610256006</v>
      </c>
      <c r="J8" s="883">
        <f t="shared" si="3"/>
        <v>6400.7295364489428</v>
      </c>
      <c r="K8" s="882">
        <f t="shared" si="3"/>
        <v>6696.3822817039663</v>
      </c>
      <c r="L8" s="867">
        <f t="shared" si="3"/>
        <v>6956.369323791122</v>
      </c>
      <c r="M8" s="867">
        <f t="shared" si="3"/>
        <v>7372.7446402901451</v>
      </c>
      <c r="N8" s="867">
        <f t="shared" si="3"/>
        <v>7772.4669578150642</v>
      </c>
      <c r="O8" s="867">
        <f t="shared" si="3"/>
        <v>8382.6056140035471</v>
      </c>
      <c r="P8" s="867">
        <f t="shared" si="3"/>
        <v>8998.727126632808</v>
      </c>
      <c r="Q8" s="867">
        <f t="shared" si="3"/>
        <v>9080.9654939845368</v>
      </c>
      <c r="R8" s="867">
        <f t="shared" si="3"/>
        <v>9662.1472855995471</v>
      </c>
      <c r="S8" s="867">
        <f t="shared" si="3"/>
        <v>10237.04504909272</v>
      </c>
      <c r="T8" s="867">
        <f t="shared" si="3"/>
        <v>10800.082526792819</v>
      </c>
      <c r="U8" s="867">
        <f t="shared" si="3"/>
        <v>11011.795909266566</v>
      </c>
      <c r="V8" s="867">
        <f t="shared" si="3"/>
        <v>11518.338521092828</v>
      </c>
      <c r="W8" s="867">
        <f t="shared" si="3"/>
        <v>11996.349569718179</v>
      </c>
      <c r="X8" s="867">
        <f t="shared" si="3"/>
        <v>12458.209028152329</v>
      </c>
      <c r="Y8" s="867">
        <f t="shared" si="3"/>
        <v>12900.475448651734</v>
      </c>
      <c r="Z8" s="867">
        <f t="shared" si="3"/>
        <v>13319.740900732913</v>
      </c>
      <c r="AA8" s="867">
        <f t="shared" si="3"/>
        <v>13712.673257304534</v>
      </c>
      <c r="AB8" s="867">
        <f t="shared" si="3"/>
        <v>14076.059098623104</v>
      </c>
      <c r="AC8" s="867">
        <f t="shared" si="3"/>
        <v>14406.846487440744</v>
      </c>
      <c r="AD8" s="867">
        <f t="shared" si="3"/>
        <v>14702.186840433278</v>
      </c>
      <c r="AE8" s="867">
        <f t="shared" si="3"/>
        <v>14959.475110140858</v>
      </c>
      <c r="AF8" s="883">
        <f t="shared" si="3"/>
        <v>15176.387499237901</v>
      </c>
      <c r="AG8" s="338"/>
      <c r="AH8" s="7"/>
      <c r="AI8" s="7"/>
      <c r="AJ8" s="7"/>
      <c r="AK8" s="11"/>
      <c r="AL8" s="11"/>
      <c r="AM8" s="11"/>
      <c r="AN8" s="11"/>
    </row>
    <row r="9" spans="1:40" ht="15">
      <c r="A9" s="1302"/>
      <c r="B9" s="226" t="s">
        <v>470</v>
      </c>
      <c r="C9" s="220" t="s">
        <v>471</v>
      </c>
      <c r="D9" s="707">
        <f>-Assumptions!E32</f>
        <v>-1158</v>
      </c>
      <c r="E9" s="852">
        <f>-Assumptions!D32</f>
        <v>-1201</v>
      </c>
      <c r="F9" s="858">
        <f>-Assumptions!C32</f>
        <v>-1286</v>
      </c>
      <c r="G9" s="870">
        <f>-$D$53*Assumptions!C118</f>
        <v>-1463.405862208989</v>
      </c>
      <c r="H9" s="871">
        <f>-$D$53*Assumptions!D118</f>
        <v>-1419.2383174141705</v>
      </c>
      <c r="I9" s="871">
        <f>-$D$53*Assumptions!E118</f>
        <v>-1390.5977242197177</v>
      </c>
      <c r="J9" s="887">
        <f>-$D$53*Assumptions!F118</f>
        <v>-1376.5230259780117</v>
      </c>
      <c r="K9" s="886">
        <f>-$E$53*Assumptions!G118</f>
        <v>-1372.8032451099261</v>
      </c>
      <c r="L9" s="871">
        <f>-$E$53*Assumptions!H118</f>
        <v>-1381.9607968716557</v>
      </c>
      <c r="M9" s="871">
        <f>-$E$53*Assumptions!I118</f>
        <v>-1403.1476392184354</v>
      </c>
      <c r="N9" s="871">
        <f>-$E$53*Assumptions!J118</f>
        <v>-1435.5119383248393</v>
      </c>
      <c r="O9" s="871">
        <f>-$E$53*Assumptions!K118</f>
        <v>-1478.1849311157951</v>
      </c>
      <c r="P9" s="871">
        <f>-$E$53*Assumptions!L118</f>
        <v>-1530.2698760868343</v>
      </c>
      <c r="Q9" s="871">
        <f>-$E$53*Assumptions!M118</f>
        <v>-1590.8332749357744</v>
      </c>
      <c r="R9" s="871">
        <f>-$E$53*Assumptions!N118</f>
        <v>-1659.0052258716569</v>
      </c>
      <c r="S9" s="871">
        <f>-$E$53*Assumptions!O118</f>
        <v>-1733.8782038348875</v>
      </c>
      <c r="T9" s="871">
        <f>-$E$53*Assumptions!P118</f>
        <v>-1814.5042831683295</v>
      </c>
      <c r="U9" s="871">
        <f>-$E$53*Assumptions!Q118</f>
        <v>-1899.8945486459891</v>
      </c>
      <c r="V9" s="871">
        <f>-$E$53*Assumptions!R118</f>
        <v>-1989.0207112469211</v>
      </c>
      <c r="W9" s="871">
        <f>-$E$53*Assumptions!S118</f>
        <v>-2080.8189015785479</v>
      </c>
      <c r="X9" s="871">
        <f>-$E$53*Assumptions!T118</f>
        <v>-2174.6312255703324</v>
      </c>
      <c r="Y9" s="871">
        <f>-$E$53*Assumptions!U118</f>
        <v>-2269.7821726153179</v>
      </c>
      <c r="Z9" s="871">
        <f>-$E$53*Assumptions!V118</f>
        <v>-2365.5811863934327</v>
      </c>
      <c r="AA9" s="871">
        <f>-$E$53*Assumptions!W118</f>
        <v>-2461.3260027253477</v>
      </c>
      <c r="AB9" s="871">
        <f>-$E$53*Assumptions!X118</f>
        <v>-2556.3066928121843</v>
      </c>
      <c r="AC9" s="871">
        <f>-$E$53*Assumptions!Y118</f>
        <v>-2649.8103382963095</v>
      </c>
      <c r="AD9" s="871">
        <f>-$E$53*Assumptions!Z118</f>
        <v>-2741.126253164136</v>
      </c>
      <c r="AE9" s="871">
        <f>-$E$53*Assumptions!AA118</f>
        <v>-2829.5516569746792</v>
      </c>
      <c r="AF9" s="887">
        <f>-$E$53*Assumptions!AB118</f>
        <v>-2914.3976945963618</v>
      </c>
      <c r="AG9" s="339">
        <f>SUM(D9:AF9)</f>
        <v>-53627.111728978583</v>
      </c>
      <c r="AH9" s="7"/>
      <c r="AI9" s="7"/>
      <c r="AJ9" s="7"/>
      <c r="AK9" s="11"/>
      <c r="AL9" s="11"/>
      <c r="AM9" s="11"/>
      <c r="AN9" s="11"/>
    </row>
    <row r="10" spans="1:40" ht="15">
      <c r="A10" s="1302"/>
      <c r="B10" s="226" t="s">
        <v>472</v>
      </c>
      <c r="C10" s="220" t="s">
        <v>473</v>
      </c>
      <c r="D10" s="707">
        <f>-Assumptions!E36</f>
        <v>-360</v>
      </c>
      <c r="E10" s="852">
        <f>-Assumptions!D36</f>
        <v>-349</v>
      </c>
      <c r="F10" s="858">
        <f>-Assumptions!C36</f>
        <v>-186</v>
      </c>
      <c r="G10" s="870">
        <f>-Assumptions!C150*$D$54</f>
        <v>-128.33396405859935</v>
      </c>
      <c r="H10" s="871">
        <f>-Assumptions!D150*$D$54</f>
        <v>-130.71987535258592</v>
      </c>
      <c r="I10" s="871">
        <f>-Assumptions!E150*$D$54</f>
        <v>-134.67764237450237</v>
      </c>
      <c r="J10" s="887">
        <f>-Assumptions!F150*$D$54</f>
        <v>-140.12723059131503</v>
      </c>
      <c r="K10" s="886">
        <f>-Assumptions!G150*$E$54</f>
        <v>-143.21180284209339</v>
      </c>
      <c r="L10" s="871">
        <f>-Assumptions!H150*$E$54</f>
        <v>-147.71735313276602</v>
      </c>
      <c r="M10" s="871">
        <f>-Assumptions!I150*$E$54</f>
        <v>-153.54520690493536</v>
      </c>
      <c r="N10" s="871">
        <f>-Assumptions!J150*$E$54</f>
        <v>-160.59532420137234</v>
      </c>
      <c r="O10" s="871">
        <f>-Assumptions!K150*$E$54</f>
        <v>-168.76454134557795</v>
      </c>
      <c r="P10" s="871">
        <f>-Assumptions!L150*$E$54</f>
        <v>-177.94512126936331</v>
      </c>
      <c r="Q10" s="871">
        <f>-Assumptions!M150*$E$54</f>
        <v>-188.02363293442843</v>
      </c>
      <c r="R10" s="871">
        <f>-Assumptions!N150*$E$54</f>
        <v>-198.895276800261</v>
      </c>
      <c r="S10" s="871">
        <f>-Assumptions!O150*$E$54</f>
        <v>-210.44948393629431</v>
      </c>
      <c r="T10" s="871">
        <f>-Assumptions!P150*$E$54</f>
        <v>-222.56964357491259</v>
      </c>
      <c r="U10" s="871">
        <f>-Assumptions!Q150*$E$54</f>
        <v>-235.13313189492402</v>
      </c>
      <c r="V10" s="871">
        <f>-Assumptions!R150*$E$54</f>
        <v>-248.01164122435605</v>
      </c>
      <c r="W10" s="871">
        <f>-Assumptions!S150*$E$54</f>
        <v>-261.07180302132377</v>
      </c>
      <c r="X10" s="871">
        <f>-Assumptions!T150*$E$54</f>
        <v>-274.23774253344243</v>
      </c>
      <c r="Y10" s="871">
        <f>-Assumptions!U150*$E$54</f>
        <v>-287.43037276552576</v>
      </c>
      <c r="Z10" s="871">
        <f>-Assumptions!V150*$E$54</f>
        <v>-300.56787249294604</v>
      </c>
      <c r="AA10" s="871">
        <f>-Assumptions!W150*$E$54</f>
        <v>-313.56625510660905</v>
      </c>
      <c r="AB10" s="871">
        <f>-Assumptions!X150*$E$54</f>
        <v>-326.34002013673899</v>
      </c>
      <c r="AC10" s="871">
        <f>-Assumptions!Y150*$E$54</f>
        <v>-338.80287766639753</v>
      </c>
      <c r="AD10" s="871">
        <f>-Assumptions!Z150*$E$54</f>
        <v>-350.86853429750892</v>
      </c>
      <c r="AE10" s="871">
        <f>-Assumptions!AA150*$E$54</f>
        <v>-362.45152792184228</v>
      </c>
      <c r="AF10" s="887">
        <f>-Assumptions!AB150*$E$54</f>
        <v>-373.46809732452817</v>
      </c>
      <c r="AG10" s="338"/>
      <c r="AH10" s="7"/>
      <c r="AI10" s="7"/>
      <c r="AJ10" s="7"/>
      <c r="AK10" s="11"/>
      <c r="AL10" s="11"/>
      <c r="AM10" s="11"/>
      <c r="AN10" s="11"/>
    </row>
    <row r="11" spans="1:40" ht="15">
      <c r="A11" s="1302"/>
      <c r="B11" s="226" t="s">
        <v>474</v>
      </c>
      <c r="C11" s="220" t="s">
        <v>475</v>
      </c>
      <c r="D11" s="707">
        <f>D20</f>
        <v>-43</v>
      </c>
      <c r="E11" s="852">
        <f t="shared" ref="E11:F11" si="4">E20</f>
        <v>-67</v>
      </c>
      <c r="F11" s="858">
        <f t="shared" si="4"/>
        <v>-94</v>
      </c>
      <c r="G11" s="870">
        <f>-G6*$D$55</f>
        <v>-105.03259200000001</v>
      </c>
      <c r="H11" s="871">
        <f t="shared" ref="H11:J11" si="5">-H6*$D$55</f>
        <v>-117.05882378400001</v>
      </c>
      <c r="I11" s="871">
        <f t="shared" si="5"/>
        <v>-129.818235576456</v>
      </c>
      <c r="J11" s="887">
        <f t="shared" si="5"/>
        <v>-143.25442295861922</v>
      </c>
      <c r="K11" s="886">
        <f>-K6*$E$55</f>
        <v>-167.40955704259915</v>
      </c>
      <c r="L11" s="871">
        <f t="shared" ref="L11:AF11" si="6">-L6*$E$55</f>
        <v>-183.06235062608215</v>
      </c>
      <c r="M11" s="871">
        <f t="shared" si="6"/>
        <v>-199.26336865649043</v>
      </c>
      <c r="N11" s="871">
        <f t="shared" si="6"/>
        <v>-215.90185993930737</v>
      </c>
      <c r="O11" s="871">
        <f t="shared" si="6"/>
        <v>-232.85015594454302</v>
      </c>
      <c r="P11" s="871">
        <f t="shared" si="6"/>
        <v>-249.96464240646688</v>
      </c>
      <c r="Q11" s="871">
        <f t="shared" si="6"/>
        <v>-267.08722041130989</v>
      </c>
      <c r="R11" s="871">
        <f t="shared" si="6"/>
        <v>-284.18080251763371</v>
      </c>
      <c r="S11" s="871">
        <f t="shared" si="6"/>
        <v>-301.08956026743289</v>
      </c>
      <c r="T11" s="871">
        <f t="shared" si="6"/>
        <v>-317.64948608214172</v>
      </c>
      <c r="U11" s="871">
        <f t="shared" si="6"/>
        <v>-333.69078512928985</v>
      </c>
      <c r="V11" s="871">
        <f t="shared" si="6"/>
        <v>-349.0405612452372</v>
      </c>
      <c r="W11" s="871">
        <f t="shared" si="6"/>
        <v>-363.52574453691449</v>
      </c>
      <c r="X11" s="871">
        <f t="shared" si="6"/>
        <v>-377.52148570158573</v>
      </c>
      <c r="Y11" s="871">
        <f t="shared" si="6"/>
        <v>-390.92349844399195</v>
      </c>
      <c r="Z11" s="871">
        <f t="shared" si="6"/>
        <v>-403.62851214342163</v>
      </c>
      <c r="AA11" s="871">
        <f t="shared" si="6"/>
        <v>-415.53555325165252</v>
      </c>
      <c r="AB11" s="871">
        <f t="shared" si="6"/>
        <v>-426.54724541282127</v>
      </c>
      <c r="AC11" s="871">
        <f t="shared" si="6"/>
        <v>-436.57110568002253</v>
      </c>
      <c r="AD11" s="871">
        <f t="shared" si="6"/>
        <v>-445.520813346463</v>
      </c>
      <c r="AE11" s="871">
        <f t="shared" si="6"/>
        <v>-453.31742758002599</v>
      </c>
      <c r="AF11" s="887">
        <f t="shared" si="6"/>
        <v>-459.89053027993634</v>
      </c>
      <c r="AG11" s="338"/>
      <c r="AH11" s="7"/>
      <c r="AI11" s="7"/>
      <c r="AJ11" s="7"/>
      <c r="AK11" s="11"/>
      <c r="AL11" s="11"/>
      <c r="AM11" s="11"/>
      <c r="AN11" s="11"/>
    </row>
    <row r="12" spans="1:40" ht="15">
      <c r="A12" s="1302"/>
      <c r="B12" s="226">
        <v>6</v>
      </c>
      <c r="C12" s="207" t="s">
        <v>74</v>
      </c>
      <c r="D12" s="705">
        <f>D8+D9+D10</f>
        <v>-40</v>
      </c>
      <c r="E12" s="697">
        <f>E8+E9+E10</f>
        <v>2203</v>
      </c>
      <c r="F12" s="857">
        <f>F8+F9+F10</f>
        <v>3559</v>
      </c>
      <c r="G12" s="705">
        <f>G8+G9+G10</f>
        <v>3548.1529737324126</v>
      </c>
      <c r="H12" s="697">
        <f t="shared" ref="H12:AF12" si="7">H8+H9+H10</f>
        <v>3804.8603420332443</v>
      </c>
      <c r="I12" s="697">
        <f t="shared" si="7"/>
        <v>4551.3228944313805</v>
      </c>
      <c r="J12" s="706">
        <f t="shared" si="7"/>
        <v>4884.0792798796156</v>
      </c>
      <c r="K12" s="853">
        <f t="shared" si="7"/>
        <v>5180.3672337519465</v>
      </c>
      <c r="L12" s="697">
        <f t="shared" si="7"/>
        <v>5426.6911737867003</v>
      </c>
      <c r="M12" s="697">
        <f t="shared" si="7"/>
        <v>5816.0517941667749</v>
      </c>
      <c r="N12" s="697">
        <f t="shared" si="7"/>
        <v>6176.3596952888529</v>
      </c>
      <c r="O12" s="697">
        <f t="shared" si="7"/>
        <v>6735.6561415421747</v>
      </c>
      <c r="P12" s="697">
        <f t="shared" si="7"/>
        <v>7290.5121292766107</v>
      </c>
      <c r="Q12" s="697">
        <f t="shared" si="7"/>
        <v>7302.1085861143338</v>
      </c>
      <c r="R12" s="697">
        <f t="shared" si="7"/>
        <v>7804.2467829276293</v>
      </c>
      <c r="S12" s="697">
        <f t="shared" si="7"/>
        <v>8292.7173613215382</v>
      </c>
      <c r="T12" s="697">
        <f t="shared" si="7"/>
        <v>8763.0086000495776</v>
      </c>
      <c r="U12" s="697">
        <f t="shared" si="7"/>
        <v>8876.7682287256539</v>
      </c>
      <c r="V12" s="697">
        <f t="shared" si="7"/>
        <v>9281.3061686215497</v>
      </c>
      <c r="W12" s="697">
        <f t="shared" si="7"/>
        <v>9654.4588651183076</v>
      </c>
      <c r="X12" s="697">
        <f t="shared" si="7"/>
        <v>10009.340060048555</v>
      </c>
      <c r="Y12" s="697">
        <f t="shared" si="7"/>
        <v>10343.26290327089</v>
      </c>
      <c r="Z12" s="697">
        <f t="shared" si="7"/>
        <v>10653.591841846535</v>
      </c>
      <c r="AA12" s="697">
        <f t="shared" si="7"/>
        <v>10937.780999472578</v>
      </c>
      <c r="AB12" s="697">
        <f t="shared" si="7"/>
        <v>11193.412385674181</v>
      </c>
      <c r="AC12" s="697">
        <f t="shared" si="7"/>
        <v>11418.233271478037</v>
      </c>
      <c r="AD12" s="697">
        <f t="shared" si="7"/>
        <v>11610.192052971632</v>
      </c>
      <c r="AE12" s="697">
        <f t="shared" si="7"/>
        <v>11767.471925244336</v>
      </c>
      <c r="AF12" s="706">
        <f t="shared" si="7"/>
        <v>11888.52170731701</v>
      </c>
      <c r="AG12" s="253"/>
      <c r="AH12" s="7"/>
      <c r="AI12" s="7"/>
      <c r="AJ12" s="7"/>
      <c r="AK12" s="11"/>
      <c r="AL12" s="11"/>
      <c r="AM12" s="11"/>
      <c r="AN12" s="11"/>
    </row>
    <row r="13" spans="1:40" ht="15">
      <c r="A13" s="1302"/>
      <c r="B13" s="226">
        <v>7</v>
      </c>
      <c r="C13" s="220" t="s">
        <v>476</v>
      </c>
      <c r="D13" s="708">
        <f>'Fin. Data'!D14</f>
        <v>71</v>
      </c>
      <c r="E13" s="698">
        <f>'Fin. Data'!C14</f>
        <v>-777</v>
      </c>
      <c r="F13" s="859">
        <f>'Fin. Data'!B14</f>
        <v>-258</v>
      </c>
      <c r="G13" s="872">
        <f>F43*$D$58-F44*$D$57</f>
        <v>-328.92999999999995</v>
      </c>
      <c r="H13" s="873">
        <f>G43*$D$58-G44*$D$57</f>
        <v>-292.88762726052414</v>
      </c>
      <c r="I13" s="873">
        <f t="shared" ref="I13:J13" si="8">H43*$D$58-H44*$D$57</f>
        <v>-313.88569943522759</v>
      </c>
      <c r="J13" s="889">
        <f t="shared" si="8"/>
        <v>-335.20317838497601</v>
      </c>
      <c r="K13" s="888">
        <f>J43*$E$58-J44*$E$57</f>
        <v>-36.057697565892909</v>
      </c>
      <c r="L13" s="873">
        <f t="shared" ref="L13:AF13" si="9">K43*$E$58-K44*$E$57</f>
        <v>-34.663724135479754</v>
      </c>
      <c r="M13" s="873">
        <f t="shared" si="9"/>
        <v>-26.871589876066821</v>
      </c>
      <c r="N13" s="873">
        <f t="shared" si="9"/>
        <v>-19.091364584584653</v>
      </c>
      <c r="O13" s="873">
        <f t="shared" si="9"/>
        <v>-11.92348905093661</v>
      </c>
      <c r="P13" s="873">
        <f t="shared" si="9"/>
        <v>-2.6317195539016893</v>
      </c>
      <c r="Q13" s="873">
        <f t="shared" si="9"/>
        <v>9.1340643147399305</v>
      </c>
      <c r="R13" s="873">
        <f t="shared" si="9"/>
        <v>19.769158935603173</v>
      </c>
      <c r="S13" s="873">
        <f t="shared" si="9"/>
        <v>33.180426045712011</v>
      </c>
      <c r="T13" s="873">
        <f t="shared" si="9"/>
        <v>49.663152697637543</v>
      </c>
      <c r="U13" s="873">
        <f t="shared" si="9"/>
        <v>69.494517304927172</v>
      </c>
      <c r="V13" s="873">
        <f t="shared" si="9"/>
        <v>90.412054909160247</v>
      </c>
      <c r="W13" s="873">
        <f t="shared" si="9"/>
        <v>115.02350128972228</v>
      </c>
      <c r="X13" s="873">
        <f t="shared" si="9"/>
        <v>143.50315576375613</v>
      </c>
      <c r="Y13" s="873">
        <f t="shared" si="9"/>
        <v>175.2513174646233</v>
      </c>
      <c r="Z13" s="873">
        <f t="shared" si="9"/>
        <v>210.35124277076261</v>
      </c>
      <c r="AA13" s="873">
        <f t="shared" si="9"/>
        <v>248.86030892884241</v>
      </c>
      <c r="AB13" s="873">
        <f t="shared" si="9"/>
        <v>290.8078953379586</v>
      </c>
      <c r="AC13" s="873">
        <f t="shared" si="9"/>
        <v>336.19660336502352</v>
      </c>
      <c r="AD13" s="873">
        <f t="shared" si="9"/>
        <v>384.99942336217168</v>
      </c>
      <c r="AE13" s="873">
        <f t="shared" si="9"/>
        <v>437.15900412743804</v>
      </c>
      <c r="AF13" s="889">
        <f t="shared" si="9"/>
        <v>492.58746006122055</v>
      </c>
      <c r="AG13" s="338"/>
      <c r="AH13" s="7"/>
      <c r="AI13" s="7"/>
      <c r="AJ13" s="7"/>
      <c r="AK13" s="11"/>
      <c r="AL13" s="11"/>
      <c r="AM13" s="11"/>
      <c r="AN13" s="11"/>
    </row>
    <row r="14" spans="1:40" ht="15">
      <c r="A14" s="1302"/>
      <c r="B14" s="226">
        <v>8</v>
      </c>
      <c r="C14" s="220" t="s">
        <v>477</v>
      </c>
      <c r="D14" s="709">
        <f>'Fin. Data'!D15</f>
        <v>-22</v>
      </c>
      <c r="E14" s="699">
        <f>'Fin. Data'!C15</f>
        <v>-38</v>
      </c>
      <c r="F14" s="860">
        <f>'Fin. Data'!B15</f>
        <v>-3</v>
      </c>
      <c r="G14" s="866">
        <f>AVERAGE(D14:F14)*(1+G5)</f>
        <v>-23.520000000000003</v>
      </c>
      <c r="H14" s="867">
        <f>AVERAGE(E14:G14)*(1+H5)</f>
        <v>-23.969180000000005</v>
      </c>
      <c r="I14" s="867">
        <f t="shared" ref="I14:AF14" si="10">AVERAGE(F14:H14)*(1+I5)</f>
        <v>-18.664166873333336</v>
      </c>
      <c r="J14" s="883">
        <f t="shared" si="10"/>
        <v>-24.333406091574446</v>
      </c>
      <c r="K14" s="882">
        <f t="shared" si="10"/>
        <v>-24.5209927106504</v>
      </c>
      <c r="L14" s="867">
        <f t="shared" si="10"/>
        <v>-24.610517188740957</v>
      </c>
      <c r="M14" s="867">
        <f t="shared" si="10"/>
        <v>-26.655520352055426</v>
      </c>
      <c r="N14" s="867">
        <f t="shared" si="10"/>
        <v>-27.371749092480865</v>
      </c>
      <c r="O14" s="867">
        <f t="shared" si="10"/>
        <v>-28.27028429466317</v>
      </c>
      <c r="P14" s="867">
        <f t="shared" si="10"/>
        <v>-29.448807979676872</v>
      </c>
      <c r="Q14" s="867">
        <f t="shared" si="10"/>
        <v>-30.306521333482713</v>
      </c>
      <c r="R14" s="867">
        <f t="shared" si="10"/>
        <v>-31.219750959574469</v>
      </c>
      <c r="S14" s="867">
        <f t="shared" si="10"/>
        <v>-32.129365849653908</v>
      </c>
      <c r="T14" s="867">
        <f t="shared" si="10"/>
        <v>-32.935566080186739</v>
      </c>
      <c r="U14" s="867">
        <f t="shared" si="10"/>
        <v>-33.715686458443521</v>
      </c>
      <c r="V14" s="867">
        <f t="shared" si="10"/>
        <v>-34.441508944715082</v>
      </c>
      <c r="W14" s="867">
        <f t="shared" si="10"/>
        <v>-35.096037028301389</v>
      </c>
      <c r="X14" s="867">
        <f t="shared" si="10"/>
        <v>-35.742827293357067</v>
      </c>
      <c r="Y14" s="867">
        <f t="shared" si="10"/>
        <v>-36.339275505776598</v>
      </c>
      <c r="Z14" s="867">
        <f t="shared" si="10"/>
        <v>-36.887143123942238</v>
      </c>
      <c r="AA14" s="867">
        <f t="shared" si="10"/>
        <v>-37.394612892602211</v>
      </c>
      <c r="AB14" s="867">
        <f t="shared" si="10"/>
        <v>-37.850829619220853</v>
      </c>
      <c r="AC14" s="867">
        <f t="shared" si="10"/>
        <v>-38.255900466068596</v>
      </c>
      <c r="AD14" s="867">
        <f t="shared" si="10"/>
        <v>-38.609373502979473</v>
      </c>
      <c r="AE14" s="867">
        <f t="shared" si="10"/>
        <v>-38.907878467021206</v>
      </c>
      <c r="AF14" s="883">
        <f t="shared" si="10"/>
        <v>-39.150621048797426</v>
      </c>
      <c r="AG14" s="338"/>
      <c r="AH14" s="7"/>
      <c r="AI14" s="7"/>
      <c r="AJ14" s="7"/>
      <c r="AK14" s="11"/>
      <c r="AL14" s="11"/>
      <c r="AM14" s="11"/>
      <c r="AN14" s="11"/>
    </row>
    <row r="15" spans="1:40" ht="15">
      <c r="A15" s="1302"/>
      <c r="B15" s="226">
        <v>9</v>
      </c>
      <c r="C15" s="207" t="s">
        <v>478</v>
      </c>
      <c r="D15" s="705">
        <f>D8+D13+D14</f>
        <v>1527</v>
      </c>
      <c r="E15" s="697">
        <f>E8+E13+E14</f>
        <v>2938</v>
      </c>
      <c r="F15" s="861">
        <f t="shared" ref="F15:AF15" si="11">F8+F13+F14</f>
        <v>4770</v>
      </c>
      <c r="G15" s="874">
        <f>G8+G13+G14</f>
        <v>4787.4427999999998</v>
      </c>
      <c r="H15" s="875">
        <f>H8+H13+H14</f>
        <v>5037.9617275394767</v>
      </c>
      <c r="I15" s="875">
        <f t="shared" si="11"/>
        <v>5744.0483947170396</v>
      </c>
      <c r="J15" s="891">
        <f t="shared" si="11"/>
        <v>6041.1929519723926</v>
      </c>
      <c r="K15" s="890">
        <f t="shared" si="11"/>
        <v>6635.8035914274224</v>
      </c>
      <c r="L15" s="875">
        <f t="shared" si="11"/>
        <v>6897.0950824669007</v>
      </c>
      <c r="M15" s="875">
        <f t="shared" si="11"/>
        <v>7319.2175300620229</v>
      </c>
      <c r="N15" s="875">
        <f t="shared" si="11"/>
        <v>7726.0038441379984</v>
      </c>
      <c r="O15" s="875">
        <f t="shared" si="11"/>
        <v>8342.4118406579473</v>
      </c>
      <c r="P15" s="875">
        <f t="shared" si="11"/>
        <v>8966.6465990992292</v>
      </c>
      <c r="Q15" s="875">
        <f t="shared" si="11"/>
        <v>9059.7930369657934</v>
      </c>
      <c r="R15" s="875">
        <f t="shared" si="11"/>
        <v>9650.6966935755754</v>
      </c>
      <c r="S15" s="875">
        <f t="shared" si="11"/>
        <v>10238.096109288777</v>
      </c>
      <c r="T15" s="875">
        <f t="shared" si="11"/>
        <v>10816.810113410271</v>
      </c>
      <c r="U15" s="875">
        <f t="shared" si="11"/>
        <v>11047.57474011305</v>
      </c>
      <c r="V15" s="875">
        <f t="shared" si="11"/>
        <v>11574.309067057273</v>
      </c>
      <c r="W15" s="875">
        <f t="shared" si="11"/>
        <v>12076.277033979601</v>
      </c>
      <c r="X15" s="875">
        <f t="shared" si="11"/>
        <v>12565.969356622727</v>
      </c>
      <c r="Y15" s="875">
        <f t="shared" si="11"/>
        <v>13039.387490610581</v>
      </c>
      <c r="Z15" s="875">
        <f t="shared" si="11"/>
        <v>13493.205000379734</v>
      </c>
      <c r="AA15" s="875">
        <f t="shared" si="11"/>
        <v>13924.138953340775</v>
      </c>
      <c r="AB15" s="875">
        <f t="shared" si="11"/>
        <v>14329.016164341841</v>
      </c>
      <c r="AC15" s="875">
        <f t="shared" si="11"/>
        <v>14704.787190339699</v>
      </c>
      <c r="AD15" s="875">
        <f t="shared" si="11"/>
        <v>15048.57689029247</v>
      </c>
      <c r="AE15" s="875">
        <f t="shared" si="11"/>
        <v>15357.726235801274</v>
      </c>
      <c r="AF15" s="891">
        <f t="shared" si="11"/>
        <v>15629.824338250324</v>
      </c>
      <c r="AG15" s="338"/>
      <c r="AH15" s="7"/>
      <c r="AI15" s="7"/>
      <c r="AJ15" s="7"/>
      <c r="AK15" s="11"/>
      <c r="AL15" s="11"/>
      <c r="AM15" s="11"/>
      <c r="AN15" s="11"/>
    </row>
    <row r="16" spans="1:40" ht="15">
      <c r="A16" s="1302"/>
      <c r="B16" s="226">
        <v>10</v>
      </c>
      <c r="C16" s="220" t="s">
        <v>479</v>
      </c>
      <c r="D16" s="710">
        <f>'Fin. Data'!D21</f>
        <v>-226</v>
      </c>
      <c r="E16" s="700">
        <f>'Fin. Data'!C21</f>
        <v>-494</v>
      </c>
      <c r="F16" s="862">
        <f>'Fin. Data'!B21</f>
        <v>-847</v>
      </c>
      <c r="G16" s="876">
        <f>-(1*$D$56)*G15</f>
        <v>-789.92806199999995</v>
      </c>
      <c r="H16" s="877">
        <f>-(1*$D$56)*H15</f>
        <v>-831.26368504401364</v>
      </c>
      <c r="I16" s="877">
        <f>-(1*$D$56)*I15</f>
        <v>-947.76798512831158</v>
      </c>
      <c r="J16" s="893">
        <f>-(1*$E$56)*J15</f>
        <v>-996.79683707544484</v>
      </c>
      <c r="K16" s="892">
        <f t="shared" ref="K16" si="12">-(1*$D$56)*K15</f>
        <v>-1094.9075925855248</v>
      </c>
      <c r="L16" s="877">
        <f t="shared" ref="L16" si="13">-(1*$D$56)*L15</f>
        <v>-1138.0206886070387</v>
      </c>
      <c r="M16" s="877">
        <f t="shared" ref="M16" si="14">-(1*$D$56)*M15</f>
        <v>-1207.6708924602337</v>
      </c>
      <c r="N16" s="877">
        <f t="shared" ref="N16" si="15">-(1*$D$56)*N15</f>
        <v>-1274.7906342827698</v>
      </c>
      <c r="O16" s="877">
        <f t="shared" ref="O16" si="16">-(1*$D$56)*O15</f>
        <v>-1376.4979537085615</v>
      </c>
      <c r="P16" s="877">
        <f t="shared" ref="P16" si="17">-(1*$D$56)*P15</f>
        <v>-1479.4966888513729</v>
      </c>
      <c r="Q16" s="877">
        <f t="shared" ref="Q16" si="18">-(1*$D$56)*Q15</f>
        <v>-1494.865851099356</v>
      </c>
      <c r="R16" s="877">
        <f t="shared" ref="R16" si="19">-(1*$D$56)*R15</f>
        <v>-1592.36495443997</v>
      </c>
      <c r="S16" s="877">
        <f t="shared" ref="S16" si="20">-(1*$D$56)*S15</f>
        <v>-1689.2858580326483</v>
      </c>
      <c r="T16" s="877">
        <f t="shared" ref="T16" si="21">-(1*$D$56)*T15</f>
        <v>-1784.7736687126949</v>
      </c>
      <c r="U16" s="877">
        <f t="shared" ref="U16" si="22">-(1*$D$56)*U15</f>
        <v>-1822.8498321186535</v>
      </c>
      <c r="V16" s="877">
        <f t="shared" ref="V16" si="23">-(1*$D$56)*V15</f>
        <v>-1909.7609960644502</v>
      </c>
      <c r="W16" s="877">
        <f t="shared" ref="W16" si="24">-(1*$D$56)*W15</f>
        <v>-1992.5857106066342</v>
      </c>
      <c r="X16" s="877">
        <f t="shared" ref="X16" si="25">-(1*$D$56)*X15</f>
        <v>-2073.3849438427501</v>
      </c>
      <c r="Y16" s="877">
        <f t="shared" ref="Y16" si="26">-(1*$D$56)*Y15</f>
        <v>-2151.4989359507458</v>
      </c>
      <c r="Z16" s="877">
        <f t="shared" ref="Z16" si="27">-(1*$D$56)*Z15</f>
        <v>-2226.3788250626562</v>
      </c>
      <c r="AA16" s="877">
        <f t="shared" ref="AA16" si="28">-(1*$D$56)*AA15</f>
        <v>-2297.4829273012278</v>
      </c>
      <c r="AB16" s="877">
        <f t="shared" ref="AB16" si="29">-(1*$D$56)*AB15</f>
        <v>-2364.287667116404</v>
      </c>
      <c r="AC16" s="877">
        <f t="shared" ref="AC16" si="30">-(1*$D$56)*AC15</f>
        <v>-2426.2898864060503</v>
      </c>
      <c r="AD16" s="877">
        <f t="shared" ref="AD16" si="31">-(1*$D$56)*AD15</f>
        <v>-2483.0151868982575</v>
      </c>
      <c r="AE16" s="877">
        <f t="shared" ref="AE16" si="32">-(1*$D$56)*AE15</f>
        <v>-2534.0248289072101</v>
      </c>
      <c r="AF16" s="893">
        <f t="shared" ref="AF16" si="33">-(1*$D$56)*AF15</f>
        <v>-2578.9210158113037</v>
      </c>
      <c r="AG16" s="338"/>
      <c r="AH16" s="7"/>
      <c r="AI16" s="7"/>
      <c r="AJ16" s="7"/>
      <c r="AK16" s="11"/>
      <c r="AL16" s="11"/>
      <c r="AM16" s="11"/>
      <c r="AN16" s="11"/>
    </row>
    <row r="17" spans="1:40" ht="15">
      <c r="A17" s="1302"/>
      <c r="B17" s="227">
        <v>11</v>
      </c>
      <c r="C17" s="232" t="s">
        <v>480</v>
      </c>
      <c r="D17" s="711">
        <f>'Fin. Data'!D23</f>
        <v>1301</v>
      </c>
      <c r="E17" s="712">
        <f>'Fin. Data'!C23</f>
        <v>2444</v>
      </c>
      <c r="F17" s="863">
        <f>'Fin. Data'!B23</f>
        <v>3923</v>
      </c>
      <c r="G17" s="878">
        <f>G16+G15</f>
        <v>3997.5147379999999</v>
      </c>
      <c r="H17" s="879">
        <f>H16+H15</f>
        <v>4206.6980424954627</v>
      </c>
      <c r="I17" s="879">
        <f>I16+I15</f>
        <v>4796.2804095887277</v>
      </c>
      <c r="J17" s="895">
        <f t="shared" ref="J17:AF17" si="34">J16+J15</f>
        <v>5044.3961148969474</v>
      </c>
      <c r="K17" s="894">
        <f t="shared" si="34"/>
        <v>5540.8959988418974</v>
      </c>
      <c r="L17" s="879">
        <f t="shared" si="34"/>
        <v>5759.0743938598625</v>
      </c>
      <c r="M17" s="879">
        <f t="shared" si="34"/>
        <v>6111.5466376017894</v>
      </c>
      <c r="N17" s="879">
        <f t="shared" si="34"/>
        <v>6451.2132098552283</v>
      </c>
      <c r="O17" s="879">
        <f t="shared" si="34"/>
        <v>6965.9138869493854</v>
      </c>
      <c r="P17" s="879">
        <f t="shared" si="34"/>
        <v>7487.1499102478565</v>
      </c>
      <c r="Q17" s="879">
        <f t="shared" si="34"/>
        <v>7564.9271858664379</v>
      </c>
      <c r="R17" s="879">
        <f t="shared" si="34"/>
        <v>8058.3317391356049</v>
      </c>
      <c r="S17" s="879">
        <f t="shared" si="34"/>
        <v>8548.810251256129</v>
      </c>
      <c r="T17" s="879">
        <f t="shared" si="34"/>
        <v>9032.0364446975764</v>
      </c>
      <c r="U17" s="879">
        <f t="shared" si="34"/>
        <v>9224.7249079943977</v>
      </c>
      <c r="V17" s="879">
        <f t="shared" si="34"/>
        <v>9664.5480709928233</v>
      </c>
      <c r="W17" s="879">
        <f t="shared" si="34"/>
        <v>10083.691323372967</v>
      </c>
      <c r="X17" s="879">
        <f t="shared" si="34"/>
        <v>10492.584412779977</v>
      </c>
      <c r="Y17" s="879">
        <f t="shared" si="34"/>
        <v>10887.888554659836</v>
      </c>
      <c r="Z17" s="879">
        <f t="shared" si="34"/>
        <v>11266.826175317077</v>
      </c>
      <c r="AA17" s="879">
        <f t="shared" si="34"/>
        <v>11626.656026039547</v>
      </c>
      <c r="AB17" s="879">
        <f t="shared" si="34"/>
        <v>11964.728497225438</v>
      </c>
      <c r="AC17" s="879">
        <f t="shared" si="34"/>
        <v>12278.497303933649</v>
      </c>
      <c r="AD17" s="879">
        <f t="shared" si="34"/>
        <v>12565.561703394213</v>
      </c>
      <c r="AE17" s="879">
        <f t="shared" si="34"/>
        <v>12823.701406894064</v>
      </c>
      <c r="AF17" s="895">
        <f t="shared" si="34"/>
        <v>13050.90332243902</v>
      </c>
      <c r="AG17" s="338"/>
      <c r="AH17" s="7"/>
      <c r="AI17" s="7"/>
      <c r="AJ17" s="7"/>
      <c r="AK17" s="11"/>
      <c r="AL17" s="11"/>
      <c r="AM17" s="11"/>
      <c r="AN17" s="11"/>
    </row>
    <row r="18" spans="1:40" ht="15">
      <c r="A18" s="211"/>
      <c r="B18" s="222"/>
      <c r="C18" s="223" t="s">
        <v>481</v>
      </c>
      <c r="D18" s="1037">
        <f>D8-D11-D10-D9</f>
        <v>3039</v>
      </c>
      <c r="E18" s="1037">
        <f>E8-E11-E10-E9</f>
        <v>5370</v>
      </c>
      <c r="F18" s="1037">
        <f>F8-F11-F10-F9</f>
        <v>6597</v>
      </c>
      <c r="G18" s="228" t="s">
        <v>481</v>
      </c>
      <c r="H18" s="228" t="s">
        <v>481</v>
      </c>
      <c r="I18" s="228" t="s">
        <v>481</v>
      </c>
      <c r="J18" s="228" t="s">
        <v>481</v>
      </c>
      <c r="K18" s="228" t="s">
        <v>481</v>
      </c>
      <c r="L18" s="228" t="s">
        <v>481</v>
      </c>
      <c r="M18" s="228" t="s">
        <v>481</v>
      </c>
      <c r="N18" s="228" t="s">
        <v>481</v>
      </c>
      <c r="O18" s="228" t="s">
        <v>481</v>
      </c>
      <c r="P18" s="228" t="s">
        <v>481</v>
      </c>
      <c r="Q18" s="228" t="s">
        <v>481</v>
      </c>
      <c r="R18" s="228" t="s">
        <v>481</v>
      </c>
      <c r="S18" s="228" t="s">
        <v>481</v>
      </c>
      <c r="T18" s="228" t="s">
        <v>481</v>
      </c>
      <c r="U18" s="228" t="s">
        <v>481</v>
      </c>
      <c r="V18" s="228" t="s">
        <v>481</v>
      </c>
      <c r="W18" s="228" t="s">
        <v>481</v>
      </c>
      <c r="X18" s="228" t="s">
        <v>481</v>
      </c>
      <c r="Y18" s="228" t="s">
        <v>481</v>
      </c>
      <c r="Z18" s="228" t="s">
        <v>481</v>
      </c>
      <c r="AA18" s="228" t="s">
        <v>481</v>
      </c>
      <c r="AB18" s="228" t="s">
        <v>481</v>
      </c>
      <c r="AC18" s="228" t="s">
        <v>481</v>
      </c>
      <c r="AD18" s="228" t="s">
        <v>481</v>
      </c>
      <c r="AE18" s="228" t="s">
        <v>481</v>
      </c>
      <c r="AF18" s="237" t="s">
        <v>481</v>
      </c>
      <c r="AG18" s="338"/>
      <c r="AH18" s="7"/>
      <c r="AI18" s="7"/>
      <c r="AJ18" s="7"/>
      <c r="AK18" s="11"/>
      <c r="AL18" s="11"/>
      <c r="AM18" s="11"/>
      <c r="AN18" s="11"/>
    </row>
    <row r="19" spans="1:40" ht="15">
      <c r="A19" s="1303" t="s">
        <v>482</v>
      </c>
      <c r="B19" s="200">
        <v>12</v>
      </c>
      <c r="C19" s="311" t="s">
        <v>483</v>
      </c>
      <c r="D19" s="910">
        <f>D22-D21-D20</f>
        <v>3074</v>
      </c>
      <c r="E19" s="717">
        <f>E22-E21-E20</f>
        <v>5160</v>
      </c>
      <c r="F19" s="722">
        <f>F22-F21-F20</f>
        <v>6578</v>
      </c>
      <c r="G19" s="917">
        <f t="shared" ref="G19:AF19" si="35">G8-G9-G10-G11</f>
        <v>6836.665218267588</v>
      </c>
      <c r="H19" s="896">
        <f t="shared" si="35"/>
        <v>7021.8355513507577</v>
      </c>
      <c r="I19" s="896">
        <f t="shared" si="35"/>
        <v>7731.6918631962762</v>
      </c>
      <c r="J19" s="1009">
        <f t="shared" si="35"/>
        <v>8060.6342159768892</v>
      </c>
      <c r="K19" s="927">
        <f t="shared" si="35"/>
        <v>8379.806886698585</v>
      </c>
      <c r="L19" s="896">
        <f t="shared" si="35"/>
        <v>8669.1098244216264</v>
      </c>
      <c r="M19" s="896">
        <f t="shared" si="35"/>
        <v>9128.7008550700048</v>
      </c>
      <c r="N19" s="896">
        <f t="shared" si="35"/>
        <v>9584.4760802805831</v>
      </c>
      <c r="O19" s="896">
        <f t="shared" si="35"/>
        <v>10262.405242409463</v>
      </c>
      <c r="P19" s="896">
        <f t="shared" si="35"/>
        <v>10956.906766395474</v>
      </c>
      <c r="Q19" s="896">
        <f t="shared" si="35"/>
        <v>11126.909622266048</v>
      </c>
      <c r="R19" s="896">
        <f t="shared" si="35"/>
        <v>11804.2285907891</v>
      </c>
      <c r="S19" s="896">
        <f t="shared" si="35"/>
        <v>12482.462297131335</v>
      </c>
      <c r="T19" s="896">
        <f t="shared" si="35"/>
        <v>13154.805939618203</v>
      </c>
      <c r="U19" s="896">
        <f t="shared" si="35"/>
        <v>13480.514374936767</v>
      </c>
      <c r="V19" s="896">
        <f t="shared" si="35"/>
        <v>14104.411434809344</v>
      </c>
      <c r="W19" s="896">
        <f t="shared" si="35"/>
        <v>14701.766018854965</v>
      </c>
      <c r="X19" s="896">
        <f t="shared" si="35"/>
        <v>15284.599481957688</v>
      </c>
      <c r="Y19" s="896">
        <f t="shared" si="35"/>
        <v>15848.61149247657</v>
      </c>
      <c r="Z19" s="896">
        <f t="shared" si="35"/>
        <v>16389.518471762713</v>
      </c>
      <c r="AA19" s="896">
        <f t="shared" si="35"/>
        <v>16903.101068388143</v>
      </c>
      <c r="AB19" s="896">
        <f t="shared" si="35"/>
        <v>17385.25305698485</v>
      </c>
      <c r="AC19" s="896">
        <f t="shared" si="35"/>
        <v>17832.03080908347</v>
      </c>
      <c r="AD19" s="896">
        <f t="shared" si="35"/>
        <v>18239.702441241385</v>
      </c>
      <c r="AE19" s="896">
        <f t="shared" si="35"/>
        <v>18604.795722617408</v>
      </c>
      <c r="AF19" s="928">
        <f t="shared" si="35"/>
        <v>18924.143821438724</v>
      </c>
      <c r="AG19" s="338"/>
      <c r="AH19" s="7"/>
      <c r="AI19" s="7"/>
      <c r="AJ19" s="7"/>
      <c r="AK19" s="11"/>
      <c r="AL19" s="11"/>
      <c r="AM19" s="11"/>
      <c r="AN19" s="11"/>
    </row>
    <row r="20" spans="1:40" ht="15">
      <c r="A20" s="1304"/>
      <c r="B20" s="200">
        <v>13</v>
      </c>
      <c r="C20" s="220" t="s">
        <v>484</v>
      </c>
      <c r="D20" s="721">
        <f>-Assumptions!E39</f>
        <v>-43</v>
      </c>
      <c r="E20" s="713">
        <f>-Assumptions!D39</f>
        <v>-67</v>
      </c>
      <c r="F20" s="722">
        <f>-Assumptions!C39</f>
        <v>-94</v>
      </c>
      <c r="G20" s="917">
        <f>G11</f>
        <v>-105.03259200000001</v>
      </c>
      <c r="H20" s="897">
        <f t="shared" ref="H20:AF20" si="36">H11</f>
        <v>-117.05882378400001</v>
      </c>
      <c r="I20" s="897">
        <f t="shared" si="36"/>
        <v>-129.818235576456</v>
      </c>
      <c r="J20" s="912">
        <f t="shared" si="36"/>
        <v>-143.25442295861922</v>
      </c>
      <c r="K20" s="908">
        <f t="shared" si="36"/>
        <v>-167.40955704259915</v>
      </c>
      <c r="L20" s="897">
        <f t="shared" si="36"/>
        <v>-183.06235062608215</v>
      </c>
      <c r="M20" s="897">
        <f t="shared" si="36"/>
        <v>-199.26336865649043</v>
      </c>
      <c r="N20" s="897">
        <f t="shared" si="36"/>
        <v>-215.90185993930737</v>
      </c>
      <c r="O20" s="897">
        <f t="shared" si="36"/>
        <v>-232.85015594454302</v>
      </c>
      <c r="P20" s="897">
        <f t="shared" si="36"/>
        <v>-249.96464240646688</v>
      </c>
      <c r="Q20" s="897">
        <f t="shared" si="36"/>
        <v>-267.08722041130989</v>
      </c>
      <c r="R20" s="897">
        <f t="shared" si="36"/>
        <v>-284.18080251763371</v>
      </c>
      <c r="S20" s="897">
        <f t="shared" si="36"/>
        <v>-301.08956026743289</v>
      </c>
      <c r="T20" s="897">
        <f t="shared" si="36"/>
        <v>-317.64948608214172</v>
      </c>
      <c r="U20" s="897">
        <f t="shared" si="36"/>
        <v>-333.69078512928985</v>
      </c>
      <c r="V20" s="897">
        <f t="shared" si="36"/>
        <v>-349.0405612452372</v>
      </c>
      <c r="W20" s="897">
        <f t="shared" si="36"/>
        <v>-363.52574453691449</v>
      </c>
      <c r="X20" s="897">
        <f t="shared" si="36"/>
        <v>-377.52148570158573</v>
      </c>
      <c r="Y20" s="897">
        <f t="shared" si="36"/>
        <v>-390.92349844399195</v>
      </c>
      <c r="Z20" s="897">
        <f t="shared" si="36"/>
        <v>-403.62851214342163</v>
      </c>
      <c r="AA20" s="897">
        <f t="shared" si="36"/>
        <v>-415.53555325165252</v>
      </c>
      <c r="AB20" s="897">
        <f t="shared" si="36"/>
        <v>-426.54724541282127</v>
      </c>
      <c r="AC20" s="897">
        <f t="shared" si="36"/>
        <v>-436.57110568002253</v>
      </c>
      <c r="AD20" s="897">
        <f t="shared" si="36"/>
        <v>-445.520813346463</v>
      </c>
      <c r="AE20" s="897">
        <f t="shared" si="36"/>
        <v>-453.31742758002599</v>
      </c>
      <c r="AF20" s="903">
        <f t="shared" si="36"/>
        <v>-459.89053027993634</v>
      </c>
      <c r="AG20" s="338"/>
      <c r="AH20" s="7"/>
      <c r="AI20" s="7"/>
      <c r="AJ20" s="7"/>
      <c r="AK20" s="11"/>
      <c r="AL20" s="11"/>
      <c r="AM20" s="11"/>
      <c r="AN20" s="11"/>
    </row>
    <row r="21" spans="1:40" ht="15">
      <c r="A21" s="1304"/>
      <c r="B21" s="200">
        <v>14</v>
      </c>
      <c r="C21" s="220" t="s">
        <v>485</v>
      </c>
      <c r="D21" s="723">
        <f>Inputs!D22</f>
        <v>187</v>
      </c>
      <c r="E21" s="714">
        <f>Inputs!C22</f>
        <v>-455</v>
      </c>
      <c r="F21" s="724">
        <f>Inputs!B22</f>
        <v>-1993</v>
      </c>
      <c r="G21" s="918">
        <f>-Assumptions!C223</f>
        <v>-478.87200000000013</v>
      </c>
      <c r="H21" s="898">
        <f>-Assumptions!D223</f>
        <v>-511.75454400000018</v>
      </c>
      <c r="I21" s="898">
        <f>-Assumptions!E223</f>
        <v>-542.95369329599998</v>
      </c>
      <c r="J21" s="913">
        <f>-Assumptions!F223</f>
        <v>-571.75265456013585</v>
      </c>
      <c r="K21" s="909">
        <f>-Assumptions!G223</f>
        <v>-750.56173730978753</v>
      </c>
      <c r="L21" s="898">
        <f>-Assumptions!H223</f>
        <v>-782.63967917414993</v>
      </c>
      <c r="M21" s="898">
        <f>-Assumptions!I223</f>
        <v>-810.05090152041339</v>
      </c>
      <c r="N21" s="898">
        <f>-Assumptions!J223</f>
        <v>-831.924564140847</v>
      </c>
      <c r="O21" s="898">
        <f>-Assumptions!K223</f>
        <v>-847.41480026178215</v>
      </c>
      <c r="P21" s="898">
        <f>-Assumptions!L223</f>
        <v>-855.72432309619398</v>
      </c>
      <c r="Q21" s="898">
        <f>-Assumptions!M223</f>
        <v>-856.12890024214903</v>
      </c>
      <c r="R21" s="898">
        <f>-Assumptions!N223</f>
        <v>-854.67910531619236</v>
      </c>
      <c r="S21" s="898">
        <f>-Assumptions!O223</f>
        <v>-845.43788748995939</v>
      </c>
      <c r="T21" s="898">
        <f>-Assumptions!P223</f>
        <v>-827.9962907354402</v>
      </c>
      <c r="U21" s="898">
        <f>-Assumptions!Q223</f>
        <v>-802.0649523574084</v>
      </c>
      <c r="V21" s="898">
        <f>-Assumptions!R223</f>
        <v>-767.48880579736579</v>
      </c>
      <c r="W21" s="898">
        <f>-Assumptions!S223</f>
        <v>-724.25916458386564</v>
      </c>
      <c r="X21" s="898">
        <f>-Assumptions!T223</f>
        <v>-699.78705823355995</v>
      </c>
      <c r="Y21" s="898">
        <f>-Assumptions!U223</f>
        <v>-670.10063712031115</v>
      </c>
      <c r="Z21" s="898">
        <f>-Assumptions!V223</f>
        <v>-635.25068497148459</v>
      </c>
      <c r="AA21" s="898">
        <f>-Assumptions!W223</f>
        <v>-595.35205541154573</v>
      </c>
      <c r="AB21" s="898">
        <f>-Assumptions!X223</f>
        <v>-550.58460805843788</v>
      </c>
      <c r="AC21" s="898">
        <f>-Assumptions!Y223</f>
        <v>-501.19301336006174</v>
      </c>
      <c r="AD21" s="898">
        <f>-Assumptions!Z223</f>
        <v>-447.48538332202224</v>
      </c>
      <c r="AE21" s="898">
        <f>-Assumptions!AA223</f>
        <v>-389.83071167815069</v>
      </c>
      <c r="AF21" s="904">
        <f>-Assumptions!AB223</f>
        <v>-328.65513499551889</v>
      </c>
      <c r="AG21" s="338"/>
      <c r="AH21" s="7"/>
      <c r="AI21" s="7"/>
      <c r="AJ21" s="7"/>
      <c r="AK21" s="11"/>
      <c r="AL21" s="11"/>
      <c r="AM21" s="11"/>
      <c r="AN21" s="11"/>
    </row>
    <row r="22" spans="1:40" ht="15">
      <c r="A22" s="1304"/>
      <c r="B22" s="200">
        <v>15</v>
      </c>
      <c r="C22" s="229" t="s">
        <v>486</v>
      </c>
      <c r="D22" s="779">
        <f>Inputs!D59</f>
        <v>3218</v>
      </c>
      <c r="E22" s="1038">
        <f>Inputs!C59</f>
        <v>4638</v>
      </c>
      <c r="F22" s="905">
        <f>Inputs!B59</f>
        <v>4491</v>
      </c>
      <c r="G22" s="919">
        <f>G19+G20+G21</f>
        <v>6252.7606262675881</v>
      </c>
      <c r="H22" s="899">
        <f t="shared" ref="H22:AF22" si="37">H19+H20+H21</f>
        <v>6393.0221835667571</v>
      </c>
      <c r="I22" s="899">
        <f t="shared" si="37"/>
        <v>7058.9199343238206</v>
      </c>
      <c r="J22" s="914">
        <f t="shared" si="37"/>
        <v>7345.6271384581341</v>
      </c>
      <c r="K22" s="779">
        <f t="shared" si="37"/>
        <v>7461.8355923461977</v>
      </c>
      <c r="L22" s="899">
        <f t="shared" si="37"/>
        <v>7703.4077946213947</v>
      </c>
      <c r="M22" s="899">
        <f t="shared" si="37"/>
        <v>8119.3865848931018</v>
      </c>
      <c r="N22" s="899">
        <f t="shared" si="37"/>
        <v>8536.6496562004286</v>
      </c>
      <c r="O22" s="899">
        <f t="shared" si="37"/>
        <v>9182.1402862031373</v>
      </c>
      <c r="P22" s="899">
        <f t="shared" si="37"/>
        <v>9851.2178008928131</v>
      </c>
      <c r="Q22" s="899">
        <f t="shared" si="37"/>
        <v>10003.69350161259</v>
      </c>
      <c r="R22" s="899">
        <f t="shared" si="37"/>
        <v>10665.368682955273</v>
      </c>
      <c r="S22" s="899">
        <f t="shared" si="37"/>
        <v>11335.934849373942</v>
      </c>
      <c r="T22" s="899">
        <f t="shared" si="37"/>
        <v>12009.160162800621</v>
      </c>
      <c r="U22" s="899">
        <f t="shared" si="37"/>
        <v>12344.75863745007</v>
      </c>
      <c r="V22" s="899">
        <f t="shared" si="37"/>
        <v>12987.882067766741</v>
      </c>
      <c r="W22" s="899">
        <f t="shared" si="37"/>
        <v>13613.981109734184</v>
      </c>
      <c r="X22" s="899">
        <f t="shared" si="37"/>
        <v>14207.290938022543</v>
      </c>
      <c r="Y22" s="899">
        <f t="shared" si="37"/>
        <v>14787.587356912267</v>
      </c>
      <c r="Z22" s="899">
        <f t="shared" si="37"/>
        <v>15350.639274647807</v>
      </c>
      <c r="AA22" s="899">
        <f t="shared" si="37"/>
        <v>15892.213459724946</v>
      </c>
      <c r="AB22" s="899">
        <f t="shared" si="37"/>
        <v>16408.12120351359</v>
      </c>
      <c r="AC22" s="899">
        <f t="shared" si="37"/>
        <v>16894.266690043387</v>
      </c>
      <c r="AD22" s="899">
        <f t="shared" si="37"/>
        <v>17346.6962445729</v>
      </c>
      <c r="AE22" s="899">
        <f t="shared" si="37"/>
        <v>17761.64758335923</v>
      </c>
      <c r="AF22" s="905">
        <f t="shared" si="37"/>
        <v>18135.598156163269</v>
      </c>
      <c r="AG22" s="338"/>
      <c r="AH22" s="7"/>
      <c r="AI22" s="7"/>
      <c r="AJ22" s="7"/>
      <c r="AK22" s="11"/>
      <c r="AL22" s="11"/>
      <c r="AM22" s="11"/>
      <c r="AN22" s="11"/>
    </row>
    <row r="23" spans="1:40" ht="15">
      <c r="A23" s="1304"/>
      <c r="B23" s="200">
        <v>16</v>
      </c>
      <c r="C23" s="220" t="s">
        <v>487</v>
      </c>
      <c r="D23" s="727">
        <f>'Fin. Data'!D32</f>
        <v>-513</v>
      </c>
      <c r="E23" s="716">
        <f>'Fin. Data'!C32</f>
        <v>-875</v>
      </c>
      <c r="F23" s="728">
        <f>'Fin. Data'!B32</f>
        <v>-984</v>
      </c>
      <c r="G23" s="920">
        <f>-Assumptions!C174</f>
        <v>-1050.3259200000002</v>
      </c>
      <c r="H23" s="900">
        <f>-Assumptions!D174</f>
        <v>-1170.5882378400001</v>
      </c>
      <c r="I23" s="900">
        <f>-Assumptions!E174</f>
        <v>-1298.18235576456</v>
      </c>
      <c r="J23" s="915">
        <f>-Assumptions!F174</f>
        <v>-1432.5442295861922</v>
      </c>
      <c r="K23" s="910">
        <f>-Assumptions!G174</f>
        <v>-1506.6860133833923</v>
      </c>
      <c r="L23" s="900">
        <f>-Assumptions!H174</f>
        <v>-1647.5611556347394</v>
      </c>
      <c r="M23" s="900">
        <f>-Assumptions!I174</f>
        <v>-1793.3703179084139</v>
      </c>
      <c r="N23" s="900">
        <f>-Assumptions!J174</f>
        <v>-1943.1167394537663</v>
      </c>
      <c r="O23" s="900">
        <f>-Assumptions!K174</f>
        <v>-2095.6514035008872</v>
      </c>
      <c r="P23" s="900">
        <f>-Assumptions!L174</f>
        <v>-2249.681781658202</v>
      </c>
      <c r="Q23" s="900">
        <f>-Assumptions!M174</f>
        <v>-2403.7849837017889</v>
      </c>
      <c r="R23" s="900">
        <f>-Assumptions!N174</f>
        <v>-2557.6272226587034</v>
      </c>
      <c r="S23" s="900">
        <f>-Assumptions!O174</f>
        <v>-2709.8060424068958</v>
      </c>
      <c r="T23" s="900">
        <f>-Assumptions!P174</f>
        <v>-2858.8453747392755</v>
      </c>
      <c r="U23" s="900">
        <f>-Assumptions!Q174</f>
        <v>-3003.2170661636087</v>
      </c>
      <c r="V23" s="900">
        <f>-Assumptions!R174</f>
        <v>-3141.3650512071349</v>
      </c>
      <c r="W23" s="900">
        <f>-Assumptions!S174</f>
        <v>-3271.7317008322302</v>
      </c>
      <c r="X23" s="900">
        <f>-Assumptions!T174</f>
        <v>-3397.6933713142716</v>
      </c>
      <c r="Y23" s="900">
        <f>-Assumptions!U174</f>
        <v>-3518.3114859959273</v>
      </c>
      <c r="Z23" s="900">
        <f>-Assumptions!V174</f>
        <v>-3632.6566092907947</v>
      </c>
      <c r="AA23" s="900">
        <f>-Assumptions!W174</f>
        <v>-3739.8199792648725</v>
      </c>
      <c r="AB23" s="900">
        <f>-Assumptions!X174</f>
        <v>-3838.9252087153914</v>
      </c>
      <c r="AC23" s="900">
        <f>-Assumptions!Y174</f>
        <v>-3929.1399511202026</v>
      </c>
      <c r="AD23" s="900">
        <f>-Assumptions!Z174</f>
        <v>-4009.687320118167</v>
      </c>
      <c r="AE23" s="900">
        <f>-Assumptions!AA174</f>
        <v>-4079.856848220234</v>
      </c>
      <c r="AF23" s="906">
        <f>-Assumptions!AB174</f>
        <v>-4139.0147725194274</v>
      </c>
      <c r="AG23" s="339">
        <f>SUM(D23:AF23)</f>
        <v>-72791.191142999072</v>
      </c>
      <c r="AH23" s="7"/>
      <c r="AI23" s="7"/>
      <c r="AJ23" s="7"/>
      <c r="AK23" s="11"/>
      <c r="AL23" s="11"/>
      <c r="AM23" s="11"/>
      <c r="AN23" s="11"/>
    </row>
    <row r="24" spans="1:40" ht="15">
      <c r="A24" s="1304"/>
      <c r="B24" s="200">
        <v>17</v>
      </c>
      <c r="C24" s="220" t="s">
        <v>488</v>
      </c>
      <c r="D24" s="723">
        <f>Inputs!D66</f>
        <v>-1315</v>
      </c>
      <c r="E24" s="714">
        <f>Inputs!C66</f>
        <v>-1175</v>
      </c>
      <c r="F24" s="724">
        <f>Inputs!B66</f>
        <v>-1045</v>
      </c>
      <c r="G24" s="920">
        <f>-Assumptions!C240</f>
        <v>-1065.9000000000001</v>
      </c>
      <c r="H24" s="900">
        <f>-Assumptions!D240</f>
        <v>-1087.2180000000001</v>
      </c>
      <c r="I24" s="900">
        <f>-Assumptions!E240</f>
        <v>-1108.96236</v>
      </c>
      <c r="J24" s="915">
        <f>-Assumptions!F240</f>
        <v>-1131.1416072</v>
      </c>
      <c r="K24" s="910">
        <f>-Assumptions!G240</f>
        <v>-1148.1087313079997</v>
      </c>
      <c r="L24" s="900">
        <f>-Assumptions!H240</f>
        <v>-1165.3303622776195</v>
      </c>
      <c r="M24" s="900">
        <f>-Assumptions!I240</f>
        <v>-1182.8103177117837</v>
      </c>
      <c r="N24" s="900">
        <f>-Assumptions!J240</f>
        <v>-1200.5524724774602</v>
      </c>
      <c r="O24" s="900">
        <f>-Assumptions!K240</f>
        <v>-1218.560759564622</v>
      </c>
      <c r="P24" s="900">
        <f>-Assumptions!L240</f>
        <v>-1236.8391709580912</v>
      </c>
      <c r="Q24" s="900">
        <f>-Assumptions!M240</f>
        <v>-1255.3917585224624</v>
      </c>
      <c r="R24" s="900">
        <f>-Assumptions!N240</f>
        <v>-1274.2226349002992</v>
      </c>
      <c r="S24" s="900">
        <f>-Assumptions!O240</f>
        <v>-1293.3359744238037</v>
      </c>
      <c r="T24" s="900">
        <f>-Assumptions!P240</f>
        <v>-1312.7360140401606</v>
      </c>
      <c r="U24" s="900">
        <f>-Assumptions!Q240</f>
        <v>-1332.4270542507629</v>
      </c>
      <c r="V24" s="900">
        <f>-Assumptions!R240</f>
        <v>-1352.4134600645243</v>
      </c>
      <c r="W24" s="900">
        <f>-Assumptions!S240</f>
        <v>-1372.6996619654919</v>
      </c>
      <c r="X24" s="900">
        <f>-Assumptions!T240</f>
        <v>-1393.2901568949742</v>
      </c>
      <c r="Y24" s="900">
        <f>-Assumptions!U240</f>
        <v>-1414.1895092483987</v>
      </c>
      <c r="Z24" s="900">
        <f>-Assumptions!V240</f>
        <v>-1435.4023518871245</v>
      </c>
      <c r="AA24" s="900">
        <f>-Assumptions!W240</f>
        <v>-1456.9333871654312</v>
      </c>
      <c r="AB24" s="900">
        <f>-Assumptions!X240</f>
        <v>-1478.7873879729125</v>
      </c>
      <c r="AC24" s="900">
        <f>-Assumptions!Y240</f>
        <v>-1500.9691987925059</v>
      </c>
      <c r="AD24" s="900">
        <f>-Assumptions!Z240</f>
        <v>-1523.4837367743935</v>
      </c>
      <c r="AE24" s="900">
        <f>-Assumptions!AA240</f>
        <v>-1546.3359928260093</v>
      </c>
      <c r="AF24" s="906">
        <f>-Assumptions!AB240</f>
        <v>-1569.5310327183993</v>
      </c>
      <c r="AG24" s="338"/>
      <c r="AH24" s="340">
        <f>AG9-AG23</f>
        <v>19164.079414020489</v>
      </c>
      <c r="AI24" s="7"/>
      <c r="AJ24" s="7"/>
      <c r="AK24" s="11"/>
      <c r="AL24" s="11"/>
      <c r="AM24" s="11"/>
      <c r="AN24" s="11"/>
    </row>
    <row r="25" spans="1:40" ht="15">
      <c r="A25" s="1304"/>
      <c r="B25" s="200">
        <v>18</v>
      </c>
      <c r="C25" s="220" t="s">
        <v>489</v>
      </c>
      <c r="D25" s="723">
        <f>Inputs!D67</f>
        <v>-367</v>
      </c>
      <c r="E25" s="714">
        <f>Inputs!C67</f>
        <v>-228</v>
      </c>
      <c r="F25" s="724">
        <f>Inputs!B67</f>
        <v>-44</v>
      </c>
      <c r="G25" s="920">
        <f>(1+G5)*AVERAGE(D25:F25)</f>
        <v>-238.56000000000003</v>
      </c>
      <c r="H25" s="900">
        <f t="shared" ref="H25:AF25" si="38">(1+H5)*AVERAGE(E25:G25)</f>
        <v>-189.67304000000004</v>
      </c>
      <c r="I25" s="900">
        <f t="shared" si="38"/>
        <v>-174.56881378666668</v>
      </c>
      <c r="J25" s="915">
        <f t="shared" si="38"/>
        <v>-221.73061521786221</v>
      </c>
      <c r="K25" s="910">
        <f t="shared" si="38"/>
        <v>-214.56358573382505</v>
      </c>
      <c r="L25" s="900">
        <f t="shared" si="38"/>
        <v>-222.65956887213</v>
      </c>
      <c r="M25" s="900">
        <f t="shared" si="38"/>
        <v>-239.0903928177417</v>
      </c>
      <c r="N25" s="900">
        <f t="shared" si="38"/>
        <v>-244.26190954452511</v>
      </c>
      <c r="O25" s="900">
        <f t="shared" si="38"/>
        <v>-253.81126770876566</v>
      </c>
      <c r="P25" s="900">
        <f t="shared" si="38"/>
        <v>-263.7816974904178</v>
      </c>
      <c r="Q25" s="900">
        <f t="shared" si="38"/>
        <v>-271.34731122121752</v>
      </c>
      <c r="R25" s="900">
        <f t="shared" si="38"/>
        <v>-279.81081803710219</v>
      </c>
      <c r="S25" s="900">
        <f t="shared" si="38"/>
        <v>-287.80958214676241</v>
      </c>
      <c r="T25" s="900">
        <f t="shared" si="38"/>
        <v>-295.03697851078715</v>
      </c>
      <c r="U25" s="900">
        <f t="shared" si="38"/>
        <v>-302.07385877291057</v>
      </c>
      <c r="V25" s="900">
        <f t="shared" si="38"/>
        <v>-308.54225290808711</v>
      </c>
      <c r="W25" s="900">
        <f t="shared" si="38"/>
        <v>-314.41256447824793</v>
      </c>
      <c r="X25" s="900">
        <f t="shared" si="38"/>
        <v>-320.21409339712551</v>
      </c>
      <c r="Y25" s="900">
        <f t="shared" si="38"/>
        <v>-325.55046903875774</v>
      </c>
      <c r="Z25" s="900">
        <f t="shared" si="38"/>
        <v>-330.46096117961343</v>
      </c>
      <c r="AA25" s="900">
        <f t="shared" si="38"/>
        <v>-335.00805885405123</v>
      </c>
      <c r="AB25" s="900">
        <f t="shared" si="38"/>
        <v>-339.09383517761381</v>
      </c>
      <c r="AC25" s="900">
        <f t="shared" si="38"/>
        <v>-342.72336076958112</v>
      </c>
      <c r="AD25" s="900">
        <f t="shared" si="38"/>
        <v>-345.89005750822395</v>
      </c>
      <c r="AE25" s="900">
        <f t="shared" si="38"/>
        <v>-348.5640434636295</v>
      </c>
      <c r="AF25" s="906">
        <f t="shared" si="38"/>
        <v>-350.73884497889514</v>
      </c>
      <c r="AG25" s="253"/>
      <c r="AH25" s="7"/>
      <c r="AI25" s="7"/>
      <c r="AJ25" s="7"/>
      <c r="AK25" s="11"/>
      <c r="AL25" s="11"/>
      <c r="AM25" s="11"/>
      <c r="AN25" s="11"/>
    </row>
    <row r="26" spans="1:40" ht="15">
      <c r="A26" s="1304"/>
      <c r="B26" s="200">
        <v>19</v>
      </c>
      <c r="C26" s="229" t="s">
        <v>490</v>
      </c>
      <c r="D26" s="725">
        <f t="shared" ref="D26:AF26" si="39">D23+D24+D25</f>
        <v>-2195</v>
      </c>
      <c r="E26" s="715">
        <f t="shared" si="39"/>
        <v>-2278</v>
      </c>
      <c r="F26" s="726">
        <f t="shared" si="39"/>
        <v>-2073</v>
      </c>
      <c r="G26" s="919">
        <f>G23+G24+G25</f>
        <v>-2354.7859200000003</v>
      </c>
      <c r="H26" s="899">
        <f t="shared" si="39"/>
        <v>-2447.4792778400001</v>
      </c>
      <c r="I26" s="899">
        <f t="shared" si="39"/>
        <v>-2581.7135295512267</v>
      </c>
      <c r="J26" s="914">
        <f t="shared" si="39"/>
        <v>-2785.4164520040545</v>
      </c>
      <c r="K26" s="779">
        <f t="shared" si="39"/>
        <v>-2869.3583304252174</v>
      </c>
      <c r="L26" s="899">
        <f t="shared" si="39"/>
        <v>-3035.5510867844887</v>
      </c>
      <c r="M26" s="899">
        <f t="shared" si="39"/>
        <v>-3215.2710284379395</v>
      </c>
      <c r="N26" s="899">
        <f t="shared" si="39"/>
        <v>-3387.9311214757518</v>
      </c>
      <c r="O26" s="899">
        <f t="shared" si="39"/>
        <v>-3568.0234307742749</v>
      </c>
      <c r="P26" s="899">
        <f t="shared" si="39"/>
        <v>-3750.3026501067111</v>
      </c>
      <c r="Q26" s="899">
        <f t="shared" si="39"/>
        <v>-3930.5240534454688</v>
      </c>
      <c r="R26" s="899">
        <f t="shared" si="39"/>
        <v>-4111.6606755961047</v>
      </c>
      <c r="S26" s="899">
        <f t="shared" si="39"/>
        <v>-4290.9515989774618</v>
      </c>
      <c r="T26" s="899">
        <f t="shared" si="39"/>
        <v>-4466.6183672902225</v>
      </c>
      <c r="U26" s="899">
        <f t="shared" si="39"/>
        <v>-4637.7179791872823</v>
      </c>
      <c r="V26" s="899">
        <f t="shared" si="39"/>
        <v>-4802.3207641797462</v>
      </c>
      <c r="W26" s="899">
        <f t="shared" si="39"/>
        <v>-4958.8439272759706</v>
      </c>
      <c r="X26" s="899">
        <f t="shared" si="39"/>
        <v>-5111.1976216063722</v>
      </c>
      <c r="Y26" s="899">
        <f t="shared" si="39"/>
        <v>-5258.051464283084</v>
      </c>
      <c r="Z26" s="899">
        <f t="shared" si="39"/>
        <v>-5398.5199223575328</v>
      </c>
      <c r="AA26" s="899">
        <f t="shared" si="39"/>
        <v>-5531.761425284355</v>
      </c>
      <c r="AB26" s="899">
        <f t="shared" si="39"/>
        <v>-5656.8064318659181</v>
      </c>
      <c r="AC26" s="899">
        <f t="shared" si="39"/>
        <v>-5772.8325106822895</v>
      </c>
      <c r="AD26" s="899">
        <f t="shared" si="39"/>
        <v>-5879.0611144007853</v>
      </c>
      <c r="AE26" s="899">
        <f t="shared" si="39"/>
        <v>-5974.7568845098731</v>
      </c>
      <c r="AF26" s="905">
        <f t="shared" si="39"/>
        <v>-6059.2846502167222</v>
      </c>
      <c r="AG26" s="338"/>
      <c r="AH26" s="7"/>
      <c r="AI26" s="7"/>
      <c r="AJ26" s="7"/>
      <c r="AK26" s="11"/>
      <c r="AL26" s="11"/>
      <c r="AM26" s="11"/>
      <c r="AN26" s="11"/>
    </row>
    <row r="27" spans="1:40" ht="15">
      <c r="A27" s="1304"/>
      <c r="B27" s="200">
        <v>20</v>
      </c>
      <c r="C27" s="220" t="s">
        <v>491</v>
      </c>
      <c r="D27" s="723">
        <v>0</v>
      </c>
      <c r="E27" s="714">
        <v>0</v>
      </c>
      <c r="F27" s="728">
        <v>0</v>
      </c>
      <c r="G27" s="921">
        <v>0</v>
      </c>
      <c r="H27" s="901">
        <v>0</v>
      </c>
      <c r="I27" s="901">
        <v>0</v>
      </c>
      <c r="J27" s="916">
        <v>0</v>
      </c>
      <c r="K27" s="911">
        <v>0</v>
      </c>
      <c r="L27" s="901">
        <v>0</v>
      </c>
      <c r="M27" s="901">
        <v>0</v>
      </c>
      <c r="N27" s="901">
        <v>0</v>
      </c>
      <c r="O27" s="901">
        <v>0</v>
      </c>
      <c r="P27" s="901">
        <v>0</v>
      </c>
      <c r="Q27" s="901">
        <v>0</v>
      </c>
      <c r="R27" s="901">
        <v>0</v>
      </c>
      <c r="S27" s="901">
        <v>0</v>
      </c>
      <c r="T27" s="901">
        <v>0</v>
      </c>
      <c r="U27" s="901">
        <v>0</v>
      </c>
      <c r="V27" s="901">
        <v>0</v>
      </c>
      <c r="W27" s="901">
        <v>0</v>
      </c>
      <c r="X27" s="901">
        <v>0</v>
      </c>
      <c r="Y27" s="901">
        <v>0</v>
      </c>
      <c r="Z27" s="901">
        <v>0</v>
      </c>
      <c r="AA27" s="901">
        <v>0</v>
      </c>
      <c r="AB27" s="901">
        <v>0</v>
      </c>
      <c r="AC27" s="901">
        <v>0</v>
      </c>
      <c r="AD27" s="901">
        <v>0</v>
      </c>
      <c r="AE27" s="901">
        <v>0</v>
      </c>
      <c r="AF27" s="907">
        <v>0</v>
      </c>
      <c r="AG27" s="338"/>
      <c r="AH27" s="7"/>
      <c r="AI27" s="7"/>
      <c r="AJ27" s="7"/>
      <c r="AK27" s="11"/>
      <c r="AL27" s="11"/>
      <c r="AM27" s="11"/>
      <c r="AN27" s="11"/>
    </row>
    <row r="28" spans="1:40" ht="15">
      <c r="A28" s="1304"/>
      <c r="B28" s="200">
        <v>21</v>
      </c>
      <c r="C28" s="220" t="s">
        <v>492</v>
      </c>
      <c r="D28" s="727">
        <f>+SUM(Inputs!D69:D70)</f>
        <v>1426</v>
      </c>
      <c r="E28" s="714">
        <f>+SUM(Inputs!C69:C70)</f>
        <v>-647</v>
      </c>
      <c r="F28" s="724">
        <f>+SUM(Inputs!B69:B70)</f>
        <v>-690</v>
      </c>
      <c r="G28" s="920">
        <f>G44-F44</f>
        <v>-1145.2159999999985</v>
      </c>
      <c r="H28" s="900">
        <f t="shared" ref="H28:AF28" si="40">H44-G44</f>
        <v>1663.2022680000009</v>
      </c>
      <c r="I28" s="900">
        <f t="shared" si="40"/>
        <v>1764.599503211999</v>
      </c>
      <c r="J28" s="915">
        <f t="shared" si="40"/>
        <v>1858.1961273204433</v>
      </c>
      <c r="K28" s="910">
        <f t="shared" si="40"/>
        <v>3625.556087431436</v>
      </c>
      <c r="L28" s="900">
        <f t="shared" si="40"/>
        <v>2191.3911016876191</v>
      </c>
      <c r="M28" s="900">
        <f t="shared" si="40"/>
        <v>2268.1425242571568</v>
      </c>
      <c r="N28" s="900">
        <f t="shared" si="40"/>
        <v>2329.3887795943701</v>
      </c>
      <c r="O28" s="900">
        <f t="shared" si="40"/>
        <v>2372.7614407329929</v>
      </c>
      <c r="P28" s="900">
        <f t="shared" si="40"/>
        <v>2396.0281046693381</v>
      </c>
      <c r="Q28" s="900">
        <f t="shared" si="40"/>
        <v>2397.1609206780195</v>
      </c>
      <c r="R28" s="900">
        <f t="shared" si="40"/>
        <v>2393.1014948853408</v>
      </c>
      <c r="S28" s="900">
        <f t="shared" si="40"/>
        <v>2367.2260849718878</v>
      </c>
      <c r="T28" s="900">
        <f t="shared" si="40"/>
        <v>2318.3896140592333</v>
      </c>
      <c r="U28" s="900">
        <f t="shared" si="40"/>
        <v>2245.781866600737</v>
      </c>
      <c r="V28" s="900">
        <f t="shared" si="40"/>
        <v>2148.9686562326242</v>
      </c>
      <c r="W28" s="900">
        <f t="shared" si="40"/>
        <v>2027.9256608348296</v>
      </c>
      <c r="X28" s="900">
        <f t="shared" si="40"/>
        <v>1959.4037630539679</v>
      </c>
      <c r="Y28" s="900">
        <f t="shared" si="40"/>
        <v>1876.2817839368654</v>
      </c>
      <c r="Z28" s="900">
        <f t="shared" si="40"/>
        <v>1778.7019179201598</v>
      </c>
      <c r="AA28" s="900">
        <f t="shared" si="40"/>
        <v>1666.9857551523237</v>
      </c>
      <c r="AB28" s="900">
        <f t="shared" si="40"/>
        <v>1541.6369025636304</v>
      </c>
      <c r="AC28" s="900">
        <f t="shared" si="40"/>
        <v>1403.3404374081729</v>
      </c>
      <c r="AD28" s="900">
        <f t="shared" si="40"/>
        <v>1252.9590733016594</v>
      </c>
      <c r="AE28" s="900">
        <f t="shared" si="40"/>
        <v>1091.5259926988219</v>
      </c>
      <c r="AF28" s="906">
        <f t="shared" si="40"/>
        <v>920.23437798745726</v>
      </c>
      <c r="AG28" s="338"/>
      <c r="AH28" s="7"/>
      <c r="AI28" s="7"/>
      <c r="AJ28" s="7"/>
      <c r="AK28" s="11"/>
      <c r="AL28" s="11"/>
      <c r="AM28" s="11"/>
      <c r="AN28" s="11"/>
    </row>
    <row r="29" spans="1:40" ht="15">
      <c r="A29" s="1304"/>
      <c r="B29" s="200">
        <v>22</v>
      </c>
      <c r="C29" s="220" t="s">
        <v>493</v>
      </c>
      <c r="D29" s="727">
        <f>'Fin. Data'!D28</f>
        <v>32</v>
      </c>
      <c r="E29" s="714">
        <f>'Fin. Data'!C28</f>
        <v>-8</v>
      </c>
      <c r="F29" s="728">
        <f>'Fin. Data'!B28</f>
        <v>198</v>
      </c>
      <c r="G29" s="920">
        <f>-Assumptions!C272</f>
        <v>-559.65206332000002</v>
      </c>
      <c r="H29" s="900">
        <f>-Assumptions!D272</f>
        <v>-588.93772594936479</v>
      </c>
      <c r="I29" s="900">
        <f>-Assumptions!E272</f>
        <v>-671.47925734242199</v>
      </c>
      <c r="J29" s="915">
        <f>-Assumptions!F272</f>
        <v>-201.77584459587791</v>
      </c>
      <c r="K29" s="910">
        <f>-Assumptions!G272</f>
        <v>-221.63583995367591</v>
      </c>
      <c r="L29" s="900">
        <f>-Assumptions!H272</f>
        <v>-230.36297575439451</v>
      </c>
      <c r="M29" s="900">
        <f>-Assumptions!I272</f>
        <v>-244.46186550407157</v>
      </c>
      <c r="N29" s="900">
        <f>-Assumptions!J272</f>
        <v>-322.56066049276143</v>
      </c>
      <c r="O29" s="900">
        <f>-Assumptions!K272</f>
        <v>-348.29569434746929</v>
      </c>
      <c r="P29" s="900">
        <f>-Assumptions!L272</f>
        <v>-374.35749551239286</v>
      </c>
      <c r="Q29" s="900">
        <f>-Assumptions!M272</f>
        <v>-378.24635929332192</v>
      </c>
      <c r="R29" s="900">
        <f>-Assumptions!N272</f>
        <v>-402.91658695678029</v>
      </c>
      <c r="S29" s="900">
        <f>-Assumptions!O272</f>
        <v>-427.44051256280648</v>
      </c>
      <c r="T29" s="900">
        <f>-Assumptions!P272</f>
        <v>-451.60182223487885</v>
      </c>
      <c r="U29" s="900">
        <f>-Assumptions!Q272</f>
        <v>-461.23624539971991</v>
      </c>
      <c r="V29" s="900">
        <f>-Assumptions!R272</f>
        <v>-483.22740354964117</v>
      </c>
      <c r="W29" s="900">
        <f>-Assumptions!S272</f>
        <v>-504.18456616864836</v>
      </c>
      <c r="X29" s="900">
        <f>-Assumptions!T272</f>
        <v>-524.62922063899885</v>
      </c>
      <c r="Y29" s="900">
        <f>-Assumptions!U272</f>
        <v>-544.39442773299186</v>
      </c>
      <c r="Z29" s="900">
        <f>-Assumptions!V272</f>
        <v>-563.34130876585391</v>
      </c>
      <c r="AA29" s="900">
        <f>-Assumptions!W272</f>
        <v>-581.33280130197738</v>
      </c>
      <c r="AB29" s="900">
        <f>-Assumptions!X272</f>
        <v>-598.23642486127198</v>
      </c>
      <c r="AC29" s="900">
        <f>-Assumptions!Y272</f>
        <v>-613.9248651966825</v>
      </c>
      <c r="AD29" s="900">
        <f>-Assumptions!Z272</f>
        <v>-628.27808516971072</v>
      </c>
      <c r="AE29" s="900">
        <f>-Assumptions!AA272</f>
        <v>-641.18507034470326</v>
      </c>
      <c r="AF29" s="906">
        <f>-Assumptions!AB272</f>
        <v>-652.54516612195107</v>
      </c>
      <c r="AG29" s="338"/>
      <c r="AH29" s="7"/>
      <c r="AI29" s="7"/>
      <c r="AJ29" s="7"/>
      <c r="AK29" s="11"/>
      <c r="AL29" s="11"/>
      <c r="AM29" s="11"/>
      <c r="AN29" s="11"/>
    </row>
    <row r="30" spans="1:40" s="7" customFormat="1" ht="15">
      <c r="A30" s="1304"/>
      <c r="B30" s="200">
        <v>23</v>
      </c>
      <c r="C30" s="220" t="s">
        <v>494</v>
      </c>
      <c r="D30" s="723">
        <f>'Fin. Data'!D27</f>
        <v>-529</v>
      </c>
      <c r="E30" s="714">
        <f>'Fin. Data'!C27</f>
        <v>-1041</v>
      </c>
      <c r="F30" s="724">
        <f>'Fin. Data'!B27</f>
        <v>-1851</v>
      </c>
      <c r="G30" s="920">
        <f>-$D$61*G17</f>
        <v>-1998.7573689999999</v>
      </c>
      <c r="H30" s="900">
        <f t="shared" ref="H30:J30" si="41">-$D$61*H17</f>
        <v>-2103.3490212477313</v>
      </c>
      <c r="I30" s="900">
        <f t="shared" si="41"/>
        <v>-2398.1402047943639</v>
      </c>
      <c r="J30" s="915">
        <f t="shared" si="41"/>
        <v>-2522.1980574484737</v>
      </c>
      <c r="K30" s="910">
        <f>-$E$61*K17</f>
        <v>-3047.492799363044</v>
      </c>
      <c r="L30" s="900">
        <f t="shared" ref="L30:AF30" si="42">-$E$61*L17</f>
        <v>-3167.4909166229245</v>
      </c>
      <c r="M30" s="900">
        <f t="shared" si="42"/>
        <v>-3361.3506506809845</v>
      </c>
      <c r="N30" s="900">
        <f t="shared" si="42"/>
        <v>-3548.1672654203758</v>
      </c>
      <c r="O30" s="900">
        <f t="shared" si="42"/>
        <v>-3831.2526378221623</v>
      </c>
      <c r="P30" s="900">
        <f t="shared" si="42"/>
        <v>-4117.9324506363218</v>
      </c>
      <c r="Q30" s="900">
        <f t="shared" si="42"/>
        <v>-4160.7099522265407</v>
      </c>
      <c r="R30" s="900">
        <f t="shared" si="42"/>
        <v>-4432.082456524583</v>
      </c>
      <c r="S30" s="900">
        <f t="shared" si="42"/>
        <v>-4701.8456381908718</v>
      </c>
      <c r="T30" s="900">
        <f t="shared" si="42"/>
        <v>-4967.6200445836675</v>
      </c>
      <c r="U30" s="900">
        <f t="shared" si="42"/>
        <v>-5073.5986993969191</v>
      </c>
      <c r="V30" s="900">
        <f t="shared" si="42"/>
        <v>-5315.5014390460528</v>
      </c>
      <c r="W30" s="900">
        <f t="shared" si="42"/>
        <v>-5546.0302278551317</v>
      </c>
      <c r="X30" s="900">
        <f t="shared" si="42"/>
        <v>-5770.9214270289876</v>
      </c>
      <c r="Y30" s="900">
        <f t="shared" si="42"/>
        <v>-5988.3387050629099</v>
      </c>
      <c r="Z30" s="900">
        <f t="shared" si="42"/>
        <v>-6196.7543964243932</v>
      </c>
      <c r="AA30" s="900">
        <f t="shared" si="42"/>
        <v>-6394.6608143217518</v>
      </c>
      <c r="AB30" s="900">
        <f t="shared" si="42"/>
        <v>-6580.6006734739913</v>
      </c>
      <c r="AC30" s="900">
        <f t="shared" si="42"/>
        <v>-6753.1735171635073</v>
      </c>
      <c r="AD30" s="900">
        <f t="shared" si="42"/>
        <v>-6911.0589368668179</v>
      </c>
      <c r="AE30" s="900">
        <f t="shared" si="42"/>
        <v>-7053.0357737917357</v>
      </c>
      <c r="AF30" s="906">
        <f t="shared" si="42"/>
        <v>-7177.9968273414615</v>
      </c>
      <c r="AG30" s="338"/>
      <c r="AK30" s="11"/>
      <c r="AL30" s="11"/>
      <c r="AM30" s="11"/>
      <c r="AN30" s="11"/>
    </row>
    <row r="31" spans="1:40" s="3" customFormat="1" ht="15">
      <c r="A31" s="1304"/>
      <c r="B31" s="200">
        <v>24</v>
      </c>
      <c r="C31" s="220" t="s">
        <v>495</v>
      </c>
      <c r="D31" s="729">
        <f>Inputs!D75</f>
        <v>-23</v>
      </c>
      <c r="E31" s="717">
        <f>Inputs!C75</f>
        <v>-71</v>
      </c>
      <c r="F31" s="730">
        <f>Inputs!B75</f>
        <v>25</v>
      </c>
      <c r="G31" s="920">
        <f>(1+G5)*AVERAGE(D31:F31)</f>
        <v>-25.76</v>
      </c>
      <c r="H31" s="900">
        <f t="shared" ref="H31:AF31" si="43">(1+H5)*AVERAGE(E31:G31)</f>
        <v>-26.658840000000001</v>
      </c>
      <c r="I31" s="900">
        <f t="shared" si="43"/>
        <v>-10.135831186666667</v>
      </c>
      <c r="J31" s="915">
        <f t="shared" si="43"/>
        <v>-23.009693218162223</v>
      </c>
      <c r="K31" s="910">
        <f t="shared" si="43"/>
        <v>-21.898364766234845</v>
      </c>
      <c r="L31" s="900">
        <f t="shared" si="43"/>
        <v>-20.063497602852731</v>
      </c>
      <c r="M31" s="900">
        <f t="shared" si="43"/>
        <v>-23.573846085573802</v>
      </c>
      <c r="N31" s="900">
        <f t="shared" si="43"/>
        <v>-23.669313370208531</v>
      </c>
      <c r="O31" s="900">
        <f t="shared" si="43"/>
        <v>-24.19674321257931</v>
      </c>
      <c r="P31" s="900">
        <f t="shared" si="43"/>
        <v>-25.56357850482874</v>
      </c>
      <c r="Q31" s="900">
        <f t="shared" si="43"/>
        <v>-26.153188363706107</v>
      </c>
      <c r="R31" s="900">
        <f t="shared" si="43"/>
        <v>-26.923991575435156</v>
      </c>
      <c r="S31" s="900">
        <f t="shared" si="43"/>
        <v>-27.773294523795403</v>
      </c>
      <c r="T31" s="900">
        <f t="shared" si="43"/>
        <v>-28.432416852799392</v>
      </c>
      <c r="U31" s="900">
        <f t="shared" si="43"/>
        <v>-29.109250983702491</v>
      </c>
      <c r="V31" s="900">
        <f t="shared" si="43"/>
        <v>-29.746483542956987</v>
      </c>
      <c r="W31" s="900">
        <f t="shared" si="43"/>
        <v>-30.303536553902134</v>
      </c>
      <c r="X31" s="900">
        <f t="shared" si="43"/>
        <v>-30.863967672387744</v>
      </c>
      <c r="Y31" s="900">
        <f t="shared" si="43"/>
        <v>-31.380478111685036</v>
      </c>
      <c r="Z31" s="900">
        <f t="shared" si="43"/>
        <v>-31.851930587986363</v>
      </c>
      <c r="AA31" s="900">
        <f t="shared" si="43"/>
        <v>-32.29073982501162</v>
      </c>
      <c r="AB31" s="900">
        <f t="shared" si="43"/>
        <v>-32.684837320195705</v>
      </c>
      <c r="AC31" s="900">
        <f t="shared" si="43"/>
        <v>-33.034318054974584</v>
      </c>
      <c r="AD31" s="900">
        <f t="shared" si="43"/>
        <v>-33.339699350595218</v>
      </c>
      <c r="AE31" s="900">
        <f t="shared" si="43"/>
        <v>-33.59746156115547</v>
      </c>
      <c r="AF31" s="906">
        <f t="shared" si="43"/>
        <v>-33.80702180391426</v>
      </c>
      <c r="AG31" s="338"/>
      <c r="AH31" s="357"/>
      <c r="AI31" s="357"/>
      <c r="AJ31" s="357"/>
      <c r="AK31" s="355"/>
      <c r="AL31" s="355"/>
      <c r="AM31" s="355"/>
      <c r="AN31" s="355"/>
    </row>
    <row r="32" spans="1:40" s="7" customFormat="1" ht="16.5" customHeight="1">
      <c r="A32" s="1305"/>
      <c r="B32" s="201">
        <v>25</v>
      </c>
      <c r="C32" s="230" t="s">
        <v>496</v>
      </c>
      <c r="D32" s="938">
        <f t="shared" ref="D32:AF32" si="44">D27+D28+D29+D30+D31</f>
        <v>906</v>
      </c>
      <c r="E32" s="902">
        <f t="shared" si="44"/>
        <v>-1767</v>
      </c>
      <c r="F32" s="939">
        <f t="shared" si="44"/>
        <v>-2318</v>
      </c>
      <c r="G32" s="940">
        <f>G27+G28+G29+G30+G31</f>
        <v>-3729.3854323199985</v>
      </c>
      <c r="H32" s="902">
        <f t="shared" si="44"/>
        <v>-1055.7433191970954</v>
      </c>
      <c r="I32" s="902">
        <f t="shared" si="44"/>
        <v>-1315.1557901114534</v>
      </c>
      <c r="J32" s="941">
        <f t="shared" si="44"/>
        <v>-888.78746794207052</v>
      </c>
      <c r="K32" s="938">
        <f t="shared" si="44"/>
        <v>334.52908334848144</v>
      </c>
      <c r="L32" s="902">
        <f t="shared" si="44"/>
        <v>-1226.5262882925526</v>
      </c>
      <c r="M32" s="902">
        <f t="shared" si="44"/>
        <v>-1361.2438380134731</v>
      </c>
      <c r="N32" s="902">
        <f t="shared" si="44"/>
        <v>-1565.0084596889756</v>
      </c>
      <c r="O32" s="902">
        <f t="shared" si="44"/>
        <v>-1830.9836346492179</v>
      </c>
      <c r="P32" s="902">
        <f t="shared" si="44"/>
        <v>-2121.8254199842058</v>
      </c>
      <c r="Q32" s="902">
        <f t="shared" si="44"/>
        <v>-2167.9485792055493</v>
      </c>
      <c r="R32" s="902">
        <f t="shared" si="44"/>
        <v>-2468.8215401714579</v>
      </c>
      <c r="S32" s="902">
        <f t="shared" si="44"/>
        <v>-2789.8333603055858</v>
      </c>
      <c r="T32" s="902">
        <f t="shared" si="44"/>
        <v>-3129.2646696121124</v>
      </c>
      <c r="U32" s="902">
        <f t="shared" si="44"/>
        <v>-3318.1623291796045</v>
      </c>
      <c r="V32" s="902">
        <f t="shared" si="44"/>
        <v>-3679.5066699060267</v>
      </c>
      <c r="W32" s="902">
        <f t="shared" si="44"/>
        <v>-4052.5926697428526</v>
      </c>
      <c r="X32" s="902">
        <f t="shared" si="44"/>
        <v>-4367.0108522864066</v>
      </c>
      <c r="Y32" s="902">
        <f t="shared" si="44"/>
        <v>-4687.8318269707215</v>
      </c>
      <c r="Z32" s="902">
        <f t="shared" si="44"/>
        <v>-5013.2457178580735</v>
      </c>
      <c r="AA32" s="902">
        <f t="shared" si="44"/>
        <v>-5341.2986002964171</v>
      </c>
      <c r="AB32" s="902">
        <f t="shared" si="44"/>
        <v>-5669.8850330918285</v>
      </c>
      <c r="AC32" s="902">
        <f t="shared" si="44"/>
        <v>-5996.7922630069916</v>
      </c>
      <c r="AD32" s="902">
        <f t="shared" si="44"/>
        <v>-6319.7176480854641</v>
      </c>
      <c r="AE32" s="902">
        <f t="shared" si="44"/>
        <v>-6636.292312998773</v>
      </c>
      <c r="AF32" s="939">
        <f t="shared" si="44"/>
        <v>-6944.1146372798694</v>
      </c>
      <c r="AG32" s="338"/>
      <c r="AK32" s="11"/>
      <c r="AL32" s="11"/>
      <c r="AM32" s="11"/>
      <c r="AN32" s="11"/>
    </row>
    <row r="33" spans="1:40" ht="15">
      <c r="A33" s="1295"/>
      <c r="B33" s="1296"/>
      <c r="C33" s="1296"/>
      <c r="D33" s="1296"/>
      <c r="E33" s="1296"/>
      <c r="F33" s="1296"/>
      <c r="G33" s="1296"/>
      <c r="H33" s="1296"/>
      <c r="I33" s="1296"/>
      <c r="J33" s="1296"/>
      <c r="K33" s="1296"/>
      <c r="L33" s="1296"/>
      <c r="M33" s="1296"/>
      <c r="N33" s="1296"/>
      <c r="O33" s="1296"/>
      <c r="P33" s="1296"/>
      <c r="Q33" s="1296"/>
      <c r="R33" s="1296"/>
      <c r="S33" s="1296"/>
      <c r="T33" s="1296"/>
      <c r="U33" s="1296"/>
      <c r="V33" s="1296"/>
      <c r="W33" s="1296"/>
      <c r="X33" s="1296"/>
      <c r="Y33" s="1296"/>
      <c r="Z33" s="1296"/>
      <c r="AA33" s="1296"/>
      <c r="AB33" s="1296"/>
      <c r="AC33" s="1296"/>
      <c r="AD33" s="1296"/>
      <c r="AE33" s="1296"/>
      <c r="AF33" s="1297"/>
      <c r="AG33" s="338"/>
      <c r="AH33" s="7"/>
      <c r="AI33" s="7"/>
      <c r="AJ33" s="7"/>
      <c r="AK33" s="11"/>
      <c r="AL33" s="11"/>
      <c r="AM33" s="11"/>
      <c r="AN33" s="11"/>
    </row>
    <row r="34" spans="1:40" ht="15">
      <c r="A34" s="1320" t="s">
        <v>497</v>
      </c>
      <c r="B34" s="200">
        <v>26</v>
      </c>
      <c r="C34" s="204" t="s">
        <v>498</v>
      </c>
      <c r="D34" s="306">
        <f>D22+D26+D27+D28+D31</f>
        <v>2426</v>
      </c>
      <c r="E34" s="307">
        <f t="shared" ref="E34:AF34" si="45">E22+E26+E27+E28+E31</f>
        <v>1642</v>
      </c>
      <c r="F34" s="320">
        <f t="shared" si="45"/>
        <v>1753</v>
      </c>
      <c r="G34" s="405">
        <f t="shared" si="45"/>
        <v>2726.9987062675891</v>
      </c>
      <c r="H34" s="308">
        <f t="shared" si="45"/>
        <v>5582.0863337267583</v>
      </c>
      <c r="I34" s="308">
        <f t="shared" si="45"/>
        <v>6231.6700767979264</v>
      </c>
      <c r="J34" s="309">
        <f t="shared" si="45"/>
        <v>6395.3971205563612</v>
      </c>
      <c r="K34" s="319">
        <f t="shared" si="45"/>
        <v>8196.1349845861805</v>
      </c>
      <c r="L34" s="308">
        <f t="shared" si="45"/>
        <v>6839.1843119216728</v>
      </c>
      <c r="M34" s="308">
        <f t="shared" si="45"/>
        <v>7148.6842346267458</v>
      </c>
      <c r="N34" s="308">
        <f t="shared" si="45"/>
        <v>7454.4380009488386</v>
      </c>
      <c r="O34" s="308">
        <f t="shared" si="45"/>
        <v>7962.681552949276</v>
      </c>
      <c r="P34" s="308">
        <f t="shared" si="45"/>
        <v>8471.3796769506116</v>
      </c>
      <c r="Q34" s="308">
        <f t="shared" si="45"/>
        <v>8444.1771804814362</v>
      </c>
      <c r="R34" s="308">
        <f t="shared" si="45"/>
        <v>8919.8855106690735</v>
      </c>
      <c r="S34" s="308">
        <f t="shared" si="45"/>
        <v>9384.4360408445718</v>
      </c>
      <c r="T34" s="308">
        <f t="shared" si="45"/>
        <v>9832.4989927168317</v>
      </c>
      <c r="U34" s="308">
        <f t="shared" si="45"/>
        <v>9923.7132738798227</v>
      </c>
      <c r="V34" s="308">
        <f t="shared" si="45"/>
        <v>10304.783476276662</v>
      </c>
      <c r="W34" s="308">
        <f t="shared" si="45"/>
        <v>10652.759306739141</v>
      </c>
      <c r="X34" s="308">
        <f t="shared" si="45"/>
        <v>11024.633111797752</v>
      </c>
      <c r="Y34" s="308">
        <f t="shared" si="45"/>
        <v>11374.437198454363</v>
      </c>
      <c r="Z34" s="308">
        <f t="shared" si="45"/>
        <v>11698.969339622447</v>
      </c>
      <c r="AA34" s="308">
        <f t="shared" si="45"/>
        <v>11995.147049767902</v>
      </c>
      <c r="AB34" s="308">
        <f t="shared" si="45"/>
        <v>12260.266836891107</v>
      </c>
      <c r="AC34" s="308">
        <f t="shared" si="45"/>
        <v>12491.740298714296</v>
      </c>
      <c r="AD34" s="308">
        <f t="shared" si="45"/>
        <v>12687.254504123179</v>
      </c>
      <c r="AE34" s="308">
        <f t="shared" si="45"/>
        <v>12844.819229987024</v>
      </c>
      <c r="AF34" s="309">
        <f t="shared" si="45"/>
        <v>12962.740862130089</v>
      </c>
      <c r="AG34" s="338"/>
      <c r="AH34" s="7"/>
      <c r="AI34" s="7"/>
      <c r="AJ34" s="7"/>
      <c r="AK34" s="11"/>
      <c r="AL34" s="11"/>
      <c r="AM34" s="11"/>
      <c r="AN34" s="11"/>
    </row>
    <row r="35" spans="1:40" s="3" customFormat="1" ht="15">
      <c r="A35" s="1320"/>
      <c r="B35" s="200">
        <v>27</v>
      </c>
      <c r="C35" s="204" t="s">
        <v>499</v>
      </c>
      <c r="D35" s="261">
        <f>-1*(D29+D30)</f>
        <v>497</v>
      </c>
      <c r="E35" s="258">
        <f t="shared" ref="E35:AF35" si="46">-1*(E29+E30)</f>
        <v>1049</v>
      </c>
      <c r="F35" s="263">
        <f t="shared" si="46"/>
        <v>1653</v>
      </c>
      <c r="G35" s="265">
        <f t="shared" si="46"/>
        <v>2558.4094323199997</v>
      </c>
      <c r="H35" s="252">
        <f t="shared" si="46"/>
        <v>2692.2867471970962</v>
      </c>
      <c r="I35" s="252">
        <f t="shared" si="46"/>
        <v>3069.6194621367858</v>
      </c>
      <c r="J35" s="266">
        <f t="shared" si="46"/>
        <v>2723.9739020443517</v>
      </c>
      <c r="K35" s="252">
        <f t="shared" si="46"/>
        <v>3269.1286393167197</v>
      </c>
      <c r="L35" s="252">
        <f t="shared" si="46"/>
        <v>3397.853892377319</v>
      </c>
      <c r="M35" s="252">
        <f t="shared" si="46"/>
        <v>3605.8125161850562</v>
      </c>
      <c r="N35" s="252">
        <f t="shared" si="46"/>
        <v>3870.7279259131374</v>
      </c>
      <c r="O35" s="252">
        <f t="shared" si="46"/>
        <v>4179.548332169632</v>
      </c>
      <c r="P35" s="252">
        <f t="shared" si="46"/>
        <v>4492.289946148715</v>
      </c>
      <c r="Q35" s="252">
        <f t="shared" si="46"/>
        <v>4538.9563115198625</v>
      </c>
      <c r="R35" s="252">
        <f t="shared" si="46"/>
        <v>4834.9990434813635</v>
      </c>
      <c r="S35" s="252">
        <f t="shared" si="46"/>
        <v>5129.2861507536782</v>
      </c>
      <c r="T35" s="252">
        <f t="shared" si="46"/>
        <v>5419.221866818546</v>
      </c>
      <c r="U35" s="252">
        <f t="shared" si="46"/>
        <v>5534.8349447966393</v>
      </c>
      <c r="V35" s="252">
        <f t="shared" si="46"/>
        <v>5798.728842595694</v>
      </c>
      <c r="W35" s="252">
        <f t="shared" si="46"/>
        <v>6050.2147940237801</v>
      </c>
      <c r="X35" s="252">
        <f t="shared" si="46"/>
        <v>6295.5506476679866</v>
      </c>
      <c r="Y35" s="252">
        <f t="shared" si="46"/>
        <v>6532.7331327959018</v>
      </c>
      <c r="Z35" s="252">
        <f t="shared" si="46"/>
        <v>6760.0957051902469</v>
      </c>
      <c r="AA35" s="252">
        <f t="shared" si="46"/>
        <v>6975.9936156237291</v>
      </c>
      <c r="AB35" s="252">
        <f t="shared" si="46"/>
        <v>7178.8370983352634</v>
      </c>
      <c r="AC35" s="252">
        <f t="shared" si="46"/>
        <v>7367.09838236019</v>
      </c>
      <c r="AD35" s="252">
        <f t="shared" si="46"/>
        <v>7539.3370220365287</v>
      </c>
      <c r="AE35" s="252">
        <f t="shared" si="46"/>
        <v>7694.2208441364392</v>
      </c>
      <c r="AF35" s="266">
        <f t="shared" si="46"/>
        <v>7830.5419934634128</v>
      </c>
      <c r="AG35" s="338"/>
      <c r="AH35" s="357"/>
      <c r="AI35" s="357"/>
      <c r="AJ35" s="357"/>
      <c r="AK35" s="355"/>
      <c r="AL35" s="355"/>
      <c r="AM35" s="355"/>
      <c r="AN35" s="355"/>
    </row>
    <row r="36" spans="1:40" s="7" customFormat="1" ht="15">
      <c r="A36" s="1320"/>
      <c r="B36" s="201">
        <v>28</v>
      </c>
      <c r="C36" s="199" t="s">
        <v>500</v>
      </c>
      <c r="D36" s="301">
        <f>D34-D35</f>
        <v>1929</v>
      </c>
      <c r="E36" s="302">
        <f>E34-E35</f>
        <v>593</v>
      </c>
      <c r="F36" s="264">
        <f>F34-F35</f>
        <v>100</v>
      </c>
      <c r="G36" s="267">
        <f>G34-G35</f>
        <v>168.58927394758939</v>
      </c>
      <c r="H36" s="268">
        <f t="shared" ref="H36:AF36" si="47">H34-H35</f>
        <v>2889.7995865296621</v>
      </c>
      <c r="I36" s="268">
        <f t="shared" si="47"/>
        <v>3162.0506146611406</v>
      </c>
      <c r="J36" s="269">
        <f t="shared" si="47"/>
        <v>3671.4232185120095</v>
      </c>
      <c r="K36" s="268">
        <f t="shared" si="47"/>
        <v>4927.0063452694612</v>
      </c>
      <c r="L36" s="268">
        <f t="shared" si="47"/>
        <v>3441.3304195443538</v>
      </c>
      <c r="M36" s="268">
        <f t="shared" si="47"/>
        <v>3542.8717184416896</v>
      </c>
      <c r="N36" s="268">
        <f t="shared" si="47"/>
        <v>3583.7100750357013</v>
      </c>
      <c r="O36" s="268">
        <f t="shared" si="47"/>
        <v>3783.133220779644</v>
      </c>
      <c r="P36" s="268">
        <f t="shared" si="47"/>
        <v>3979.0897308018966</v>
      </c>
      <c r="Q36" s="268">
        <f t="shared" si="47"/>
        <v>3905.2208689615736</v>
      </c>
      <c r="R36" s="268">
        <f t="shared" si="47"/>
        <v>4084.88646718771</v>
      </c>
      <c r="S36" s="268">
        <f t="shared" si="47"/>
        <v>4255.1498900908937</v>
      </c>
      <c r="T36" s="268">
        <f t="shared" si="47"/>
        <v>4413.2771258982857</v>
      </c>
      <c r="U36" s="268">
        <f t="shared" si="47"/>
        <v>4388.8783290831834</v>
      </c>
      <c r="V36" s="268">
        <f t="shared" si="47"/>
        <v>4506.0546336809675</v>
      </c>
      <c r="W36" s="268">
        <f t="shared" si="47"/>
        <v>4602.5445127153607</v>
      </c>
      <c r="X36" s="268">
        <f t="shared" si="47"/>
        <v>4729.082464129765</v>
      </c>
      <c r="Y36" s="268">
        <f t="shared" si="47"/>
        <v>4841.7040656584613</v>
      </c>
      <c r="Z36" s="268">
        <f t="shared" si="47"/>
        <v>4938.8736344321997</v>
      </c>
      <c r="AA36" s="268">
        <f t="shared" si="47"/>
        <v>5019.1534341441729</v>
      </c>
      <c r="AB36" s="268">
        <f t="shared" si="47"/>
        <v>5081.4297385558439</v>
      </c>
      <c r="AC36" s="268">
        <f t="shared" si="47"/>
        <v>5124.6419163541059</v>
      </c>
      <c r="AD36" s="268">
        <f t="shared" si="47"/>
        <v>5147.9174820866501</v>
      </c>
      <c r="AE36" s="268">
        <f t="shared" si="47"/>
        <v>5150.5983858505851</v>
      </c>
      <c r="AF36" s="269">
        <f t="shared" si="47"/>
        <v>5132.1988686666764</v>
      </c>
      <c r="AG36" s="338"/>
      <c r="AK36" s="11"/>
      <c r="AL36" s="11"/>
      <c r="AM36" s="11"/>
      <c r="AN36" s="11"/>
    </row>
    <row r="37" spans="1:40" ht="15">
      <c r="A37" s="210"/>
      <c r="B37" s="208"/>
      <c r="C37" s="209"/>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936"/>
      <c r="AG37" s="338"/>
      <c r="AH37" s="7"/>
      <c r="AI37" s="7"/>
      <c r="AJ37" s="7"/>
      <c r="AK37" s="11"/>
      <c r="AL37" s="11"/>
      <c r="AM37" s="11"/>
      <c r="AN37" s="11"/>
    </row>
    <row r="38" spans="1:40" ht="15">
      <c r="A38" s="1321" t="s">
        <v>501</v>
      </c>
      <c r="B38" s="202">
        <v>29</v>
      </c>
      <c r="C38" s="204" t="s">
        <v>502</v>
      </c>
      <c r="D38" s="259">
        <v>3672</v>
      </c>
      <c r="E38" s="260">
        <v>3856</v>
      </c>
      <c r="F38" s="262">
        <v>1001</v>
      </c>
      <c r="G38" s="718">
        <f>+F38+(-G10)</f>
        <v>1129.3339640585993</v>
      </c>
      <c r="H38" s="719">
        <f t="shared" ref="H38:AF38" si="48">+G38+(-H10)</f>
        <v>1260.0538394111852</v>
      </c>
      <c r="I38" s="719">
        <f t="shared" si="48"/>
        <v>1394.7314817856875</v>
      </c>
      <c r="J38" s="1008">
        <f t="shared" si="48"/>
        <v>1534.8587123770026</v>
      </c>
      <c r="K38" s="718">
        <f t="shared" si="48"/>
        <v>1678.070515219096</v>
      </c>
      <c r="L38" s="719">
        <f t="shared" si="48"/>
        <v>1825.787868351862</v>
      </c>
      <c r="M38" s="719">
        <f t="shared" si="48"/>
        <v>1979.3330752567974</v>
      </c>
      <c r="N38" s="719">
        <f t="shared" si="48"/>
        <v>2139.9283994581697</v>
      </c>
      <c r="O38" s="719">
        <f t="shared" si="48"/>
        <v>2308.6929408037477</v>
      </c>
      <c r="P38" s="719">
        <f t="shared" si="48"/>
        <v>2486.6380620731111</v>
      </c>
      <c r="Q38" s="719">
        <f t="shared" si="48"/>
        <v>2674.6616950075395</v>
      </c>
      <c r="R38" s="719">
        <f t="shared" si="48"/>
        <v>2873.5569718078004</v>
      </c>
      <c r="S38" s="719">
        <f t="shared" si="48"/>
        <v>3084.0064557440946</v>
      </c>
      <c r="T38" s="719">
        <f t="shared" si="48"/>
        <v>3306.5760993190074</v>
      </c>
      <c r="U38" s="719">
        <f t="shared" si="48"/>
        <v>3541.7092312139316</v>
      </c>
      <c r="V38" s="719">
        <f t="shared" si="48"/>
        <v>3789.7208724382876</v>
      </c>
      <c r="W38" s="719">
        <f t="shared" si="48"/>
        <v>4050.7926754596115</v>
      </c>
      <c r="X38" s="719">
        <f t="shared" si="48"/>
        <v>4325.0304179930536</v>
      </c>
      <c r="Y38" s="719">
        <f t="shared" si="48"/>
        <v>4612.4607907585796</v>
      </c>
      <c r="Z38" s="719">
        <f t="shared" si="48"/>
        <v>4913.0286632515254</v>
      </c>
      <c r="AA38" s="719">
        <f t="shared" si="48"/>
        <v>5226.5949183581342</v>
      </c>
      <c r="AB38" s="719">
        <f t="shared" si="48"/>
        <v>5552.9349384948728</v>
      </c>
      <c r="AC38" s="719">
        <f t="shared" si="48"/>
        <v>5891.7378161612705</v>
      </c>
      <c r="AD38" s="719">
        <f t="shared" si="48"/>
        <v>6242.6063504587792</v>
      </c>
      <c r="AE38" s="719">
        <f t="shared" si="48"/>
        <v>6605.0578783806213</v>
      </c>
      <c r="AF38" s="720">
        <f t="shared" si="48"/>
        <v>6978.5259757051499</v>
      </c>
      <c r="AG38" s="339">
        <f>SUM(G38:AF38)</f>
        <v>91406.430609347532</v>
      </c>
      <c r="AH38" s="7"/>
      <c r="AI38" s="7"/>
      <c r="AJ38" s="7"/>
      <c r="AK38" s="11"/>
      <c r="AL38" s="11"/>
      <c r="AM38" s="11"/>
      <c r="AN38" s="11"/>
    </row>
    <row r="39" spans="1:40" ht="15">
      <c r="A39" s="1320"/>
      <c r="B39" s="202">
        <v>30</v>
      </c>
      <c r="C39" s="204" t="s">
        <v>503</v>
      </c>
      <c r="D39" s="261">
        <v>1236</v>
      </c>
      <c r="E39" s="258">
        <v>1514</v>
      </c>
      <c r="F39" s="263">
        <v>504</v>
      </c>
      <c r="G39" s="927">
        <f>F39-G10</f>
        <v>632.33396405859935</v>
      </c>
      <c r="H39" s="896">
        <f t="shared" ref="H39:AF39" si="49">G39-H10</f>
        <v>763.05383941118521</v>
      </c>
      <c r="I39" s="896">
        <f t="shared" si="49"/>
        <v>897.73148178568761</v>
      </c>
      <c r="J39" s="1009">
        <f t="shared" si="49"/>
        <v>1037.8587123770026</v>
      </c>
      <c r="K39" s="927">
        <f t="shared" si="49"/>
        <v>1181.070515219096</v>
      </c>
      <c r="L39" s="896">
        <f t="shared" si="49"/>
        <v>1328.787868351862</v>
      </c>
      <c r="M39" s="896">
        <f t="shared" si="49"/>
        <v>1482.3330752567974</v>
      </c>
      <c r="N39" s="896">
        <f t="shared" si="49"/>
        <v>1642.9283994581697</v>
      </c>
      <c r="O39" s="896">
        <f t="shared" si="49"/>
        <v>1811.6929408037477</v>
      </c>
      <c r="P39" s="896">
        <f t="shared" si="49"/>
        <v>1989.6380620731111</v>
      </c>
      <c r="Q39" s="896">
        <f t="shared" si="49"/>
        <v>2177.6616950075395</v>
      </c>
      <c r="R39" s="896">
        <f t="shared" si="49"/>
        <v>2376.5569718078004</v>
      </c>
      <c r="S39" s="896">
        <f t="shared" si="49"/>
        <v>2587.0064557440946</v>
      </c>
      <c r="T39" s="896">
        <f t="shared" si="49"/>
        <v>2809.5760993190074</v>
      </c>
      <c r="U39" s="896">
        <f t="shared" si="49"/>
        <v>3044.7092312139316</v>
      </c>
      <c r="V39" s="896">
        <f t="shared" si="49"/>
        <v>3292.7208724382876</v>
      </c>
      <c r="W39" s="896">
        <f t="shared" si="49"/>
        <v>3553.7926754596115</v>
      </c>
      <c r="X39" s="896">
        <f t="shared" si="49"/>
        <v>3828.030417993054</v>
      </c>
      <c r="Y39" s="896">
        <f t="shared" si="49"/>
        <v>4115.4607907585796</v>
      </c>
      <c r="Z39" s="896">
        <f t="shared" si="49"/>
        <v>4416.0286632515254</v>
      </c>
      <c r="AA39" s="896">
        <f t="shared" si="49"/>
        <v>4729.5949183581342</v>
      </c>
      <c r="AB39" s="896">
        <f t="shared" si="49"/>
        <v>5055.9349384948728</v>
      </c>
      <c r="AC39" s="896">
        <f t="shared" si="49"/>
        <v>5394.7378161612705</v>
      </c>
      <c r="AD39" s="896">
        <f t="shared" si="49"/>
        <v>5745.6063504587792</v>
      </c>
      <c r="AE39" s="896">
        <f t="shared" si="49"/>
        <v>6108.0578783806213</v>
      </c>
      <c r="AF39" s="928">
        <f t="shared" si="49"/>
        <v>6481.5259757051499</v>
      </c>
      <c r="AG39" s="339">
        <f>SUM(G39:AF39)</f>
        <v>78484.430609347532</v>
      </c>
      <c r="AH39" s="7"/>
      <c r="AI39" s="7"/>
      <c r="AJ39" s="7"/>
      <c r="AK39" s="11"/>
      <c r="AL39" s="11"/>
      <c r="AM39" s="11"/>
      <c r="AN39" s="11"/>
    </row>
    <row r="40" spans="1:40" ht="15">
      <c r="A40" s="1320"/>
      <c r="B40" s="202">
        <v>31</v>
      </c>
      <c r="C40" s="204" t="s">
        <v>504</v>
      </c>
      <c r="D40" s="261">
        <v>10624</v>
      </c>
      <c r="E40" s="258">
        <v>12330</v>
      </c>
      <c r="F40" s="263">
        <v>13273</v>
      </c>
      <c r="G40" s="927">
        <f>F40+(-G23)</f>
        <v>14323.325919999999</v>
      </c>
      <c r="H40" s="896">
        <f t="shared" ref="H40:AF40" si="50">G40+(-H23)</f>
        <v>15493.914157839999</v>
      </c>
      <c r="I40" s="896">
        <f t="shared" si="50"/>
        <v>16792.09651360456</v>
      </c>
      <c r="J40" s="1009">
        <f t="shared" si="50"/>
        <v>18224.64074319075</v>
      </c>
      <c r="K40" s="927">
        <f t="shared" si="50"/>
        <v>19731.326756574141</v>
      </c>
      <c r="L40" s="896">
        <f t="shared" si="50"/>
        <v>21378.88791220888</v>
      </c>
      <c r="M40" s="896">
        <f t="shared" si="50"/>
        <v>23172.258230117295</v>
      </c>
      <c r="N40" s="896">
        <f t="shared" si="50"/>
        <v>25115.374969571061</v>
      </c>
      <c r="O40" s="896">
        <f t="shared" si="50"/>
        <v>27211.026373071949</v>
      </c>
      <c r="P40" s="896">
        <f t="shared" si="50"/>
        <v>29460.70815473015</v>
      </c>
      <c r="Q40" s="896">
        <f t="shared" si="50"/>
        <v>31864.493138431939</v>
      </c>
      <c r="R40" s="896">
        <f t="shared" si="50"/>
        <v>34422.120361090645</v>
      </c>
      <c r="S40" s="896">
        <f t="shared" si="50"/>
        <v>37131.926403497542</v>
      </c>
      <c r="T40" s="896">
        <f t="shared" si="50"/>
        <v>39990.77177823682</v>
      </c>
      <c r="U40" s="896">
        <f t="shared" si="50"/>
        <v>42993.988844400432</v>
      </c>
      <c r="V40" s="896">
        <f t="shared" si="50"/>
        <v>46135.353895607564</v>
      </c>
      <c r="W40" s="896">
        <f t="shared" si="50"/>
        <v>49407.085596439792</v>
      </c>
      <c r="X40" s="896">
        <f t="shared" si="50"/>
        <v>52804.778967754064</v>
      </c>
      <c r="Y40" s="896">
        <f t="shared" si="50"/>
        <v>56323.090453749988</v>
      </c>
      <c r="Z40" s="896">
        <f t="shared" si="50"/>
        <v>59955.747063040784</v>
      </c>
      <c r="AA40" s="896">
        <f t="shared" si="50"/>
        <v>63695.567042305658</v>
      </c>
      <c r="AB40" s="896">
        <f t="shared" si="50"/>
        <v>67534.492251021045</v>
      </c>
      <c r="AC40" s="896">
        <f t="shared" si="50"/>
        <v>71463.632202141249</v>
      </c>
      <c r="AD40" s="896">
        <f t="shared" si="50"/>
        <v>75473.319522259422</v>
      </c>
      <c r="AE40" s="896">
        <f t="shared" si="50"/>
        <v>79553.176370479661</v>
      </c>
      <c r="AF40" s="928">
        <f t="shared" si="50"/>
        <v>83692.191142999087</v>
      </c>
      <c r="AG40" s="339">
        <f>SUM(G40:AF40)</f>
        <v>1103345.2947643644</v>
      </c>
      <c r="AH40" s="7"/>
      <c r="AI40" s="7"/>
      <c r="AJ40" s="7"/>
      <c r="AK40" s="11"/>
      <c r="AL40" s="11"/>
      <c r="AM40" s="11"/>
      <c r="AN40" s="11"/>
    </row>
    <row r="41" spans="1:40" ht="15">
      <c r="A41" s="1322"/>
      <c r="B41" s="203">
        <v>32</v>
      </c>
      <c r="C41" s="199" t="s">
        <v>505</v>
      </c>
      <c r="D41" s="406">
        <v>4702</v>
      </c>
      <c r="E41" s="407">
        <v>5740</v>
      </c>
      <c r="F41" s="408">
        <v>6365</v>
      </c>
      <c r="G41" s="1005">
        <f>F41-G9</f>
        <v>7828.4058622089888</v>
      </c>
      <c r="H41" s="1006">
        <f t="shared" ref="H41:AF41" si="51">G41-H9</f>
        <v>9247.6441796231593</v>
      </c>
      <c r="I41" s="1006">
        <f t="shared" si="51"/>
        <v>10638.241903842878</v>
      </c>
      <c r="J41" s="1010">
        <f t="shared" si="51"/>
        <v>12014.764929820889</v>
      </c>
      <c r="K41" s="1005">
        <f t="shared" si="51"/>
        <v>13387.568174930815</v>
      </c>
      <c r="L41" s="1006">
        <f t="shared" si="51"/>
        <v>14769.528971802471</v>
      </c>
      <c r="M41" s="1006">
        <f t="shared" si="51"/>
        <v>16172.676611020906</v>
      </c>
      <c r="N41" s="1006">
        <f t="shared" si="51"/>
        <v>17608.188549345745</v>
      </c>
      <c r="O41" s="1006">
        <f t="shared" si="51"/>
        <v>19086.373480461541</v>
      </c>
      <c r="P41" s="1006">
        <f t="shared" si="51"/>
        <v>20616.643356548375</v>
      </c>
      <c r="Q41" s="1006">
        <f t="shared" si="51"/>
        <v>22207.476631484151</v>
      </c>
      <c r="R41" s="1006">
        <f t="shared" si="51"/>
        <v>23866.481857355808</v>
      </c>
      <c r="S41" s="1006">
        <f t="shared" si="51"/>
        <v>25600.360061190695</v>
      </c>
      <c r="T41" s="1006">
        <f t="shared" si="51"/>
        <v>27414.864344359026</v>
      </c>
      <c r="U41" s="1006">
        <f t="shared" si="51"/>
        <v>29314.758893005015</v>
      </c>
      <c r="V41" s="1006">
        <f t="shared" si="51"/>
        <v>31303.779604251937</v>
      </c>
      <c r="W41" s="1006">
        <f t="shared" si="51"/>
        <v>33384.598505830487</v>
      </c>
      <c r="X41" s="1006">
        <f t="shared" si="51"/>
        <v>35559.229731400817</v>
      </c>
      <c r="Y41" s="1006">
        <f t="shared" si="51"/>
        <v>37829.011904016137</v>
      </c>
      <c r="Z41" s="1006">
        <f t="shared" si="51"/>
        <v>40194.593090409573</v>
      </c>
      <c r="AA41" s="1006">
        <f t="shared" si="51"/>
        <v>42655.919093134922</v>
      </c>
      <c r="AB41" s="1006">
        <f t="shared" si="51"/>
        <v>45212.225785947106</v>
      </c>
      <c r="AC41" s="1006">
        <f t="shared" si="51"/>
        <v>47862.036124243416</v>
      </c>
      <c r="AD41" s="1006">
        <f t="shared" si="51"/>
        <v>50603.162377407549</v>
      </c>
      <c r="AE41" s="1006">
        <f t="shared" si="51"/>
        <v>53432.714034382225</v>
      </c>
      <c r="AF41" s="1007">
        <f t="shared" si="51"/>
        <v>56347.111728978583</v>
      </c>
      <c r="AG41" s="339">
        <f>SUM(G41:AF41)</f>
        <v>744158.35978700325</v>
      </c>
      <c r="AH41" s="7"/>
      <c r="AI41" s="7"/>
      <c r="AJ41" s="7"/>
      <c r="AK41" s="11"/>
      <c r="AL41" s="11"/>
      <c r="AM41" s="11"/>
      <c r="AN41" s="11"/>
    </row>
    <row r="42" spans="1:40" s="7" customFormat="1" ht="15">
      <c r="A42" s="1311"/>
      <c r="B42" s="1312"/>
      <c r="C42" s="1312"/>
      <c r="D42" s="1312"/>
      <c r="E42" s="1312"/>
      <c r="F42" s="1312"/>
      <c r="G42" s="1313"/>
      <c r="H42" s="1313"/>
      <c r="I42" s="1313"/>
      <c r="J42" s="1313"/>
      <c r="K42" s="1314"/>
      <c r="L42" s="1314"/>
      <c r="M42" s="1314"/>
      <c r="N42" s="1314"/>
      <c r="O42" s="1314"/>
      <c r="P42" s="1314"/>
      <c r="Q42" s="1314"/>
      <c r="R42" s="1314"/>
      <c r="S42" s="1314"/>
      <c r="T42" s="1314"/>
      <c r="U42" s="1314"/>
      <c r="V42" s="1314"/>
      <c r="W42" s="1314"/>
      <c r="X42" s="1314"/>
      <c r="Y42" s="1314"/>
      <c r="Z42" s="1314"/>
      <c r="AA42" s="1314"/>
      <c r="AB42" s="1314"/>
      <c r="AC42" s="1314"/>
      <c r="AD42" s="1314"/>
      <c r="AE42" s="1314"/>
      <c r="AF42" s="1315"/>
      <c r="AG42" s="339">
        <f t="shared" ref="AG42:AG45" si="52">SUM(G42:AF42)</f>
        <v>0</v>
      </c>
      <c r="AK42" s="11"/>
      <c r="AL42" s="11"/>
      <c r="AM42" s="11"/>
      <c r="AN42" s="11"/>
    </row>
    <row r="43" spans="1:40" ht="15" customHeight="1">
      <c r="A43" s="1303" t="s">
        <v>506</v>
      </c>
      <c r="B43" s="200">
        <v>33</v>
      </c>
      <c r="C43" s="204" t="s">
        <v>507</v>
      </c>
      <c r="D43" s="401">
        <f>'Fin. Data'!D39</f>
        <v>13427</v>
      </c>
      <c r="E43" s="257">
        <f>E36+D43</f>
        <v>14020</v>
      </c>
      <c r="F43" s="922">
        <f>F36+E43</f>
        <v>14120</v>
      </c>
      <c r="G43" s="1011">
        <f>G36+F43</f>
        <v>14288.589273947589</v>
      </c>
      <c r="H43" s="1012">
        <f t="shared" ref="H43:AF43" si="53">H36+G43</f>
        <v>17178.388860477251</v>
      </c>
      <c r="I43" s="1012">
        <f t="shared" si="53"/>
        <v>20340.439475138392</v>
      </c>
      <c r="J43" s="1013">
        <f t="shared" si="53"/>
        <v>24011.862693650401</v>
      </c>
      <c r="K43" s="1014">
        <f t="shared" si="53"/>
        <v>28938.86903891986</v>
      </c>
      <c r="L43" s="935">
        <f t="shared" si="53"/>
        <v>32380.199458464213</v>
      </c>
      <c r="M43" s="935">
        <f t="shared" si="53"/>
        <v>35923.071176905905</v>
      </c>
      <c r="N43" s="935">
        <f t="shared" si="53"/>
        <v>39506.781251941604</v>
      </c>
      <c r="O43" s="935">
        <f t="shared" si="53"/>
        <v>43289.914472721248</v>
      </c>
      <c r="P43" s="935">
        <f t="shared" si="53"/>
        <v>47269.004203523145</v>
      </c>
      <c r="Q43" s="935">
        <f t="shared" si="53"/>
        <v>51174.225072484718</v>
      </c>
      <c r="R43" s="935">
        <f t="shared" si="53"/>
        <v>55259.111539672427</v>
      </c>
      <c r="S43" s="935">
        <f t="shared" si="53"/>
        <v>59514.261429763319</v>
      </c>
      <c r="T43" s="935">
        <f t="shared" si="53"/>
        <v>63927.538555661602</v>
      </c>
      <c r="U43" s="935">
        <f t="shared" si="53"/>
        <v>68316.416884744787</v>
      </c>
      <c r="V43" s="935">
        <f t="shared" si="53"/>
        <v>72822.471518425751</v>
      </c>
      <c r="W43" s="935">
        <f t="shared" si="53"/>
        <v>77425.016031141116</v>
      </c>
      <c r="X43" s="935">
        <f t="shared" si="53"/>
        <v>82154.098495270882</v>
      </c>
      <c r="Y43" s="935">
        <f t="shared" si="53"/>
        <v>86995.80256092934</v>
      </c>
      <c r="Z43" s="935">
        <f t="shared" si="53"/>
        <v>91934.676195361535</v>
      </c>
      <c r="AA43" s="935">
        <f t="shared" si="53"/>
        <v>96953.829629505708</v>
      </c>
      <c r="AB43" s="935">
        <f t="shared" si="53"/>
        <v>102035.25936806155</v>
      </c>
      <c r="AC43" s="935">
        <f t="shared" si="53"/>
        <v>107159.90128441565</v>
      </c>
      <c r="AD43" s="935">
        <f t="shared" si="53"/>
        <v>112307.8187665023</v>
      </c>
      <c r="AE43" s="935">
        <f t="shared" si="53"/>
        <v>117458.41715235288</v>
      </c>
      <c r="AF43" s="937">
        <f t="shared" si="53"/>
        <v>122590.61602101955</v>
      </c>
      <c r="AG43" s="339">
        <f t="shared" si="52"/>
        <v>1671156.5804110027</v>
      </c>
      <c r="AH43" s="7"/>
      <c r="AI43" s="7"/>
      <c r="AJ43" s="7"/>
      <c r="AK43" s="11"/>
      <c r="AL43" s="11"/>
      <c r="AM43" s="11"/>
      <c r="AN43" s="11"/>
    </row>
    <row r="44" spans="1:40" ht="15">
      <c r="A44" s="1304"/>
      <c r="B44" s="200">
        <v>34</v>
      </c>
      <c r="C44" s="204" t="s">
        <v>333</v>
      </c>
      <c r="D44" s="401">
        <f>'Fin. Data'!D58</f>
        <v>13551</v>
      </c>
      <c r="E44" s="256">
        <f>'Fin. Data'!C58</f>
        <v>15006</v>
      </c>
      <c r="F44" s="923">
        <f>'Fin. Data'!B58</f>
        <v>15671</v>
      </c>
      <c r="G44" s="866">
        <f>G6*$D$62</f>
        <v>14525.784000000001</v>
      </c>
      <c r="H44" s="867">
        <f>H6*$D$62</f>
        <v>16188.986268000002</v>
      </c>
      <c r="I44" s="867">
        <f>I6*$D$62</f>
        <v>17953.585771212001</v>
      </c>
      <c r="J44" s="883">
        <f>J6*$D$62</f>
        <v>19811.781898532445</v>
      </c>
      <c r="K44" s="882">
        <f t="shared" ref="K44:AF44" si="54">K6*$E$62</f>
        <v>23437.337985963881</v>
      </c>
      <c r="L44" s="867">
        <f t="shared" si="54"/>
        <v>25628.7290876515</v>
      </c>
      <c r="M44" s="867">
        <f t="shared" si="54"/>
        <v>27896.871611908657</v>
      </c>
      <c r="N44" s="867">
        <f t="shared" si="54"/>
        <v>30226.260391503027</v>
      </c>
      <c r="O44" s="867">
        <f t="shared" si="54"/>
        <v>32599.02183223602</v>
      </c>
      <c r="P44" s="867">
        <f t="shared" si="54"/>
        <v>34995.049936905358</v>
      </c>
      <c r="Q44" s="867">
        <f t="shared" si="54"/>
        <v>37392.210857583377</v>
      </c>
      <c r="R44" s="867">
        <f t="shared" si="54"/>
        <v>39785.312352468718</v>
      </c>
      <c r="S44" s="867">
        <f t="shared" si="54"/>
        <v>42152.538437440606</v>
      </c>
      <c r="T44" s="867">
        <f t="shared" si="54"/>
        <v>44470.928051499839</v>
      </c>
      <c r="U44" s="867">
        <f t="shared" si="54"/>
        <v>46716.709918100576</v>
      </c>
      <c r="V44" s="867">
        <f t="shared" si="54"/>
        <v>48865.6785743332</v>
      </c>
      <c r="W44" s="867">
        <f t="shared" si="54"/>
        <v>50893.60423516803</v>
      </c>
      <c r="X44" s="867">
        <f t="shared" si="54"/>
        <v>52853.007998221998</v>
      </c>
      <c r="Y44" s="867">
        <f t="shared" si="54"/>
        <v>54729.289782158863</v>
      </c>
      <c r="Z44" s="867">
        <f t="shared" si="54"/>
        <v>56507.991700079023</v>
      </c>
      <c r="AA44" s="867">
        <f t="shared" si="54"/>
        <v>58174.977455231347</v>
      </c>
      <c r="AB44" s="867">
        <f t="shared" si="54"/>
        <v>59716.614357794977</v>
      </c>
      <c r="AC44" s="867">
        <f t="shared" si="54"/>
        <v>61119.95479520315</v>
      </c>
      <c r="AD44" s="867">
        <f t="shared" si="54"/>
        <v>62372.913868504809</v>
      </c>
      <c r="AE44" s="867">
        <f t="shared" si="54"/>
        <v>63464.439861203631</v>
      </c>
      <c r="AF44" s="883">
        <f t="shared" si="54"/>
        <v>64384.674239191088</v>
      </c>
      <c r="AG44" s="339">
        <f t="shared" si="52"/>
        <v>1086864.2552680962</v>
      </c>
      <c r="AH44" s="11"/>
      <c r="AI44" s="11"/>
      <c r="AJ44" s="11"/>
      <c r="AK44" s="11"/>
      <c r="AL44" s="11"/>
      <c r="AM44" s="11"/>
      <c r="AN44" s="11"/>
    </row>
    <row r="45" spans="1:40" ht="15">
      <c r="A45" s="1304"/>
      <c r="B45" s="200">
        <v>35</v>
      </c>
      <c r="C45" s="204" t="s">
        <v>508</v>
      </c>
      <c r="D45" s="402"/>
      <c r="E45" s="305"/>
      <c r="F45" s="924">
        <f>1/((1+$F$50)^G50)</f>
        <v>1</v>
      </c>
      <c r="G45" s="929">
        <f t="shared" ref="G45:AF45" si="55">1/((1+$F$50)^G49)</f>
        <v>0.91380435122546233</v>
      </c>
      <c r="H45" s="930">
        <f t="shared" si="55"/>
        <v>0.83503839231858801</v>
      </c>
      <c r="I45" s="930">
        <f t="shared" si="55"/>
        <v>0.76306171634104047</v>
      </c>
      <c r="J45" s="931">
        <f t="shared" si="55"/>
        <v>0.69728911664601212</v>
      </c>
      <c r="K45" s="1015">
        <f t="shared" si="55"/>
        <v>0.6371858288532849</v>
      </c>
      <c r="L45" s="930">
        <f t="shared" si="55"/>
        <v>0.58226318294533441</v>
      </c>
      <c r="M45" s="930">
        <f t="shared" si="55"/>
        <v>0.53207463013383405</v>
      </c>
      <c r="N45" s="930">
        <f t="shared" si="55"/>
        <v>0.48621211219297589</v>
      </c>
      <c r="O45" s="930">
        <f t="shared" si="55"/>
        <v>0.44430274374046402</v>
      </c>
      <c r="P45" s="930">
        <f t="shared" si="55"/>
        <v>0.40600578049144753</v>
      </c>
      <c r="Q45" s="930">
        <f t="shared" si="55"/>
        <v>0.3710098488357747</v>
      </c>
      <c r="R45" s="930">
        <f t="shared" si="55"/>
        <v>0.33903041421363189</v>
      </c>
      <c r="S45" s="930">
        <f t="shared" si="55"/>
        <v>0.30980746770618767</v>
      </c>
      <c r="T45" s="930">
        <f t="shared" si="55"/>
        <v>0.28310341203205619</v>
      </c>
      <c r="U45" s="930">
        <f t="shared" si="55"/>
        <v>0.25870112976166781</v>
      </c>
      <c r="V45" s="930">
        <f t="shared" si="55"/>
        <v>0.23640221804315495</v>
      </c>
      <c r="W45" s="930">
        <f t="shared" si="55"/>
        <v>0.21602537548718551</v>
      </c>
      <c r="X45" s="930">
        <f t="shared" si="55"/>
        <v>0.19740492809530444</v>
      </c>
      <c r="Y45" s="930">
        <f t="shared" si="55"/>
        <v>0.18038948224683871</v>
      </c>
      <c r="Z45" s="930">
        <f t="shared" si="55"/>
        <v>0.16484069379246949</v>
      </c>
      <c r="AA45" s="930">
        <f t="shared" si="55"/>
        <v>0.15063214324658267</v>
      </c>
      <c r="AB45" s="930">
        <f t="shared" si="55"/>
        <v>0.13764830793314436</v>
      </c>
      <c r="AC45" s="930">
        <f t="shared" si="55"/>
        <v>0.12578362272812965</v>
      </c>
      <c r="AD45" s="930">
        <f t="shared" si="55"/>
        <v>0.1149416217618668</v>
      </c>
      <c r="AE45" s="930">
        <f t="shared" si="55"/>
        <v>0.10503415410290516</v>
      </c>
      <c r="AF45" s="931">
        <f t="shared" si="55"/>
        <v>9.5980667046520488E-2</v>
      </c>
      <c r="AG45" s="339">
        <f t="shared" si="52"/>
        <v>9.58397334192186</v>
      </c>
      <c r="AH45" s="11"/>
      <c r="AI45" s="11"/>
      <c r="AJ45" s="11"/>
      <c r="AK45" s="11"/>
      <c r="AL45" s="11"/>
      <c r="AM45" s="11"/>
      <c r="AN45" s="11"/>
    </row>
    <row r="46" spans="1:40" ht="15">
      <c r="A46" s="1304"/>
      <c r="B46" s="200">
        <v>36</v>
      </c>
      <c r="C46" s="204" t="s">
        <v>509</v>
      </c>
      <c r="D46" s="403"/>
      <c r="E46" s="404" t="s">
        <v>510</v>
      </c>
      <c r="F46" s="925">
        <f>1/((1+$F$50+0.001)^G50)</f>
        <v>1</v>
      </c>
      <c r="G46" s="929">
        <f>1/((1+$F$50+0.001)^G49)</f>
        <v>0.91297007519820761</v>
      </c>
      <c r="H46" s="930">
        <f t="shared" ref="H46:AF46" si="56">1/((1+$F$50+0.001)^H49)</f>
        <v>0.83351435820742092</v>
      </c>
      <c r="I46" s="930">
        <f t="shared" si="56"/>
        <v>0.76097366629141483</v>
      </c>
      <c r="J46" s="931">
        <f t="shared" si="56"/>
        <v>0.69474618533792876</v>
      </c>
      <c r="K46" s="1015">
        <f t="shared" si="56"/>
        <v>0.63428247707163676</v>
      </c>
      <c r="L46" s="930">
        <f t="shared" si="56"/>
        <v>0.57908092078899753</v>
      </c>
      <c r="M46" s="930">
        <f t="shared" si="56"/>
        <v>0.5286835517985784</v>
      </c>
      <c r="N46" s="930">
        <f t="shared" si="56"/>
        <v>0.48267226204160363</v>
      </c>
      <c r="O46" s="930">
        <f t="shared" si="56"/>
        <v>0.44066533137221187</v>
      </c>
      <c r="P46" s="930">
        <f t="shared" si="56"/>
        <v>0.40231426072013132</v>
      </c>
      <c r="Q46" s="930">
        <f t="shared" si="56"/>
        <v>0.36730088086296964</v>
      </c>
      <c r="R46" s="930">
        <f t="shared" si="56"/>
        <v>0.3353347128218333</v>
      </c>
      <c r="S46" s="930">
        <f t="shared" si="56"/>
        <v>0.30615055798151852</v>
      </c>
      <c r="T46" s="930">
        <f t="shared" si="56"/>
        <v>0.27950629794236015</v>
      </c>
      <c r="U46" s="930">
        <f t="shared" si="56"/>
        <v>0.25518088585080917</v>
      </c>
      <c r="V46" s="930">
        <f t="shared" si="56"/>
        <v>0.2329725125443585</v>
      </c>
      <c r="W46" s="930">
        <f t="shared" si="56"/>
        <v>0.21269693229673836</v>
      </c>
      <c r="X46" s="930">
        <f t="shared" si="56"/>
        <v>0.19418593427338129</v>
      </c>
      <c r="Y46" s="930">
        <f t="shared" si="56"/>
        <v>0.17728594701600311</v>
      </c>
      <c r="Z46" s="930">
        <f t="shared" si="56"/>
        <v>0.16185676437878582</v>
      </c>
      <c r="AA46" s="930">
        <f t="shared" si="56"/>
        <v>0.14777038234623868</v>
      </c>
      <c r="AB46" s="930">
        <f t="shared" si="56"/>
        <v>0.1349099370827134</v>
      </c>
      <c r="AC46" s="930">
        <f t="shared" si="56"/>
        <v>0.12316873540339034</v>
      </c>
      <c r="AD46" s="930">
        <f t="shared" si="56"/>
        <v>0.11244936962330139</v>
      </c>
      <c r="AE46" s="930">
        <f t="shared" si="56"/>
        <v>0.10266290944097653</v>
      </c>
      <c r="AF46" s="931">
        <f t="shared" si="56"/>
        <v>9.3728164152395113E-2</v>
      </c>
      <c r="AG46" s="354"/>
      <c r="AH46" s="11"/>
      <c r="AI46" s="11"/>
      <c r="AJ46" s="11"/>
      <c r="AK46" s="11"/>
      <c r="AL46" s="11"/>
      <c r="AM46" s="11"/>
      <c r="AN46" s="11"/>
    </row>
    <row r="47" spans="1:40" ht="15">
      <c r="A47" s="1305"/>
      <c r="B47" s="201">
        <v>37</v>
      </c>
      <c r="C47" s="199" t="s">
        <v>511</v>
      </c>
      <c r="D47" s="403"/>
      <c r="E47" s="404" t="s">
        <v>512</v>
      </c>
      <c r="F47" s="926">
        <f>1/((1+$F$50+0.005)^G50)</f>
        <v>1</v>
      </c>
      <c r="G47" s="932">
        <f t="shared" ref="G47:AF47" si="57">1/((1+$F$50+0.005)^G49)</f>
        <v>0.90964814904206825</v>
      </c>
      <c r="H47" s="933">
        <f t="shared" si="57"/>
        <v>0.82745975505566083</v>
      </c>
      <c r="I47" s="933">
        <f t="shared" si="57"/>
        <v>0.75269723459318505</v>
      </c>
      <c r="J47" s="934">
        <f t="shared" si="57"/>
        <v>0.6846896462367742</v>
      </c>
      <c r="K47" s="1016">
        <f t="shared" si="57"/>
        <v>0.62282666936755016</v>
      </c>
      <c r="L47" s="933">
        <f t="shared" si="57"/>
        <v>0.56655312696422822</v>
      </c>
      <c r="M47" s="933">
        <f t="shared" si="57"/>
        <v>0.51536400327700616</v>
      </c>
      <c r="N47" s="933">
        <f t="shared" si="57"/>
        <v>0.46879991166383905</v>
      </c>
      <c r="O47" s="933">
        <f t="shared" si="57"/>
        <v>0.42644297191609631</v>
      </c>
      <c r="P47" s="933">
        <f t="shared" si="57"/>
        <v>0.38791306007547571</v>
      </c>
      <c r="Q47" s="933">
        <f t="shared" si="57"/>
        <v>0.35286439708690109</v>
      </c>
      <c r="R47" s="933">
        <f t="shared" si="57"/>
        <v>0.32098244567294498</v>
      </c>
      <c r="S47" s="933">
        <f t="shared" si="57"/>
        <v>0.29198108758139063</v>
      </c>
      <c r="T47" s="933">
        <f t="shared" si="57"/>
        <v>0.265600055873702</v>
      </c>
      <c r="U47" s="933">
        <f t="shared" si="57"/>
        <v>0.2416025992109829</v>
      </c>
      <c r="V47" s="933">
        <f t="shared" si="57"/>
        <v>0.21977335717602328</v>
      </c>
      <c r="W47" s="933">
        <f t="shared" si="57"/>
        <v>0.19991642756393091</v>
      </c>
      <c r="X47" s="933">
        <f t="shared" si="57"/>
        <v>0.18185360829663247</v>
      </c>
      <c r="Y47" s="933">
        <f t="shared" si="57"/>
        <v>0.16542279818365305</v>
      </c>
      <c r="Z47" s="933">
        <f t="shared" si="57"/>
        <v>0.15047654217711959</v>
      </c>
      <c r="AA47" s="933">
        <f t="shared" si="57"/>
        <v>0.13688070806566757</v>
      </c>
      <c r="AB47" s="933">
        <f t="shared" si="57"/>
        <v>0.12451328273150218</v>
      </c>
      <c r="AC47" s="933">
        <f t="shared" si="57"/>
        <v>0.11326327716786269</v>
      </c>
      <c r="AD47" s="933">
        <f t="shared" si="57"/>
        <v>0.10302973043018505</v>
      </c>
      <c r="AE47" s="933">
        <f t="shared" si="57"/>
        <v>9.3720803582121093E-2</v>
      </c>
      <c r="AF47" s="934">
        <f t="shared" si="57"/>
        <v>8.5252955505211697E-2</v>
      </c>
      <c r="AG47" s="354"/>
      <c r="AH47" s="11"/>
      <c r="AI47" s="11"/>
      <c r="AJ47" s="11"/>
      <c r="AK47" s="11"/>
      <c r="AL47" s="11"/>
      <c r="AM47" s="11"/>
      <c r="AN47" s="11"/>
    </row>
    <row r="48" spans="1:40" ht="15">
      <c r="A48" s="1316" t="s">
        <v>481</v>
      </c>
      <c r="B48" s="1317"/>
      <c r="C48" s="1317"/>
      <c r="D48" s="1317"/>
      <c r="E48" s="1317"/>
      <c r="F48" s="1317"/>
      <c r="G48" s="1318"/>
      <c r="H48" s="1318"/>
      <c r="I48" s="1318"/>
      <c r="J48" s="1318"/>
      <c r="K48" s="1318"/>
      <c r="L48" s="1318"/>
      <c r="M48" s="1318"/>
      <c r="N48" s="1318"/>
      <c r="O48" s="1318"/>
      <c r="P48" s="1318"/>
      <c r="Q48" s="1318"/>
      <c r="R48" s="1318"/>
      <c r="S48" s="1318"/>
      <c r="T48" s="1318"/>
      <c r="U48" s="1318"/>
      <c r="V48" s="1318"/>
      <c r="W48" s="1318"/>
      <c r="X48" s="1318"/>
      <c r="Y48" s="1318"/>
      <c r="Z48" s="1318"/>
      <c r="AA48" s="1318"/>
      <c r="AB48" s="1318"/>
      <c r="AC48" s="1318"/>
      <c r="AD48" s="1318"/>
      <c r="AE48" s="1318"/>
      <c r="AF48" s="1319"/>
      <c r="AG48" s="354"/>
      <c r="AH48" s="11"/>
      <c r="AI48" s="11"/>
      <c r="AJ48" s="356"/>
      <c r="AK48" s="11"/>
      <c r="AL48" s="11"/>
      <c r="AM48" s="11"/>
      <c r="AN48" s="11"/>
    </row>
    <row r="49" spans="1:40" ht="15">
      <c r="A49" s="1323" t="s">
        <v>513</v>
      </c>
      <c r="C49" s="216" t="s">
        <v>514</v>
      </c>
      <c r="D49" s="205" t="s">
        <v>515</v>
      </c>
      <c r="E49" s="206" t="s">
        <v>516</v>
      </c>
      <c r="F49" s="217" t="s">
        <v>517</v>
      </c>
      <c r="G49" s="253">
        <v>1</v>
      </c>
      <c r="H49" s="254">
        <v>2</v>
      </c>
      <c r="I49" s="254">
        <v>3</v>
      </c>
      <c r="J49" s="253">
        <v>4</v>
      </c>
      <c r="K49" s="254">
        <v>5</v>
      </c>
      <c r="L49" s="254">
        <v>6</v>
      </c>
      <c r="M49" s="253">
        <v>7</v>
      </c>
      <c r="N49" s="254">
        <v>8</v>
      </c>
      <c r="O49" s="254">
        <v>9</v>
      </c>
      <c r="P49" s="253">
        <v>10</v>
      </c>
      <c r="Q49" s="254">
        <v>11</v>
      </c>
      <c r="R49" s="254">
        <v>12</v>
      </c>
      <c r="S49" s="253">
        <v>13</v>
      </c>
      <c r="T49" s="254">
        <v>14</v>
      </c>
      <c r="U49" s="254">
        <v>15</v>
      </c>
      <c r="V49" s="253">
        <v>16</v>
      </c>
      <c r="W49" s="254">
        <v>17</v>
      </c>
      <c r="X49" s="254">
        <v>18</v>
      </c>
      <c r="Y49" s="253">
        <v>19</v>
      </c>
      <c r="Z49" s="254">
        <v>20</v>
      </c>
      <c r="AA49" s="254">
        <v>21</v>
      </c>
      <c r="AB49" s="253">
        <v>22</v>
      </c>
      <c r="AC49" s="254">
        <v>23</v>
      </c>
      <c r="AD49" s="254">
        <v>24</v>
      </c>
      <c r="AE49" s="253">
        <v>25</v>
      </c>
      <c r="AF49" s="254">
        <v>26</v>
      </c>
      <c r="AG49" s="354"/>
      <c r="AH49" s="11"/>
      <c r="AI49" s="11"/>
      <c r="AJ49" s="11"/>
      <c r="AK49" s="11"/>
      <c r="AL49" s="11"/>
      <c r="AM49" s="11"/>
      <c r="AN49" s="11"/>
    </row>
    <row r="50" spans="1:40" ht="15.75" thickBot="1">
      <c r="A50" s="1324"/>
      <c r="C50" s="212">
        <f>Assumptions!C57</f>
        <v>1.0959999999999999E-2</v>
      </c>
      <c r="D50" s="213">
        <f>Assumptions!F65</f>
        <v>6.8366152703195862E-2</v>
      </c>
      <c r="E50" s="214">
        <v>1.4999999999999999E-2</v>
      </c>
      <c r="F50" s="215">
        <f>E50+D50+C50</f>
        <v>9.4326152703195859E-2</v>
      </c>
      <c r="G50" s="253">
        <v>0</v>
      </c>
      <c r="S50" s="198"/>
      <c r="T50" s="198"/>
      <c r="U50" s="198"/>
      <c r="V50" s="198"/>
      <c r="W50" s="198"/>
      <c r="X50" s="198"/>
      <c r="Y50" s="198"/>
      <c r="Z50" s="198"/>
      <c r="AA50" s="198"/>
      <c r="AB50" s="198"/>
      <c r="AC50" s="198"/>
      <c r="AD50" s="198"/>
      <c r="AE50" s="198"/>
      <c r="AF50" s="198"/>
      <c r="AG50" s="353"/>
      <c r="AH50" s="11"/>
      <c r="AI50" s="11"/>
      <c r="AJ50" s="11"/>
      <c r="AK50" s="11"/>
      <c r="AL50" s="11"/>
      <c r="AM50" s="11"/>
      <c r="AN50" s="11"/>
    </row>
    <row r="51" spans="1:40" ht="15">
      <c r="A51" s="198"/>
      <c r="C51" s="198"/>
      <c r="D51" s="198"/>
      <c r="G51" s="1045"/>
      <c r="H51" s="1045"/>
      <c r="I51" s="1045"/>
      <c r="J51" s="1045"/>
      <c r="K51" s="1045"/>
      <c r="L51" s="1045"/>
      <c r="S51" s="198"/>
      <c r="T51" s="198"/>
      <c r="U51" s="198"/>
      <c r="V51" s="198"/>
      <c r="W51" s="198"/>
      <c r="X51" s="198"/>
      <c r="Y51" s="198"/>
      <c r="Z51" s="198"/>
      <c r="AA51" s="198"/>
      <c r="AB51" s="198"/>
      <c r="AC51" s="198"/>
      <c r="AD51" s="198"/>
      <c r="AE51" s="198"/>
      <c r="AF51" s="198"/>
      <c r="AG51" s="353"/>
      <c r="AH51" s="11"/>
      <c r="AI51" s="11"/>
      <c r="AJ51" s="11"/>
      <c r="AK51" s="11"/>
      <c r="AL51" s="11"/>
      <c r="AM51" s="11"/>
      <c r="AN51" s="11"/>
    </row>
    <row r="52" spans="1:40" ht="15" customHeight="1">
      <c r="A52" s="1321" t="s">
        <v>518</v>
      </c>
      <c r="C52" s="956" t="s">
        <v>481</v>
      </c>
      <c r="D52" s="957" t="s">
        <v>458</v>
      </c>
      <c r="E52" s="957" t="s">
        <v>459</v>
      </c>
      <c r="F52" s="958" t="s">
        <v>519</v>
      </c>
      <c r="G52" s="198"/>
      <c r="J52" s="1325" t="s">
        <v>130</v>
      </c>
      <c r="K52" s="1326"/>
      <c r="L52" s="967"/>
      <c r="M52" s="1035" t="s">
        <v>520</v>
      </c>
      <c r="N52"/>
      <c r="S52" s="198"/>
      <c r="T52" s="198"/>
      <c r="U52" s="198"/>
      <c r="V52" s="198"/>
      <c r="W52" s="198"/>
      <c r="X52" s="198"/>
      <c r="Y52" s="198"/>
      <c r="Z52" s="198"/>
      <c r="AA52" s="198"/>
      <c r="AB52" s="198"/>
      <c r="AC52" s="198"/>
      <c r="AD52" s="198"/>
      <c r="AE52" s="198"/>
      <c r="AF52" s="198"/>
      <c r="AG52" s="353"/>
      <c r="AH52" s="11"/>
      <c r="AI52" s="11"/>
      <c r="AJ52" s="11"/>
      <c r="AK52" s="11"/>
      <c r="AL52" s="11"/>
      <c r="AM52" s="11"/>
      <c r="AN52" s="11"/>
    </row>
    <row r="53" spans="1:40" ht="15" customHeight="1">
      <c r="A53" s="1320"/>
      <c r="C53" s="959" t="s">
        <v>521</v>
      </c>
      <c r="D53" s="303">
        <f>Assumptions!O17</f>
        <v>9.98690860478227E-2</v>
      </c>
      <c r="E53" s="303">
        <f>Assumptions!P17</f>
        <v>9.98690860478227E-2</v>
      </c>
      <c r="F53" s="960" t="s">
        <v>522</v>
      </c>
      <c r="G53" s="337"/>
      <c r="J53" s="1327"/>
      <c r="K53" s="1328"/>
      <c r="L53" s="954" t="s">
        <v>523</v>
      </c>
      <c r="M53" s="1026">
        <f>SUMPRODUCT(G35:AF35,G45:AF45)+((AF43-AF44)*AF45)</f>
        <v>45441.01741043802</v>
      </c>
      <c r="N53" s="969">
        <f>M53/M55</f>
        <v>0.74460459912083155</v>
      </c>
      <c r="S53" s="198"/>
      <c r="T53" s="198"/>
      <c r="U53" s="198"/>
      <c r="V53" s="198"/>
      <c r="W53" s="198"/>
      <c r="X53" s="198"/>
      <c r="Y53" s="198"/>
      <c r="Z53" s="198"/>
      <c r="AA53" s="198"/>
      <c r="AB53" s="198"/>
      <c r="AC53" s="198"/>
      <c r="AD53" s="198"/>
      <c r="AE53" s="198"/>
      <c r="AF53" s="198"/>
      <c r="AG53" s="353"/>
      <c r="AH53" s="11"/>
      <c r="AI53" s="11"/>
      <c r="AJ53" s="11"/>
      <c r="AK53" s="11"/>
      <c r="AL53" s="11"/>
      <c r="AM53" s="11"/>
      <c r="AN53" s="11"/>
    </row>
    <row r="54" spans="1:40" ht="15" customHeight="1">
      <c r="A54" s="1320"/>
      <c r="C54" s="959" t="s">
        <v>524</v>
      </c>
      <c r="D54" s="303">
        <f>Assumptions!O18</f>
        <v>0.11306118839558062</v>
      </c>
      <c r="E54" s="303">
        <f>Assumptions!P18</f>
        <v>0.11306118839558062</v>
      </c>
      <c r="F54" s="960" t="s">
        <v>525</v>
      </c>
      <c r="G54" s="198"/>
      <c r="J54" s="1327"/>
      <c r="K54" s="1328"/>
      <c r="L54" s="954" t="s">
        <v>526</v>
      </c>
      <c r="M54" s="1026">
        <f>(AF34/(F50-AF5))*AF45</f>
        <v>15586.026290461856</v>
      </c>
      <c r="N54" s="969">
        <f>M54/M55</f>
        <v>0.25539540087916845</v>
      </c>
      <c r="S54" s="198"/>
      <c r="T54" s="198"/>
      <c r="U54" s="198"/>
      <c r="V54" s="198"/>
      <c r="W54" s="198"/>
      <c r="X54" s="198"/>
      <c r="Y54" s="198"/>
      <c r="Z54" s="198"/>
      <c r="AA54" s="198"/>
      <c r="AB54" s="198"/>
      <c r="AC54" s="198"/>
      <c r="AD54" s="198"/>
      <c r="AE54" s="198"/>
      <c r="AF54" s="198"/>
      <c r="AG54" s="353"/>
      <c r="AH54" s="11"/>
      <c r="AI54" s="11"/>
      <c r="AJ54" s="11"/>
      <c r="AK54" s="11"/>
      <c r="AL54" s="11"/>
      <c r="AM54" s="11"/>
      <c r="AN54" s="11"/>
    </row>
    <row r="55" spans="1:40" ht="15" customHeight="1">
      <c r="A55" s="1320"/>
      <c r="C55" s="959" t="s">
        <v>527</v>
      </c>
      <c r="D55" s="303">
        <f>Assumptions!O19</f>
        <v>4.7000000000000002E-3</v>
      </c>
      <c r="E55" s="303">
        <f>Assumptions!P19</f>
        <v>5.0000000000000001E-3</v>
      </c>
      <c r="F55" s="960" t="s">
        <v>528</v>
      </c>
      <c r="G55" s="198"/>
      <c r="J55" s="1327"/>
      <c r="K55" s="1328"/>
      <c r="L55" s="954" t="s">
        <v>529</v>
      </c>
      <c r="M55" s="1026">
        <f>M53+M54</f>
        <v>61027.043700899878</v>
      </c>
      <c r="N55" s="255"/>
      <c r="O55" s="198"/>
      <c r="P55" s="198"/>
      <c r="Q55" s="198"/>
      <c r="R55" s="198"/>
      <c r="S55" s="198"/>
      <c r="T55" s="198"/>
      <c r="U55" s="198"/>
      <c r="V55" s="198"/>
      <c r="W55" s="198"/>
      <c r="X55" s="198"/>
      <c r="Y55" s="198"/>
      <c r="Z55" s="198"/>
      <c r="AA55" s="198"/>
      <c r="AB55" s="198"/>
      <c r="AC55" s="198"/>
      <c r="AD55" s="198"/>
      <c r="AE55" s="198"/>
      <c r="AF55" s="198"/>
      <c r="AG55" s="353"/>
      <c r="AH55" s="11"/>
      <c r="AI55" s="11"/>
      <c r="AJ55" s="11"/>
      <c r="AK55" s="11"/>
      <c r="AL55" s="11"/>
      <c r="AM55" s="11"/>
      <c r="AN55" s="11"/>
    </row>
    <row r="56" spans="1:40" ht="15" customHeight="1">
      <c r="A56" s="1320"/>
      <c r="C56" s="959" t="s">
        <v>530</v>
      </c>
      <c r="D56" s="303">
        <f>Assumptions!O20</f>
        <v>0.16500000000000001</v>
      </c>
      <c r="E56" s="303">
        <f>Assumptions!P20</f>
        <v>0.16500000000000001</v>
      </c>
      <c r="F56" s="960" t="s">
        <v>531</v>
      </c>
      <c r="G56" s="198"/>
      <c r="J56" s="1327"/>
      <c r="K56" s="1328"/>
      <c r="L56" s="955" t="s">
        <v>532</v>
      </c>
      <c r="M56" s="1027">
        <f ca="1">OP!C25</f>
        <v>124.263795</v>
      </c>
      <c r="N56"/>
      <c r="O56" s="198"/>
      <c r="P56" s="198"/>
      <c r="Q56" s="198"/>
      <c r="R56" s="198"/>
      <c r="S56" s="198"/>
      <c r="T56" s="198"/>
      <c r="U56" s="198"/>
      <c r="V56" s="198"/>
      <c r="W56" s="198"/>
      <c r="X56" s="198"/>
      <c r="Y56" s="198"/>
      <c r="Z56" s="198"/>
      <c r="AA56" s="198"/>
      <c r="AB56" s="198"/>
      <c r="AC56" s="198"/>
      <c r="AD56" s="198"/>
      <c r="AE56" s="198"/>
      <c r="AF56" s="198"/>
      <c r="AG56" s="353"/>
      <c r="AH56" s="11"/>
      <c r="AI56" s="11"/>
      <c r="AJ56" s="11"/>
      <c r="AK56" s="11"/>
      <c r="AL56" s="11"/>
      <c r="AM56" s="11"/>
      <c r="AN56" s="11"/>
    </row>
    <row r="57" spans="1:40" ht="15" customHeight="1">
      <c r="A57" s="1320"/>
      <c r="C57" s="959" t="s">
        <v>533</v>
      </c>
      <c r="D57" s="303">
        <f>Assumptions!O21</f>
        <v>0.03</v>
      </c>
      <c r="E57" s="303">
        <f>Assumptions!P21</f>
        <v>0.02</v>
      </c>
      <c r="F57" s="960" t="s">
        <v>534</v>
      </c>
      <c r="G57" s="198"/>
      <c r="J57" s="1327"/>
      <c r="K57" s="1328"/>
      <c r="L57" s="955" t="s">
        <v>535</v>
      </c>
      <c r="M57" s="1029">
        <f ca="1">M58/M56-1</f>
        <v>-8.6448742133347634E-2</v>
      </c>
      <c r="N57"/>
      <c r="O57" s="198"/>
      <c r="P57" s="198"/>
      <c r="Q57" s="198"/>
      <c r="R57" s="198"/>
      <c r="S57" s="198"/>
      <c r="T57" s="198"/>
      <c r="U57" s="198"/>
      <c r="V57" s="198"/>
      <c r="W57" s="198"/>
      <c r="X57" s="198"/>
      <c r="Y57" s="198"/>
      <c r="Z57" s="198"/>
      <c r="AA57" s="198"/>
      <c r="AB57" s="198"/>
      <c r="AC57" s="198"/>
      <c r="AD57" s="198"/>
      <c r="AE57" s="198"/>
      <c r="AF57" s="198"/>
      <c r="AG57" s="353"/>
      <c r="AH57" s="11"/>
      <c r="AI57" s="11"/>
      <c r="AJ57" s="11"/>
      <c r="AK57" s="11"/>
      <c r="AL57" s="11"/>
      <c r="AM57" s="11"/>
      <c r="AN57" s="11"/>
    </row>
    <row r="58" spans="1:40" ht="15" customHeight="1">
      <c r="A58" s="1320"/>
      <c r="C58" s="961" t="s">
        <v>536</v>
      </c>
      <c r="D58" s="303">
        <f>Assumptions!O22</f>
        <v>0.01</v>
      </c>
      <c r="E58" s="303">
        <f>Assumptions!P22</f>
        <v>1.4999999999999999E-2</v>
      </c>
      <c r="F58" s="960" t="s">
        <v>537</v>
      </c>
      <c r="G58" s="198"/>
      <c r="J58" s="1329"/>
      <c r="K58" s="1330"/>
      <c r="L58" s="968" t="s">
        <v>538</v>
      </c>
      <c r="M58" s="1028">
        <f ca="1">M55*1000000/OP!C26</f>
        <v>113.52134622953383</v>
      </c>
      <c r="N58"/>
      <c r="O58" s="198"/>
      <c r="P58" s="198"/>
      <c r="Q58" s="198"/>
      <c r="R58" s="198"/>
      <c r="S58" s="198"/>
      <c r="T58" s="198"/>
      <c r="U58" s="198"/>
      <c r="V58" s="198"/>
      <c r="W58" s="198"/>
      <c r="X58" s="198"/>
      <c r="Y58" s="198"/>
      <c r="Z58" s="198"/>
      <c r="AA58" s="198"/>
      <c r="AB58" s="198"/>
      <c r="AC58" s="198"/>
      <c r="AD58" s="198"/>
      <c r="AE58" s="198"/>
      <c r="AF58" s="198"/>
      <c r="AG58" s="353"/>
      <c r="AH58" s="11"/>
      <c r="AI58" s="11"/>
      <c r="AJ58" s="11"/>
      <c r="AK58" s="11"/>
      <c r="AL58" s="11"/>
      <c r="AM58" s="11"/>
      <c r="AN58" s="11"/>
    </row>
    <row r="59" spans="1:40" ht="15" customHeight="1">
      <c r="A59" s="1320"/>
      <c r="C59" s="959" t="s">
        <v>539</v>
      </c>
      <c r="D59" s="953">
        <f>Assumptions!O23</f>
        <v>0.2</v>
      </c>
      <c r="E59" s="303">
        <f>Assumptions!P23</f>
        <v>0.25</v>
      </c>
      <c r="F59" s="960" t="s">
        <v>540</v>
      </c>
      <c r="G59" s="198"/>
      <c r="H59" s="198"/>
      <c r="I59" s="199"/>
      <c r="J59" s="219"/>
      <c r="K59" s="219"/>
      <c r="L59" s="219"/>
      <c r="M59" s="219"/>
      <c r="N59" s="219"/>
      <c r="O59" s="198"/>
      <c r="P59" s="198"/>
      <c r="Q59" s="198"/>
      <c r="R59" s="198"/>
      <c r="S59" s="198"/>
      <c r="T59" s="198"/>
      <c r="U59" s="198"/>
      <c r="V59" s="198"/>
      <c r="W59" s="198"/>
      <c r="X59" s="198"/>
      <c r="Y59" s="198"/>
      <c r="Z59" s="198"/>
      <c r="AA59" s="198"/>
      <c r="AB59" s="198"/>
      <c r="AC59" s="198"/>
      <c r="AD59" s="198"/>
      <c r="AE59" s="198"/>
      <c r="AF59" s="198"/>
      <c r="AG59" s="353"/>
      <c r="AH59" s="11"/>
      <c r="AI59" s="11"/>
      <c r="AJ59" s="11"/>
      <c r="AK59" s="11"/>
      <c r="AL59" s="11"/>
      <c r="AM59" s="11"/>
      <c r="AN59" s="11"/>
    </row>
    <row r="60" spans="1:40" ht="15" customHeight="1">
      <c r="A60" s="1320"/>
      <c r="C60" s="962" t="s">
        <v>541</v>
      </c>
      <c r="D60" s="303">
        <f>Assumptions!O24</f>
        <v>0.02</v>
      </c>
      <c r="E60" s="303">
        <f>Assumptions!P24</f>
        <v>1.4999999999999999E-2</v>
      </c>
      <c r="F60" s="960" t="s">
        <v>542</v>
      </c>
      <c r="G60" s="198"/>
      <c r="H60" s="198"/>
      <c r="I60" s="198"/>
      <c r="J60" s="198"/>
      <c r="K60" s="198"/>
      <c r="L60" s="198"/>
      <c r="M60" s="198"/>
      <c r="N60" s="198"/>
      <c r="O60" s="198"/>
      <c r="P60" s="198"/>
      <c r="Q60" s="198"/>
      <c r="R60" s="198"/>
      <c r="S60" s="198"/>
      <c r="T60" s="198"/>
      <c r="U60" s="198"/>
      <c r="V60" s="198"/>
      <c r="W60" s="198"/>
      <c r="X60" s="198"/>
      <c r="Y60" s="198"/>
      <c r="Z60" s="198"/>
      <c r="AA60" s="198"/>
      <c r="AB60" s="198"/>
      <c r="AC60" s="198"/>
      <c r="AD60" s="198"/>
      <c r="AE60" s="198"/>
      <c r="AF60" s="198"/>
      <c r="AG60" s="353"/>
      <c r="AH60" s="11"/>
      <c r="AI60" s="11"/>
      <c r="AJ60" s="11"/>
      <c r="AK60" s="11"/>
      <c r="AL60" s="11"/>
      <c r="AM60" s="11"/>
      <c r="AN60" s="11"/>
    </row>
    <row r="61" spans="1:40" ht="15" customHeight="1">
      <c r="A61" s="1320"/>
      <c r="C61" s="963" t="s">
        <v>155</v>
      </c>
      <c r="D61" s="303">
        <f>Assumptions!O25</f>
        <v>0.5</v>
      </c>
      <c r="E61" s="303">
        <f>Assumptions!P25</f>
        <v>0.55000000000000004</v>
      </c>
      <c r="F61" s="960" t="s">
        <v>543</v>
      </c>
      <c r="G61" s="198"/>
      <c r="H61" s="198"/>
      <c r="I61" s="198"/>
      <c r="J61" s="198"/>
      <c r="K61" s="198"/>
      <c r="L61" s="198"/>
      <c r="M61" s="198"/>
      <c r="N61" s="198"/>
      <c r="O61" s="198"/>
      <c r="P61" s="198"/>
      <c r="Q61" s="198"/>
      <c r="R61" s="198"/>
      <c r="S61" s="198"/>
      <c r="T61" s="198"/>
      <c r="U61" s="198"/>
      <c r="V61" s="198"/>
      <c r="W61" s="198"/>
      <c r="X61" s="198"/>
      <c r="Y61" s="198"/>
      <c r="Z61" s="198"/>
      <c r="AA61" s="198"/>
      <c r="AB61" s="198"/>
      <c r="AC61" s="198"/>
      <c r="AD61" s="198"/>
      <c r="AE61" s="198"/>
      <c r="AF61" s="198"/>
      <c r="AG61" s="353"/>
      <c r="AH61" s="11"/>
      <c r="AI61" s="11"/>
      <c r="AJ61" s="11"/>
      <c r="AK61" s="11"/>
      <c r="AL61" s="11"/>
      <c r="AM61" s="11"/>
      <c r="AN61" s="11"/>
    </row>
    <row r="62" spans="1:40" ht="15.75" customHeight="1">
      <c r="A62" s="1322"/>
      <c r="C62" s="964" t="s">
        <v>333</v>
      </c>
      <c r="D62" s="965">
        <f>Assumptions!O26</f>
        <v>0.65</v>
      </c>
      <c r="E62" s="965">
        <f>Assumptions!P26</f>
        <v>0.7</v>
      </c>
      <c r="F62" s="966" t="s">
        <v>544</v>
      </c>
      <c r="G62" s="198"/>
      <c r="J62" s="198"/>
      <c r="K62" s="198"/>
      <c r="L62" s="198"/>
      <c r="M62" s="198"/>
      <c r="N62" s="198"/>
      <c r="O62" s="198"/>
      <c r="P62" s="198"/>
      <c r="Q62" s="198"/>
      <c r="R62" s="198"/>
      <c r="S62" s="198"/>
      <c r="T62" s="198"/>
      <c r="U62" s="198"/>
      <c r="V62" s="198"/>
      <c r="W62" s="198"/>
      <c r="X62" s="198"/>
      <c r="Y62" s="198"/>
      <c r="Z62" s="198"/>
      <c r="AA62" s="198"/>
      <c r="AB62" s="198"/>
      <c r="AC62" s="198"/>
      <c r="AD62" s="198"/>
      <c r="AE62" s="198"/>
      <c r="AF62" s="198"/>
      <c r="AG62" s="198"/>
    </row>
    <row r="63" spans="1:40" ht="15.75" customHeight="1">
      <c r="C63" s="198"/>
      <c r="D63" s="590"/>
      <c r="E63" s="198"/>
      <c r="F63" s="198"/>
      <c r="G63" s="198"/>
      <c r="J63" s="198"/>
      <c r="K63" s="198"/>
      <c r="L63" s="198"/>
      <c r="M63" s="198"/>
      <c r="N63" s="198"/>
      <c r="O63" s="198"/>
      <c r="P63" s="198"/>
      <c r="Q63" s="198"/>
      <c r="R63" s="198"/>
      <c r="S63" s="198"/>
      <c r="T63" s="198"/>
      <c r="U63" s="198"/>
      <c r="V63" s="198"/>
      <c r="W63" s="198"/>
      <c r="X63" s="198"/>
      <c r="Y63" s="198"/>
      <c r="Z63" s="198"/>
      <c r="AA63" s="198"/>
      <c r="AB63" s="198"/>
      <c r="AC63" s="198"/>
      <c r="AD63" s="198"/>
      <c r="AE63" s="198"/>
      <c r="AF63" s="198"/>
      <c r="AG63" s="198"/>
    </row>
    <row r="64" spans="1:40" ht="15">
      <c r="A64" s="292"/>
      <c r="C64" s="255"/>
      <c r="D64" s="478"/>
    </row>
    <row r="65" spans="1:12" ht="15">
      <c r="A65" s="1298" t="s">
        <v>545</v>
      </c>
      <c r="C65" s="314" t="s">
        <v>546</v>
      </c>
      <c r="D65" s="477">
        <f ca="1">(SUMPRODUCT(G35:AF35,G45:AF45)+((AF43-AF44)*AF45)+(AF34/(F50+0.001-AF5))*AF45)*1000000/OP!C26</f>
        <v>113.16264018255544</v>
      </c>
      <c r="E65" s="304">
        <f ca="1">D65/M58-1</f>
        <v>-3.1598114265938282E-3</v>
      </c>
    </row>
    <row r="66" spans="1:12" ht="15">
      <c r="A66" s="1299"/>
      <c r="C66" s="314" t="s">
        <v>547</v>
      </c>
      <c r="D66" s="477">
        <f ca="1">(SUMPRODUCT(G35:AF35,G45:AF45)+((AF43-AF44)*AF45)+(AF34/(F50+0.005-AF5))*AF45)*1000000/OP!C26</f>
        <v>111.81239039429281</v>
      </c>
      <c r="E66" s="304">
        <f ca="1">D66/M58-1</f>
        <v>-1.5054048353035032E-2</v>
      </c>
    </row>
    <row r="67" spans="1:12" ht="15">
      <c r="A67" s="312"/>
      <c r="C67" s="313"/>
      <c r="D67" s="478"/>
    </row>
    <row r="68" spans="1:12" ht="15">
      <c r="A68" s="316" t="s">
        <v>548</v>
      </c>
      <c r="J68" s="5"/>
    </row>
    <row r="69" spans="1:12">
      <c r="G69" s="1"/>
      <c r="H69" s="1"/>
      <c r="I69" s="1"/>
      <c r="J69" s="4"/>
    </row>
    <row r="70" spans="1:12">
      <c r="G70" s="1"/>
      <c r="H70" s="1"/>
      <c r="I70" s="1"/>
      <c r="J70" s="4"/>
    </row>
    <row r="71" spans="1:12">
      <c r="G71" s="1"/>
      <c r="H71" s="1"/>
      <c r="I71" s="1"/>
      <c r="K71" s="4"/>
    </row>
    <row r="72" spans="1:12">
      <c r="L72" s="5"/>
    </row>
    <row r="73" spans="1:12">
      <c r="G73" s="1"/>
      <c r="H73" s="1"/>
      <c r="I73" s="1"/>
    </row>
    <row r="74" spans="1:12">
      <c r="G74" s="1"/>
      <c r="H74" s="1"/>
      <c r="I74" s="1"/>
    </row>
    <row r="75" spans="1:12">
      <c r="G75" s="1"/>
      <c r="H75" s="1"/>
      <c r="I75" s="1"/>
    </row>
  </sheetData>
  <mergeCells count="15">
    <mergeCell ref="A33:AF33"/>
    <mergeCell ref="A65:A66"/>
    <mergeCell ref="A1:AF2"/>
    <mergeCell ref="A5:A17"/>
    <mergeCell ref="A19:A32"/>
    <mergeCell ref="A43:A47"/>
    <mergeCell ref="G3:J3"/>
    <mergeCell ref="K3:AF3"/>
    <mergeCell ref="A42:AF42"/>
    <mergeCell ref="A48:AF48"/>
    <mergeCell ref="A34:A36"/>
    <mergeCell ref="A38:A41"/>
    <mergeCell ref="A49:A50"/>
    <mergeCell ref="A52:A62"/>
    <mergeCell ref="J52:K58"/>
  </mergeCells>
  <phoneticPr fontId="0" type="noConversion"/>
  <conditionalFormatting sqref="M57">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N305"/>
  <sheetViews>
    <sheetView showGridLines="0" topLeftCell="A4" zoomScale="94" zoomScaleNormal="100" workbookViewId="0">
      <selection activeCell="C26" sqref="C26"/>
    </sheetView>
  </sheetViews>
  <sheetFormatPr defaultColWidth="9.140625" defaultRowHeight="12.75" customHeight="1"/>
  <cols>
    <col min="1" max="1" width="9.140625" style="449"/>
    <col min="2" max="2" width="42.42578125" style="449" customWidth="1"/>
    <col min="3" max="3" width="17.85546875" style="449" customWidth="1"/>
    <col min="4" max="4" width="16.5703125" style="449" customWidth="1"/>
    <col min="5" max="5" width="24" style="449" bestFit="1" customWidth="1"/>
    <col min="6" max="6" width="12.85546875" style="449" customWidth="1"/>
    <col min="7" max="12" width="14.140625" style="449" customWidth="1"/>
    <col min="13" max="13" width="13.5703125" style="449" customWidth="1"/>
    <col min="14" max="15" width="17.7109375" style="449" customWidth="1"/>
    <col min="16" max="16" width="19" style="449" customWidth="1"/>
    <col min="17" max="23" width="11.5703125" style="449" bestFit="1" customWidth="1"/>
    <col min="24" max="38" width="12.28515625" style="449" bestFit="1" customWidth="1"/>
    <col min="39" max="16384" width="9.140625" style="449"/>
  </cols>
  <sheetData>
    <row r="2" spans="1:39" s="448" customFormat="1" ht="12.6" customHeight="1">
      <c r="A2" s="445"/>
      <c r="B2" s="446" t="s">
        <v>549</v>
      </c>
      <c r="C2" s="447"/>
      <c r="D2" s="445"/>
      <c r="E2" s="445"/>
      <c r="F2" s="445"/>
      <c r="G2" s="445"/>
      <c r="H2" s="445"/>
      <c r="I2" s="445"/>
      <c r="J2" s="445"/>
      <c r="K2" s="445"/>
      <c r="L2" s="445"/>
      <c r="M2" s="445"/>
      <c r="N2" s="445"/>
      <c r="O2" s="445"/>
      <c r="P2" s="445"/>
      <c r="Q2" s="445"/>
      <c r="R2" s="445"/>
      <c r="S2" s="445"/>
      <c r="T2" s="445"/>
      <c r="U2" s="445"/>
      <c r="V2" s="445"/>
      <c r="W2" s="445"/>
      <c r="X2" s="445"/>
      <c r="Y2" s="445"/>
      <c r="Z2" s="445"/>
      <c r="AA2" s="445"/>
      <c r="AB2" s="445"/>
      <c r="AC2" s="445"/>
      <c r="AD2" s="445"/>
      <c r="AE2" s="445"/>
      <c r="AF2" s="445"/>
      <c r="AG2" s="445"/>
      <c r="AH2" s="445"/>
      <c r="AI2" s="445"/>
      <c r="AJ2" s="445"/>
      <c r="AK2" s="445"/>
      <c r="AL2" s="445"/>
    </row>
    <row r="3" spans="1:39" ht="12.6" customHeight="1">
      <c r="C3" s="450"/>
    </row>
    <row r="4" spans="1:39">
      <c r="B4" s="449" t="s">
        <v>550</v>
      </c>
      <c r="F4" s="451"/>
      <c r="G4" s="452"/>
      <c r="H4" s="452"/>
      <c r="I4" s="452"/>
      <c r="J4" s="452"/>
      <c r="K4" s="452"/>
      <c r="L4" s="452"/>
      <c r="M4" s="452"/>
      <c r="N4" s="452"/>
      <c r="O4" s="452"/>
    </row>
    <row r="5" spans="1:39">
      <c r="B5" s="453"/>
      <c r="G5" s="454"/>
      <c r="H5" s="454"/>
      <c r="I5" s="454"/>
      <c r="J5" s="454"/>
      <c r="K5" s="454"/>
      <c r="L5" s="454"/>
      <c r="M5" s="454"/>
      <c r="N5" s="454"/>
      <c r="O5" s="454"/>
    </row>
    <row r="6" spans="1:39">
      <c r="B6" s="449" t="s">
        <v>551</v>
      </c>
    </row>
    <row r="8" spans="1:39">
      <c r="B8" s="452"/>
      <c r="C8" s="618">
        <v>2023</v>
      </c>
      <c r="D8" s="471">
        <f>C8-1</f>
        <v>2022</v>
      </c>
      <c r="E8" s="471">
        <f>D8-1</f>
        <v>2021</v>
      </c>
      <c r="F8" s="471">
        <f t="shared" ref="F8:H8" si="0">E8-1</f>
        <v>2020</v>
      </c>
      <c r="G8" s="471">
        <f t="shared" si="0"/>
        <v>2019</v>
      </c>
      <c r="H8" s="471">
        <f t="shared" si="0"/>
        <v>2018</v>
      </c>
      <c r="I8" s="471">
        <v>2017</v>
      </c>
      <c r="J8" s="471">
        <v>2016</v>
      </c>
      <c r="K8" s="471">
        <v>2015</v>
      </c>
      <c r="L8" s="471">
        <v>2014</v>
      </c>
      <c r="M8" s="471" t="s">
        <v>552</v>
      </c>
      <c r="O8" s="466" t="s">
        <v>553</v>
      </c>
      <c r="P8" s="466" t="s">
        <v>554</v>
      </c>
    </row>
    <row r="9" spans="1:39">
      <c r="B9" s="470" t="s">
        <v>555</v>
      </c>
      <c r="C9" s="246">
        <f>(Inputs!B6-Inputs!C6)/Inputs!C6</f>
        <v>0.19136613326964413</v>
      </c>
      <c r="D9" s="246">
        <f>(Inputs!C6-Inputs!D6)/Inputs!D6</f>
        <v>0.27419354838709675</v>
      </c>
      <c r="E9" s="246">
        <f>(Inputs!D6-Inputs!E6)/Inputs!E6</f>
        <v>-7.6836634358758246E-2</v>
      </c>
      <c r="F9" s="246">
        <f>(Inputs!E6-Inputs!F6)/Inputs!F6</f>
        <v>1.7799699764100365E-2</v>
      </c>
      <c r="G9" s="246">
        <f>(Inputs!F6-Inputs!G6)/Inputs!G6</f>
        <v>0.27022609643149004</v>
      </c>
      <c r="H9" s="246">
        <f>(Inputs!G6-Inputs!H6)/Inputs!H6</f>
        <v>3.4375880529726684E-2</v>
      </c>
      <c r="I9" s="246">
        <f>(Inputs!H6-Inputs!I6)/Inputs!I6</f>
        <v>-3.873239436619718E-2</v>
      </c>
      <c r="J9" s="246">
        <f>(Inputs!I6-Inputs!J6)/Inputs!J6</f>
        <v>6.397694524495677E-2</v>
      </c>
      <c r="K9" s="246">
        <f>(Inputs!J6-Inputs!K6)/Inputs!K6</f>
        <v>3.8611194253217601E-2</v>
      </c>
      <c r="L9" s="246" t="s">
        <v>29</v>
      </c>
      <c r="M9" s="454">
        <f>AVERAGE(D9:K9)</f>
        <v>7.295179198570409E-2</v>
      </c>
      <c r="O9" s="467"/>
      <c r="P9" s="467"/>
    </row>
    <row r="10" spans="1:39" ht="10.5" customHeight="1">
      <c r="B10" s="470" t="s">
        <v>556</v>
      </c>
      <c r="C10" s="246">
        <f>Inputs!B7/Inputs!B6</f>
        <v>0.6874154262516915</v>
      </c>
      <c r="D10" s="246">
        <f>Inputs!C7/Inputs!C6</f>
        <v>0.6673035586338667</v>
      </c>
      <c r="E10" s="246">
        <f>Inputs!D7/Inputs!D6</f>
        <v>0.59350273889227023</v>
      </c>
      <c r="F10" s="246">
        <f>Inputs!E7/Inputs!E6</f>
        <v>0.60478999859530835</v>
      </c>
      <c r="G10" s="246">
        <f>Inputs!F7/Inputs!F6</f>
        <v>0.61798556008292227</v>
      </c>
      <c r="H10" s="246">
        <f>Inputs!G7/Inputs!G6</f>
        <v>0.65231998547171521</v>
      </c>
      <c r="I10" s="246">
        <f>Inputs!H7/Inputs!H6</f>
        <v>0.63858363858363854</v>
      </c>
      <c r="J10" s="246">
        <f>Inputs!I7/Inputs!I6</f>
        <v>0.64265077645359336</v>
      </c>
      <c r="K10" s="246">
        <f>Inputs!J7/Inputs!J6</f>
        <v>0.66051873198847266</v>
      </c>
      <c r="L10" s="246">
        <f>Inputs!K7/Inputs!K6</f>
        <v>0.64761049585952313</v>
      </c>
      <c r="M10" s="454">
        <f>AVERAGE(D10:K10)</f>
        <v>0.63470687358772349</v>
      </c>
      <c r="O10" s="467"/>
      <c r="P10" s="467"/>
    </row>
    <row r="11" spans="1:39"/>
    <row r="13" spans="1:39" s="448" customFormat="1" ht="15">
      <c r="A13" s="445"/>
      <c r="B13" s="447" t="s">
        <v>557</v>
      </c>
      <c r="C13" s="447"/>
      <c r="D13" s="447"/>
      <c r="E13" s="445"/>
      <c r="F13" s="445"/>
      <c r="G13" s="445"/>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row>
    <row r="14" spans="1:39" ht="15">
      <c r="A14" s="468"/>
      <c r="B14" s="469"/>
      <c r="C14" s="469"/>
      <c r="D14" s="469"/>
      <c r="E14" s="468"/>
      <c r="F14" s="468"/>
      <c r="G14" s="468"/>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row>
    <row r="15" spans="1:39" ht="15">
      <c r="C15" s="1334" t="s">
        <v>558</v>
      </c>
      <c r="D15" s="1334"/>
      <c r="E15" s="1334"/>
      <c r="F15" s="1334"/>
      <c r="G15" s="1334"/>
      <c r="H15" s="1334"/>
      <c r="I15" s="1334"/>
      <c r="J15" s="1334"/>
      <c r="K15" s="1334"/>
      <c r="L15" s="1334"/>
    </row>
    <row r="16" spans="1:39" ht="15">
      <c r="B16" s="455"/>
      <c r="C16" s="465">
        <f t="shared" ref="C16:H16" si="1">C8</f>
        <v>2023</v>
      </c>
      <c r="D16" s="465">
        <f t="shared" si="1"/>
        <v>2022</v>
      </c>
      <c r="E16" s="465">
        <f t="shared" si="1"/>
        <v>2021</v>
      </c>
      <c r="F16" s="465">
        <f t="shared" si="1"/>
        <v>2020</v>
      </c>
      <c r="G16" s="465">
        <f t="shared" si="1"/>
        <v>2019</v>
      </c>
      <c r="H16" s="465">
        <f t="shared" si="1"/>
        <v>2018</v>
      </c>
      <c r="I16" s="465">
        <v>2017</v>
      </c>
      <c r="J16" s="465">
        <v>2016</v>
      </c>
      <c r="K16" s="465">
        <v>2015</v>
      </c>
      <c r="L16" s="465">
        <v>2014</v>
      </c>
      <c r="M16" s="472" t="s">
        <v>253</v>
      </c>
      <c r="O16" s="466" t="s">
        <v>553</v>
      </c>
      <c r="P16" s="466" t="s">
        <v>554</v>
      </c>
      <c r="R16" s="449" t="s">
        <v>559</v>
      </c>
    </row>
    <row r="17" spans="1:40">
      <c r="A17" s="451"/>
      <c r="B17" s="470" t="s">
        <v>521</v>
      </c>
      <c r="C17" s="456">
        <f t="shared" ref="C17:L17" si="2">C32/C33</f>
        <v>9.3615782194074404E-2</v>
      </c>
      <c r="D17" s="456">
        <f t="shared" si="2"/>
        <v>9.7404703974047047E-2</v>
      </c>
      <c r="E17" s="456">
        <f t="shared" si="2"/>
        <v>0.10899849397590361</v>
      </c>
      <c r="F17" s="456">
        <f t="shared" si="2"/>
        <v>0.11457174638487208</v>
      </c>
      <c r="G17" s="456">
        <f t="shared" si="2"/>
        <v>8.4754703710216289E-2</v>
      </c>
      <c r="H17" s="456">
        <f t="shared" si="2"/>
        <v>9.0890890890890891E-2</v>
      </c>
      <c r="I17" s="456">
        <f t="shared" si="2"/>
        <v>8.9704187475989239E-2</v>
      </c>
      <c r="J17" s="456">
        <f t="shared" si="2"/>
        <v>9.4457130994394858E-2</v>
      </c>
      <c r="K17" s="456">
        <f t="shared" si="2"/>
        <v>8.5497835497835503E-2</v>
      </c>
      <c r="L17" s="456">
        <f t="shared" si="2"/>
        <v>9.1820151679306614E-2</v>
      </c>
      <c r="M17" s="457">
        <f>AVERAGE(C17:L17)</f>
        <v>9.5171562677753049E-2</v>
      </c>
      <c r="O17" s="467">
        <f>F112</f>
        <v>9.98690860478227E-2</v>
      </c>
      <c r="P17" s="467">
        <f>O17</f>
        <v>9.98690860478227E-2</v>
      </c>
      <c r="R17" s="449" t="s">
        <v>560</v>
      </c>
      <c r="AN17" s="458"/>
    </row>
    <row r="18" spans="1:40">
      <c r="B18" s="470" t="s">
        <v>524</v>
      </c>
      <c r="C18" s="456">
        <f t="shared" ref="C18:L18" si="3">C36/C37</f>
        <v>0.18581418581418582</v>
      </c>
      <c r="D18" s="456">
        <f t="shared" si="3"/>
        <v>9.050829875518672E-2</v>
      </c>
      <c r="E18" s="456">
        <f t="shared" si="3"/>
        <v>9.8039215686274508E-2</v>
      </c>
      <c r="F18" s="456">
        <f t="shared" si="3"/>
        <v>9.8775737340011133E-2</v>
      </c>
      <c r="G18" s="456">
        <f t="shared" si="3"/>
        <v>9.2168504382244845E-2</v>
      </c>
      <c r="H18" s="456">
        <f t="shared" si="3"/>
        <v>9.5402298850574718E-2</v>
      </c>
      <c r="I18" s="456">
        <f t="shared" si="3"/>
        <v>0.10538116591928251</v>
      </c>
      <c r="J18" s="456">
        <f t="shared" si="3"/>
        <v>0.11163337250293771</v>
      </c>
      <c r="K18" s="456">
        <f t="shared" si="3"/>
        <v>0.12574139976275209</v>
      </c>
      <c r="L18" s="456">
        <f t="shared" si="3"/>
        <v>0.11166253101736973</v>
      </c>
      <c r="M18" s="457">
        <f t="shared" ref="M18:M26" si="4">AVERAGE(C18:L18)</f>
        <v>0.11151267100308197</v>
      </c>
      <c r="O18" s="467">
        <f>C145</f>
        <v>0.11306118839558062</v>
      </c>
      <c r="P18" s="467">
        <f>O18</f>
        <v>0.11306118839558062</v>
      </c>
      <c r="R18" s="449" t="s">
        <v>502</v>
      </c>
    </row>
    <row r="19" spans="1:40">
      <c r="B19" s="470" t="s">
        <v>527</v>
      </c>
      <c r="C19" s="456">
        <f>C39/Inputs!B6</f>
        <v>4.7110710168896909E-3</v>
      </c>
      <c r="D19" s="456">
        <f>D39/Inputs!C6</f>
        <v>4.0004776689753999E-3</v>
      </c>
      <c r="E19" s="456">
        <f>E39/Inputs!D6</f>
        <v>3.2714546561168592E-3</v>
      </c>
      <c r="F19" s="456">
        <f>F39/Inputs!E6</f>
        <v>1.9665683382497543E-3</v>
      </c>
      <c r="G19" s="456">
        <f>G39/Inputs!F6</f>
        <v>2.0015726642361857E-3</v>
      </c>
      <c r="H19" s="456">
        <f>H39/Inputs!G6</f>
        <v>2.0884409334422957E-3</v>
      </c>
      <c r="I19" s="456">
        <f>I39/Inputs!H6</f>
        <v>2.8176951253874329E-3</v>
      </c>
      <c r="J19" s="456">
        <f>J39/Inputs!I6</f>
        <v>2.1668472372697724E-3</v>
      </c>
      <c r="K19" s="456">
        <f>K39/Inputs!J6</f>
        <v>2.1133525456292026E-3</v>
      </c>
      <c r="L19" s="456">
        <f>L39/Inputs!K6</f>
        <v>1.9954105557218396E-3</v>
      </c>
      <c r="M19" s="457">
        <f t="shared" si="4"/>
        <v>2.7132890741918434E-3</v>
      </c>
      <c r="O19" s="467">
        <f>F182</f>
        <v>4.7000000000000002E-3</v>
      </c>
      <c r="P19" s="467">
        <f>F183</f>
        <v>5.0000000000000001E-3</v>
      </c>
      <c r="R19" s="449" t="s">
        <v>561</v>
      </c>
    </row>
    <row r="20" spans="1:40" ht="12.6" customHeight="1">
      <c r="B20" s="470" t="s">
        <v>530</v>
      </c>
      <c r="C20" s="456">
        <v>0.17899999999999999</v>
      </c>
      <c r="D20" s="456">
        <v>0.17199999999999999</v>
      </c>
      <c r="E20" s="456">
        <v>0.151</v>
      </c>
      <c r="F20" s="456">
        <v>0.22600000000000001</v>
      </c>
      <c r="G20" s="456">
        <v>0.216</v>
      </c>
      <c r="H20" s="456">
        <v>0.255</v>
      </c>
      <c r="I20" s="456">
        <v>0.22500000000000001</v>
      </c>
      <c r="J20" s="456">
        <v>0.17899999999999999</v>
      </c>
      <c r="K20" s="456">
        <v>0.215</v>
      </c>
      <c r="L20" s="456">
        <v>0.16600000000000001</v>
      </c>
      <c r="M20" s="457">
        <f>AVERAGE(C20:L20)</f>
        <v>0.19839999999999999</v>
      </c>
      <c r="O20" s="467">
        <v>0.16500000000000001</v>
      </c>
      <c r="P20" s="467">
        <v>0.16500000000000001</v>
      </c>
      <c r="R20" s="449" t="s">
        <v>29</v>
      </c>
      <c r="S20" s="449" t="s">
        <v>562</v>
      </c>
    </row>
    <row r="21" spans="1:40">
      <c r="B21" s="850" t="s">
        <v>533</v>
      </c>
      <c r="C21" s="851">
        <f>C296</f>
        <v>1.8377895475719483E-2</v>
      </c>
      <c r="D21" s="851">
        <f t="shared" ref="D21:L21" si="5">D296</f>
        <v>4.4315607090497137E-2</v>
      </c>
      <c r="E21" s="851">
        <f t="shared" si="5"/>
        <v>1.3356947826728655E-2</v>
      </c>
      <c r="F21" s="851">
        <f t="shared" si="5"/>
        <v>1.7653700092374013E-2</v>
      </c>
      <c r="G21" s="851">
        <f t="shared" si="5"/>
        <v>1.671388101983003E-2</v>
      </c>
      <c r="H21" s="851">
        <f t="shared" si="5"/>
        <v>3.6634509708145073E-3</v>
      </c>
      <c r="I21" s="851">
        <f t="shared" si="5"/>
        <v>1.5420560747663551E-2</v>
      </c>
      <c r="J21" s="851">
        <f t="shared" si="5"/>
        <v>1.4533710133225677E-2</v>
      </c>
      <c r="K21" s="851">
        <f t="shared" si="5"/>
        <v>1.2609117361784675E-2</v>
      </c>
      <c r="L21" s="851">
        <f t="shared" si="5"/>
        <v>2.2307202039515615E-2</v>
      </c>
      <c r="M21" s="454">
        <f t="shared" si="4"/>
        <v>1.7895207275815332E-2</v>
      </c>
      <c r="O21" s="467">
        <f>F299</f>
        <v>0.03</v>
      </c>
      <c r="P21" s="467">
        <f>F300</f>
        <v>0.02</v>
      </c>
      <c r="R21" s="449" t="s">
        <v>563</v>
      </c>
    </row>
    <row r="22" spans="1:40">
      <c r="B22" s="470" t="s">
        <v>536</v>
      </c>
      <c r="C22" s="675">
        <v>1.7000000000000001E-2</v>
      </c>
      <c r="D22" s="456">
        <v>8.0000000000000002E-3</v>
      </c>
      <c r="E22" s="456">
        <v>6.0000000000000001E-3</v>
      </c>
      <c r="F22" s="456">
        <v>0.01</v>
      </c>
      <c r="G22" s="456">
        <v>8.0000000000000002E-3</v>
      </c>
      <c r="H22" s="456">
        <v>7.0000000000000001E-3</v>
      </c>
      <c r="I22" s="456">
        <v>5.0000000000000001E-3</v>
      </c>
      <c r="J22" s="456">
        <v>4.0000000000000001E-3</v>
      </c>
      <c r="K22" s="456">
        <v>3.0000000000000001E-3</v>
      </c>
      <c r="L22" s="456">
        <v>4.0000000000000001E-3</v>
      </c>
      <c r="M22" s="457">
        <f t="shared" si="4"/>
        <v>7.2000000000000007E-3</v>
      </c>
      <c r="O22" s="467">
        <v>0.01</v>
      </c>
      <c r="P22" s="467">
        <v>1.4999999999999999E-2</v>
      </c>
      <c r="R22" s="449" t="s">
        <v>29</v>
      </c>
    </row>
    <row r="23" spans="1:40">
      <c r="B23" s="470" t="s">
        <v>539</v>
      </c>
      <c r="C23" s="456">
        <f>C216</f>
        <v>-0.62184087363494545</v>
      </c>
      <c r="D23" s="456">
        <f t="shared" ref="D23:K23" si="6">D216</f>
        <v>-0.1262486126526082</v>
      </c>
      <c r="E23" s="456">
        <f t="shared" si="6"/>
        <v>-0.17093235831809872</v>
      </c>
      <c r="F23" s="456" t="str">
        <f t="shared" si="6"/>
        <v>-</v>
      </c>
      <c r="G23" s="456">
        <f t="shared" si="6"/>
        <v>-0.25672043010752688</v>
      </c>
      <c r="H23" s="456">
        <f t="shared" si="6"/>
        <v>-0.10109289617486339</v>
      </c>
      <c r="I23" s="456">
        <f t="shared" si="6"/>
        <v>0.71328671328671334</v>
      </c>
      <c r="J23" s="456">
        <f t="shared" si="6"/>
        <v>-0.93993993993993996</v>
      </c>
      <c r="K23" s="456">
        <f t="shared" si="6"/>
        <v>-3.2583979328165373</v>
      </c>
      <c r="L23" s="456" t="s">
        <v>29</v>
      </c>
      <c r="M23" s="457">
        <f t="shared" si="4"/>
        <v>-0.59523579129472581</v>
      </c>
      <c r="O23" s="467">
        <f>F218</f>
        <v>0.2</v>
      </c>
      <c r="P23" s="467">
        <f>F219</f>
        <v>0.25</v>
      </c>
      <c r="R23" s="449" t="s">
        <v>564</v>
      </c>
    </row>
    <row r="24" spans="1:40">
      <c r="B24" s="470" t="s">
        <v>541</v>
      </c>
      <c r="C24" s="675">
        <f>-Inputs!B66/Inputs!B6</f>
        <v>5.2373076730316243E-2</v>
      </c>
      <c r="D24" s="675">
        <f>-Inputs!C66/Inputs!C6</f>
        <v>7.0157630761882014E-2</v>
      </c>
      <c r="E24" s="675">
        <f>-Inputs!D66/Inputs!D6</f>
        <v>0.10004564820450396</v>
      </c>
      <c r="F24" s="675">
        <f>-Inputs!E66/Inputs!E6</f>
        <v>4.9164208456243851E-3</v>
      </c>
      <c r="G24" s="675">
        <f>-Inputs!F66/Inputs!F6</f>
        <v>0.14246908285081136</v>
      </c>
      <c r="H24" s="675">
        <f>-Inputs!G66/Inputs!G6</f>
        <v>0.1998547171524562</v>
      </c>
      <c r="I24" s="675">
        <f>-Inputs!H66/Inputs!H6</f>
        <v>-1.3712782943552174E-2</v>
      </c>
      <c r="J24" s="675">
        <f>-Inputs!I66/Inputs!I6</f>
        <v>4.9656915854098954E-2</v>
      </c>
      <c r="K24" s="675">
        <f>-Inputs!J66/Inputs!J6</f>
        <v>-3.976945244956772E-2</v>
      </c>
      <c r="L24" s="675">
        <f>-Inputs!K66/Inputs!K6</f>
        <v>1.3568791778908511E-2</v>
      </c>
      <c r="M24" s="457">
        <f t="shared" si="4"/>
        <v>5.7956004878548163E-2</v>
      </c>
      <c r="O24" s="467">
        <f>F234</f>
        <v>0.02</v>
      </c>
      <c r="P24" s="467">
        <f>F235</f>
        <v>1.4999999999999999E-2</v>
      </c>
      <c r="R24" s="449" t="s">
        <v>565</v>
      </c>
    </row>
    <row r="25" spans="1:40">
      <c r="B25" s="470" t="s">
        <v>155</v>
      </c>
      <c r="C25" s="675">
        <f>-Inputs!B73/Inputs!B$12</f>
        <v>0.47183278103492227</v>
      </c>
      <c r="D25" s="675">
        <f>-Inputs!C73/Inputs!C12</f>
        <v>0.42594108019639937</v>
      </c>
      <c r="E25" s="675">
        <f>-Inputs!D73/Inputs!D12</f>
        <v>0.40661029976940816</v>
      </c>
      <c r="F25" s="675">
        <f>-Inputs!E73/Inputs!E12</f>
        <v>1.090032154340836</v>
      </c>
      <c r="G25" s="675">
        <f>-Inputs!F73/Inputs!F12</f>
        <v>0.33261494252873564</v>
      </c>
      <c r="H25" s="675">
        <f>-Inputs!G73/Inputs!G12</f>
        <v>0.75184275184275184</v>
      </c>
      <c r="I25" s="675">
        <f>-Inputs!H73/Inputs!H12</f>
        <v>0.72561983471074376</v>
      </c>
      <c r="J25" s="675">
        <f>-Inputs!I73/Inputs!I12</f>
        <v>0.50592417061611372</v>
      </c>
      <c r="K25" s="675">
        <f>-Inputs!J73/Inputs!J12</f>
        <v>0.48652694610778441</v>
      </c>
      <c r="L25" s="675">
        <f>-Inputs!K73/Inputs!K12</f>
        <v>0.21689059500959693</v>
      </c>
      <c r="M25" s="457">
        <f t="shared" si="4"/>
        <v>0.54138355561572915</v>
      </c>
      <c r="O25" s="467">
        <f>F250</f>
        <v>0.5</v>
      </c>
      <c r="P25" s="467">
        <f>F251</f>
        <v>0.55000000000000004</v>
      </c>
      <c r="R25" s="449" t="s">
        <v>566</v>
      </c>
    </row>
    <row r="26" spans="1:40">
      <c r="B26" s="470" t="s">
        <v>333</v>
      </c>
      <c r="C26" s="675">
        <f>C194</f>
        <v>0.78539567984764191</v>
      </c>
      <c r="D26" s="675">
        <f t="shared" ref="D26:L26" si="7">D194</f>
        <v>0.89598758060663963</v>
      </c>
      <c r="E26" s="675">
        <f t="shared" si="7"/>
        <v>1.0309646987218504</v>
      </c>
      <c r="F26" s="675">
        <f t="shared" si="7"/>
        <v>0.68429554712740548</v>
      </c>
      <c r="G26" s="675">
        <f t="shared" si="7"/>
        <v>0.5046822503395525</v>
      </c>
      <c r="H26" s="675">
        <f t="shared" si="7"/>
        <v>0.74357577408517206</v>
      </c>
      <c r="I26" s="675">
        <f t="shared" si="7"/>
        <v>0.20099558561097022</v>
      </c>
      <c r="J26" s="675">
        <f t="shared" si="7"/>
        <v>0.22363669194655111</v>
      </c>
      <c r="K26" s="675">
        <f t="shared" si="7"/>
        <v>0.29711815561959654</v>
      </c>
      <c r="L26" s="675">
        <f t="shared" si="7"/>
        <v>0.15653995809637833</v>
      </c>
      <c r="M26" s="457">
        <f t="shared" si="4"/>
        <v>0.55231919220017578</v>
      </c>
      <c r="O26" s="474">
        <f>F200</f>
        <v>0.65</v>
      </c>
      <c r="P26" s="474">
        <f>F201</f>
        <v>0.7</v>
      </c>
      <c r="R26" s="449" t="s">
        <v>565</v>
      </c>
    </row>
    <row r="27" spans="1:40" ht="12.75" customHeight="1">
      <c r="B27" s="449" t="s">
        <v>212</v>
      </c>
    </row>
    <row r="29" spans="1:40" s="448" customFormat="1" ht="15">
      <c r="B29" s="460" t="s">
        <v>567</v>
      </c>
    </row>
    <row r="30" spans="1:40" s="566" customFormat="1"/>
    <row r="31" spans="1:40" s="566" customFormat="1" ht="12.6" customHeight="1">
      <c r="C31" s="48">
        <v>2023</v>
      </c>
      <c r="D31" s="271">
        <v>2022</v>
      </c>
      <c r="E31" s="271">
        <f>D31-1</f>
        <v>2021</v>
      </c>
      <c r="F31" s="271">
        <f t="shared" ref="F31:G31" si="8">E31-1</f>
        <v>2020</v>
      </c>
      <c r="G31" s="271">
        <f t="shared" si="8"/>
        <v>2019</v>
      </c>
      <c r="H31" s="271">
        <f>G31-1</f>
        <v>2018</v>
      </c>
      <c r="I31" s="271">
        <f>H31-1</f>
        <v>2017</v>
      </c>
      <c r="J31" s="271">
        <f>I31-1</f>
        <v>2016</v>
      </c>
      <c r="K31" s="271">
        <f>J31-1</f>
        <v>2015</v>
      </c>
      <c r="L31" s="271">
        <f>K31-1</f>
        <v>2014</v>
      </c>
    </row>
    <row r="32" spans="1:40" s="566" customFormat="1">
      <c r="B32" s="455" t="s">
        <v>568</v>
      </c>
      <c r="C32" s="567">
        <v>1286</v>
      </c>
      <c r="D32" s="567">
        <v>1201</v>
      </c>
      <c r="E32" s="567">
        <v>1158</v>
      </c>
      <c r="F32" s="567">
        <v>1133</v>
      </c>
      <c r="G32" s="567">
        <v>482</v>
      </c>
      <c r="H32" s="567">
        <v>454</v>
      </c>
      <c r="I32" s="567">
        <v>467</v>
      </c>
      <c r="J32" s="567">
        <v>455</v>
      </c>
      <c r="K32" s="567">
        <v>395</v>
      </c>
      <c r="L32" s="567">
        <v>339</v>
      </c>
    </row>
    <row r="33" spans="1:12" s="566" customFormat="1">
      <c r="B33" s="455" t="s">
        <v>569</v>
      </c>
      <c r="C33" s="566">
        <v>13737</v>
      </c>
      <c r="D33" s="566">
        <v>12330</v>
      </c>
      <c r="E33" s="566">
        <v>10624</v>
      </c>
      <c r="F33" s="566">
        <v>9889</v>
      </c>
      <c r="G33" s="566">
        <v>5687</v>
      </c>
      <c r="H33" s="566">
        <v>4995</v>
      </c>
      <c r="I33" s="566">
        <v>5206</v>
      </c>
      <c r="J33" s="566">
        <v>4817</v>
      </c>
      <c r="K33" s="566">
        <v>4620</v>
      </c>
      <c r="L33" s="566">
        <v>3692</v>
      </c>
    </row>
    <row r="34" spans="1:12" s="566" customFormat="1">
      <c r="B34" s="455"/>
    </row>
    <row r="35" spans="1:12" s="566" customFormat="1">
      <c r="B35" s="455"/>
    </row>
    <row r="36" spans="1:12" s="566" customFormat="1" ht="12.6" customHeight="1">
      <c r="B36" s="455" t="s">
        <v>570</v>
      </c>
      <c r="C36" s="566">
        <v>186</v>
      </c>
      <c r="D36" s="566">
        <v>349</v>
      </c>
      <c r="E36" s="566">
        <v>360</v>
      </c>
      <c r="F36" s="566">
        <v>355</v>
      </c>
      <c r="G36" s="566">
        <v>326</v>
      </c>
      <c r="H36" s="566">
        <v>83</v>
      </c>
      <c r="I36" s="566">
        <v>94</v>
      </c>
      <c r="J36" s="566">
        <v>95</v>
      </c>
      <c r="K36" s="566">
        <v>106</v>
      </c>
      <c r="L36" s="566">
        <v>90</v>
      </c>
    </row>
    <row r="37" spans="1:12" s="566" customFormat="1">
      <c r="B37" s="455" t="s">
        <v>571</v>
      </c>
      <c r="C37" s="566">
        <v>1001</v>
      </c>
      <c r="D37" s="567">
        <v>3856</v>
      </c>
      <c r="E37" s="567">
        <v>3672</v>
      </c>
      <c r="F37" s="567">
        <v>3594</v>
      </c>
      <c r="G37" s="567">
        <v>3537</v>
      </c>
      <c r="H37" s="566">
        <v>870</v>
      </c>
      <c r="I37" s="566">
        <v>892</v>
      </c>
      <c r="J37" s="566">
        <v>851</v>
      </c>
      <c r="K37" s="566">
        <v>843</v>
      </c>
      <c r="L37" s="566">
        <v>806</v>
      </c>
    </row>
    <row r="38" spans="1:12" s="566" customFormat="1">
      <c r="B38" s="455"/>
    </row>
    <row r="39" spans="1:12" s="566" customFormat="1">
      <c r="B39" s="455" t="s">
        <v>572</v>
      </c>
      <c r="C39" s="566">
        <v>94</v>
      </c>
      <c r="D39" s="566">
        <v>67</v>
      </c>
      <c r="E39" s="566">
        <v>43</v>
      </c>
      <c r="F39" s="566">
        <v>28</v>
      </c>
      <c r="G39" s="566">
        <v>28</v>
      </c>
      <c r="H39" s="566">
        <v>23</v>
      </c>
      <c r="I39" s="566">
        <v>30</v>
      </c>
      <c r="J39" s="566">
        <v>24</v>
      </c>
      <c r="K39" s="566">
        <v>22</v>
      </c>
      <c r="L39" s="566">
        <v>20</v>
      </c>
    </row>
    <row r="40" spans="1:12" s="566" customFormat="1" ht="12.6" customHeight="1">
      <c r="B40" s="455"/>
    </row>
    <row r="41" spans="1:12" s="566" customFormat="1">
      <c r="B41" s="455" t="s">
        <v>573</v>
      </c>
      <c r="C41" s="568">
        <f>-Inputs!B11/Inputs!B8</f>
        <v>0.16835619161200557</v>
      </c>
      <c r="D41" s="568">
        <f>-Inputs!C11/Inputs!C8</f>
        <v>0.13162803090860645</v>
      </c>
      <c r="E41" s="568">
        <f>-Inputs!D11/Inputs!D8</f>
        <v>0.15290933694181327</v>
      </c>
      <c r="F41" s="568">
        <f>-Inputs!E11/Inputs!E8</f>
        <v>0.17588932806324112</v>
      </c>
      <c r="G41" s="568">
        <f>-Inputs!F11/Inputs!F8</f>
        <v>0.19608852290272774</v>
      </c>
      <c r="H41" s="568">
        <f>-Inputs!G11/Inputs!G8</f>
        <v>0.23427331887201736</v>
      </c>
      <c r="I41" s="568">
        <f>-Inputs!H11/Inputs!H8</f>
        <v>0.20408163265306123</v>
      </c>
      <c r="J41" s="568">
        <f>-Inputs!I11/Inputs!I8</f>
        <v>0.17952450266860748</v>
      </c>
      <c r="K41" s="568">
        <f>-Inputs!J11/Inputs!J8</f>
        <v>0.13820224719101123</v>
      </c>
      <c r="L41" s="568">
        <f>-Inputs!K11/Inputs!K8</f>
        <v>0.17099299546765553</v>
      </c>
    </row>
    <row r="42" spans="1:12" s="566" customFormat="1">
      <c r="B42" s="455"/>
    </row>
    <row r="43" spans="1:12" s="566" customFormat="1">
      <c r="B43" s="455" t="s">
        <v>574</v>
      </c>
      <c r="C43" s="569">
        <f>Inputs!B6-Inputs!C6</f>
        <v>3205</v>
      </c>
      <c r="D43" s="569">
        <f>Inputs!C6-Inputs!D6</f>
        <v>3604</v>
      </c>
      <c r="E43" s="569">
        <f>Inputs!D6-Inputs!E6</f>
        <v>-1094</v>
      </c>
      <c r="F43" s="569">
        <f>Inputs!E6-Inputs!F6</f>
        <v>249</v>
      </c>
      <c r="G43" s="569">
        <f>Inputs!F6-Inputs!G6</f>
        <v>2976</v>
      </c>
      <c r="H43" s="569">
        <f>Inputs!G6-Inputs!H6</f>
        <v>366</v>
      </c>
      <c r="I43" s="569">
        <f>Inputs!H6-Inputs!I6</f>
        <v>-429</v>
      </c>
      <c r="J43" s="569">
        <f>Inputs!I6-Inputs!J6</f>
        <v>666</v>
      </c>
      <c r="K43" s="569">
        <f>Inputs!J6-Inputs!K6</f>
        <v>387</v>
      </c>
      <c r="L43" s="569" t="s">
        <v>29</v>
      </c>
    </row>
    <row r="44" spans="1:12" s="566" customFormat="1">
      <c r="B44" s="455" t="s">
        <v>575</v>
      </c>
      <c r="C44" s="567">
        <f>Inputs!B22</f>
        <v>-1993</v>
      </c>
      <c r="D44" s="567">
        <f>Inputs!C22</f>
        <v>-455</v>
      </c>
      <c r="E44" s="567">
        <f>Inputs!D22</f>
        <v>187</v>
      </c>
      <c r="F44" s="567">
        <f>Inputs!E22</f>
        <v>-754</v>
      </c>
      <c r="G44" s="567">
        <f>Inputs!F22</f>
        <v>-764</v>
      </c>
      <c r="H44" s="567">
        <f>Inputs!H22</f>
        <v>-306</v>
      </c>
      <c r="I44" s="567">
        <f>Inputs!I22</f>
        <v>-626</v>
      </c>
      <c r="J44" s="567">
        <f>Inputs!J22</f>
        <v>-1261</v>
      </c>
      <c r="K44" s="567">
        <f>Inputs!K22</f>
        <v>-415</v>
      </c>
      <c r="L44" s="567" t="s">
        <v>29</v>
      </c>
    </row>
    <row r="45" spans="1:12" s="566" customFormat="1">
      <c r="B45" s="455"/>
    </row>
    <row r="46" spans="1:12" s="566" customFormat="1">
      <c r="A46" s="566" t="s">
        <v>576</v>
      </c>
      <c r="B46" s="455" t="s">
        <v>577</v>
      </c>
      <c r="C46" s="566">
        <v>124</v>
      </c>
      <c r="D46" s="566">
        <v>117</v>
      </c>
      <c r="E46" s="566">
        <v>127</v>
      </c>
      <c r="F46" s="566">
        <v>165</v>
      </c>
      <c r="G46" s="566">
        <v>169</v>
      </c>
      <c r="H46" s="566">
        <v>43</v>
      </c>
      <c r="I46" s="566">
        <v>63</v>
      </c>
      <c r="J46" s="566">
        <v>80</v>
      </c>
      <c r="K46" s="566">
        <v>107</v>
      </c>
      <c r="L46" s="566">
        <v>98</v>
      </c>
    </row>
    <row r="47" spans="1:12" s="566" customFormat="1">
      <c r="B47" s="455" t="s">
        <v>578</v>
      </c>
      <c r="C47" s="567">
        <f>-'Fin. Data'!B32-C46</f>
        <v>860</v>
      </c>
      <c r="D47" s="567">
        <f>-'Fin. Data'!C32-D46</f>
        <v>758</v>
      </c>
      <c r="E47" s="567">
        <f>-'Fin. Data'!D32-E46</f>
        <v>386</v>
      </c>
      <c r="F47" s="567">
        <f>-'Fin. Data'!E32-F46</f>
        <v>572</v>
      </c>
      <c r="G47" s="567">
        <f>-'Fin. Data'!F32-G46</f>
        <v>657</v>
      </c>
      <c r="H47" s="567">
        <f>-'Fin. Data'!G32-H46</f>
        <v>444</v>
      </c>
      <c r="I47" s="567">
        <f>-'Fin. Data'!H32-I46</f>
        <v>536</v>
      </c>
      <c r="J47" s="567">
        <f>-'Fin. Data'!I32-J46</f>
        <v>630</v>
      </c>
      <c r="K47" s="567">
        <f>-'Fin. Data'!J32-K46</f>
        <v>601</v>
      </c>
      <c r="L47" s="567">
        <f>-'Fin. Data'!K32-L46</f>
        <v>577</v>
      </c>
    </row>
    <row r="48" spans="1:12" s="566" customFormat="1">
      <c r="B48" s="455"/>
      <c r="G48" s="567"/>
      <c r="H48" s="567"/>
      <c r="I48" s="567"/>
      <c r="J48" s="567"/>
      <c r="K48" s="567"/>
      <c r="L48" s="567"/>
    </row>
    <row r="49" spans="1:11" s="566" customFormat="1">
      <c r="B49" s="455"/>
    </row>
    <row r="50" spans="1:11" s="566" customFormat="1">
      <c r="B50" s="455"/>
    </row>
    <row r="51" spans="1:11" s="566" customFormat="1">
      <c r="B51" s="455"/>
    </row>
    <row r="52" spans="1:11" s="566" customFormat="1"/>
    <row r="54" spans="1:11" s="448" customFormat="1" ht="15">
      <c r="B54" s="460" t="s">
        <v>579</v>
      </c>
    </row>
    <row r="55" spans="1:11"/>
    <row r="56" spans="1:11">
      <c r="C56" s="973">
        <v>1.55E-2</v>
      </c>
      <c r="D56" s="1339" t="s">
        <v>580</v>
      </c>
      <c r="E56" s="1339"/>
      <c r="F56" s="607" t="s">
        <v>581</v>
      </c>
    </row>
    <row r="57" spans="1:11">
      <c r="B57" s="597" t="s">
        <v>582</v>
      </c>
      <c r="C57" s="1003">
        <v>1.0959999999999999E-2</v>
      </c>
      <c r="D57" s="1339" t="s">
        <v>583</v>
      </c>
      <c r="E57" s="1339"/>
    </row>
    <row r="58" spans="1:11"/>
    <row r="59" spans="1:11" ht="15.75" customHeight="1">
      <c r="B59" s="595" t="s">
        <v>584</v>
      </c>
      <c r="C59" s="596" t="s">
        <v>585</v>
      </c>
      <c r="D59" s="596" t="s">
        <v>586</v>
      </c>
      <c r="E59" s="596" t="s">
        <v>584</v>
      </c>
      <c r="F59" s="1340" t="s">
        <v>587</v>
      </c>
      <c r="G59" s="1340"/>
      <c r="H59" s="591"/>
      <c r="I59" s="591"/>
      <c r="J59" s="591"/>
      <c r="K59" s="591"/>
    </row>
    <row r="60" spans="1:11">
      <c r="B60" s="594" t="s">
        <v>588</v>
      </c>
      <c r="C60" s="586">
        <v>4469</v>
      </c>
      <c r="D60" s="570">
        <f>C60/$C$65</f>
        <v>0.23299098065794274</v>
      </c>
      <c r="E60" s="457">
        <f>Damodaran!I3</f>
        <v>8.3175000000000013E-2</v>
      </c>
      <c r="F60" s="1335">
        <f>D60*E60</f>
        <v>1.9379024816224392E-2</v>
      </c>
      <c r="G60" s="1336"/>
      <c r="H60" s="592"/>
      <c r="I60" s="592"/>
      <c r="J60" s="592"/>
      <c r="K60" s="592"/>
    </row>
    <row r="61" spans="1:11" ht="13.15" customHeight="1">
      <c r="B61" s="594" t="s">
        <v>205</v>
      </c>
      <c r="C61" s="586">
        <v>1419</v>
      </c>
      <c r="D61" s="570">
        <f>C61/$C$65</f>
        <v>7.397945883947657E-2</v>
      </c>
      <c r="E61" s="457">
        <f>Damodaran!I29</f>
        <v>7.4299999999999991E-2</v>
      </c>
      <c r="F61" s="1335">
        <f>D61*E61</f>
        <v>5.4966737917731085E-3</v>
      </c>
      <c r="G61" s="1336"/>
      <c r="H61" s="592"/>
      <c r="I61" s="592"/>
      <c r="J61" s="592"/>
      <c r="K61" s="738" t="s">
        <v>589</v>
      </c>
    </row>
    <row r="62" spans="1:11" ht="13.15" customHeight="1">
      <c r="A62" s="461"/>
      <c r="B62" s="594" t="s">
        <v>590</v>
      </c>
      <c r="C62" s="586">
        <v>5538</v>
      </c>
      <c r="D62" s="570">
        <f>C62/$C$65</f>
        <v>0.28872321568218551</v>
      </c>
      <c r="E62" s="457">
        <f>Damodaran!I17</f>
        <v>6.0699999999999997E-2</v>
      </c>
      <c r="F62" s="1335">
        <f>D62*E62</f>
        <v>1.7525499191908659E-2</v>
      </c>
      <c r="G62" s="1336"/>
      <c r="H62" s="592"/>
      <c r="I62" s="592"/>
      <c r="J62" s="592"/>
      <c r="K62" s="739" t="s">
        <v>591</v>
      </c>
    </row>
    <row r="63" spans="1:11" ht="13.15" customHeight="1">
      <c r="A63" s="461"/>
      <c r="B63" s="594" t="s">
        <v>592</v>
      </c>
      <c r="C63" s="586">
        <v>3487</v>
      </c>
      <c r="D63" s="570">
        <f>C63/$C$65</f>
        <v>0.18179448412491528</v>
      </c>
      <c r="E63" s="457">
        <f>Damodaran!I18</f>
        <v>5.8799999999999998E-2</v>
      </c>
      <c r="F63" s="1335">
        <f>D63*E63</f>
        <v>1.0689515666545017E-2</v>
      </c>
      <c r="G63" s="1336"/>
      <c r="H63" s="592"/>
      <c r="I63" s="592"/>
      <c r="J63" s="592"/>
      <c r="K63" s="592"/>
    </row>
    <row r="64" spans="1:11" ht="13.15" customHeight="1">
      <c r="A64" s="461"/>
      <c r="B64" s="594" t="s">
        <v>593</v>
      </c>
      <c r="C64" s="586">
        <v>4268</v>
      </c>
      <c r="D64" s="570">
        <f>C64/$C$65</f>
        <v>0.2225118606954799</v>
      </c>
      <c r="E64" s="457">
        <f>Damodaran!I12</f>
        <v>6.8649999999999989E-2</v>
      </c>
      <c r="F64" s="1335">
        <f>D64*E64</f>
        <v>1.5275439236744693E-2</v>
      </c>
      <c r="G64" s="1336"/>
      <c r="H64" s="592"/>
      <c r="I64" s="592"/>
      <c r="J64" s="592"/>
      <c r="K64" s="592"/>
    </row>
    <row r="65" spans="2:28">
      <c r="C65" s="593">
        <f>SUM(C60:C64)</f>
        <v>19181</v>
      </c>
      <c r="D65" s="589">
        <f>SUM(D60:D64)</f>
        <v>1</v>
      </c>
      <c r="E65" s="588"/>
      <c r="F65" s="1337">
        <f>SUM(F60:G64)</f>
        <v>6.8366152703195862E-2</v>
      </c>
      <c r="G65" s="1338"/>
      <c r="H65" s="592"/>
      <c r="I65" s="592"/>
      <c r="J65" s="592"/>
      <c r="K65" s="592"/>
    </row>
    <row r="66" spans="2:28"/>
    <row r="67" spans="2:28">
      <c r="B67" s="599" t="s">
        <v>594</v>
      </c>
      <c r="C67" s="598">
        <v>0.01</v>
      </c>
      <c r="F67" s="588"/>
    </row>
    <row r="68" spans="2:28"/>
    <row r="71" spans="2:28" ht="17.25" customHeight="1">
      <c r="B71" s="1343" t="s">
        <v>595</v>
      </c>
      <c r="C71" s="1343"/>
    </row>
    <row r="72" spans="2:28">
      <c r="F72" s="1347" t="s">
        <v>596</v>
      </c>
      <c r="G72" s="1348"/>
      <c r="H72" s="1349"/>
      <c r="I72" s="587">
        <v>3.8399999999999997E-2</v>
      </c>
      <c r="J72" s="459" t="s">
        <v>597</v>
      </c>
      <c r="K72" s="459"/>
    </row>
    <row r="73" spans="2:28" ht="12.75" customHeight="1">
      <c r="B73" s="601" t="s">
        <v>598</v>
      </c>
      <c r="C73" s="602">
        <f>AVERAGE(D9:K9)</f>
        <v>7.295179198570409E-2</v>
      </c>
      <c r="F73" s="1344" t="s">
        <v>599</v>
      </c>
      <c r="G73" s="1345"/>
      <c r="H73" s="1346"/>
      <c r="I73" s="613">
        <v>-5.4999999999999997E-3</v>
      </c>
    </row>
    <row r="74" spans="2:28" ht="12.75" customHeight="1">
      <c r="B74" s="603" t="s">
        <v>600</v>
      </c>
      <c r="C74" s="604">
        <f>AVERAGE(D9:H9)</f>
        <v>0.10395171815073112</v>
      </c>
      <c r="F74" s="1344" t="s">
        <v>601</v>
      </c>
      <c r="G74" s="1345"/>
      <c r="H74" s="1346"/>
      <c r="I74" s="587">
        <v>-5.0000000000000001E-3</v>
      </c>
    </row>
    <row r="75" spans="2:28" ht="12.75" customHeight="1">
      <c r="B75" s="603" t="s">
        <v>602</v>
      </c>
      <c r="C75" s="767">
        <f>AVERAGE(D9:F9)</f>
        <v>7.1718871264146292E-2</v>
      </c>
      <c r="F75" s="1344" t="s">
        <v>603</v>
      </c>
      <c r="G75" s="1345"/>
      <c r="H75" s="1346"/>
      <c r="I75" s="587">
        <v>-4.4999999999999997E-3</v>
      </c>
    </row>
    <row r="76" spans="2:28" ht="12.75" customHeight="1">
      <c r="B76" s="605" t="s">
        <v>604</v>
      </c>
      <c r="C76" s="606">
        <f>AVERAGE(G9:K9)</f>
        <v>7.3691544418638788E-2</v>
      </c>
      <c r="F76" s="1344" t="s">
        <v>605</v>
      </c>
      <c r="G76" s="1345"/>
      <c r="H76" s="1346"/>
      <c r="I76" s="587">
        <v>-3.0000000000000001E-3</v>
      </c>
    </row>
    <row r="79" spans="2:28" ht="12.75" customHeight="1">
      <c r="C79" s="611">
        <v>2024</v>
      </c>
      <c r="D79" s="617">
        <v>2025</v>
      </c>
      <c r="E79" s="611">
        <v>2026</v>
      </c>
      <c r="F79" s="611">
        <v>2027</v>
      </c>
      <c r="G79" s="611">
        <v>2028</v>
      </c>
      <c r="H79" s="611">
        <v>2029</v>
      </c>
      <c r="I79" s="611">
        <v>2030</v>
      </c>
      <c r="J79" s="611">
        <v>2031</v>
      </c>
      <c r="K79" s="611">
        <v>2032</v>
      </c>
      <c r="L79" s="611">
        <v>2033</v>
      </c>
      <c r="M79" s="611">
        <v>2034</v>
      </c>
      <c r="N79" s="611">
        <v>2035</v>
      </c>
      <c r="O79" s="611">
        <v>2036</v>
      </c>
      <c r="P79" s="611">
        <v>2037</v>
      </c>
      <c r="Q79" s="611">
        <v>2038</v>
      </c>
      <c r="R79" s="611">
        <v>2039</v>
      </c>
      <c r="S79" s="611">
        <v>2040</v>
      </c>
      <c r="T79" s="611">
        <v>2041</v>
      </c>
      <c r="U79" s="611">
        <v>2042</v>
      </c>
      <c r="V79" s="611">
        <v>2043</v>
      </c>
      <c r="W79" s="611">
        <v>2044</v>
      </c>
      <c r="X79" s="611">
        <v>2045</v>
      </c>
      <c r="Y79" s="611">
        <v>2046</v>
      </c>
      <c r="Z79" s="611">
        <v>2047</v>
      </c>
      <c r="AA79" s="611">
        <v>2048</v>
      </c>
      <c r="AB79" s="611">
        <v>2049</v>
      </c>
    </row>
    <row r="80" spans="2:28" ht="12.75" customHeight="1">
      <c r="B80" s="612" t="s">
        <v>606</v>
      </c>
      <c r="C80" s="615">
        <v>0.12</v>
      </c>
      <c r="D80" s="587">
        <f>C80+I73</f>
        <v>0.11449999999999999</v>
      </c>
      <c r="E80" s="616">
        <f>D80+$I$73</f>
        <v>0.10899999999999999</v>
      </c>
      <c r="F80" s="600">
        <f>E80+$I$73</f>
        <v>0.10349999999999998</v>
      </c>
      <c r="G80" s="587">
        <f t="shared" ref="G80:M80" si="9">F80+$I$74</f>
        <v>9.8499999999999976E-2</v>
      </c>
      <c r="H80" s="587">
        <f t="shared" si="9"/>
        <v>9.3499999999999972E-2</v>
      </c>
      <c r="I80" s="587">
        <f t="shared" si="9"/>
        <v>8.8499999999999968E-2</v>
      </c>
      <c r="J80" s="600">
        <f t="shared" si="9"/>
        <v>8.3499999999999963E-2</v>
      </c>
      <c r="K80" s="600">
        <f t="shared" si="9"/>
        <v>7.8499999999999959E-2</v>
      </c>
      <c r="L80" s="600">
        <f t="shared" si="9"/>
        <v>7.3499999999999954E-2</v>
      </c>
      <c r="M80" s="600">
        <f t="shared" si="9"/>
        <v>6.849999999999995E-2</v>
      </c>
      <c r="N80" s="600">
        <f>M80+$I$75</f>
        <v>6.3999999999999946E-2</v>
      </c>
      <c r="O80" s="600">
        <f t="shared" ref="O80:S80" si="10">N80+$I$75</f>
        <v>5.9499999999999949E-2</v>
      </c>
      <c r="P80" s="600">
        <f t="shared" si="10"/>
        <v>5.4999999999999952E-2</v>
      </c>
      <c r="Q80" s="600">
        <f t="shared" si="10"/>
        <v>5.0499999999999955E-2</v>
      </c>
      <c r="R80" s="600">
        <f t="shared" si="10"/>
        <v>4.5999999999999958E-2</v>
      </c>
      <c r="S80" s="600">
        <f t="shared" si="10"/>
        <v>4.1499999999999961E-2</v>
      </c>
      <c r="T80" s="600">
        <f t="shared" ref="T80:AB80" si="11">S80+$I$76</f>
        <v>3.8499999999999958E-2</v>
      </c>
      <c r="U80" s="600">
        <f t="shared" si="11"/>
        <v>3.5499999999999955E-2</v>
      </c>
      <c r="V80" s="600">
        <f t="shared" si="11"/>
        <v>3.2499999999999953E-2</v>
      </c>
      <c r="W80" s="600">
        <f t="shared" si="11"/>
        <v>2.9499999999999953E-2</v>
      </c>
      <c r="X80" s="600">
        <f t="shared" si="11"/>
        <v>2.6499999999999954E-2</v>
      </c>
      <c r="Y80" s="600">
        <f t="shared" si="11"/>
        <v>2.3499999999999955E-2</v>
      </c>
      <c r="Z80" s="600">
        <f t="shared" si="11"/>
        <v>2.0499999999999956E-2</v>
      </c>
      <c r="AA80" s="600">
        <f t="shared" si="11"/>
        <v>1.7499999999999957E-2</v>
      </c>
      <c r="AB80" s="600">
        <f t="shared" si="11"/>
        <v>1.4499999999999957E-2</v>
      </c>
    </row>
    <row r="81" spans="1:28" ht="12.75" customHeight="1">
      <c r="A81" s="607" t="s">
        <v>607</v>
      </c>
      <c r="B81" s="610" t="s">
        <v>608</v>
      </c>
      <c r="C81" s="608">
        <f>Inputs!B6*(1+Assumptions!C80)</f>
        <v>22347.360000000001</v>
      </c>
      <c r="D81" s="608">
        <f t="shared" ref="D81:AB81" si="12">C81*(1+D80)</f>
        <v>24906.132720000001</v>
      </c>
      <c r="E81" s="609">
        <f t="shared" si="12"/>
        <v>27620.901186480001</v>
      </c>
      <c r="F81" s="609">
        <f t="shared" si="12"/>
        <v>30479.664459280681</v>
      </c>
      <c r="G81" s="609">
        <f t="shared" si="12"/>
        <v>33481.911408519831</v>
      </c>
      <c r="H81" s="609">
        <f t="shared" si="12"/>
        <v>36612.47012521643</v>
      </c>
      <c r="I81" s="609">
        <f t="shared" si="12"/>
        <v>39852.673731298084</v>
      </c>
      <c r="J81" s="609">
        <f t="shared" si="12"/>
        <v>43180.371987861472</v>
      </c>
      <c r="K81" s="609">
        <f t="shared" si="12"/>
        <v>46570.031188908601</v>
      </c>
      <c r="L81" s="609">
        <f t="shared" si="12"/>
        <v>49992.928481293377</v>
      </c>
      <c r="M81" s="609">
        <f t="shared" si="12"/>
        <v>53417.444082261973</v>
      </c>
      <c r="N81" s="609">
        <f t="shared" si="12"/>
        <v>56836.160503526742</v>
      </c>
      <c r="O81" s="609">
        <f t="shared" si="12"/>
        <v>60217.91205348658</v>
      </c>
      <c r="P81" s="609">
        <f t="shared" si="12"/>
        <v>63529.89721642834</v>
      </c>
      <c r="Q81" s="609">
        <f t="shared" si="12"/>
        <v>66738.157025857974</v>
      </c>
      <c r="R81" s="609">
        <f t="shared" si="12"/>
        <v>69808.112249047437</v>
      </c>
      <c r="S81" s="609">
        <f t="shared" si="12"/>
        <v>72705.1489073829</v>
      </c>
      <c r="T81" s="609">
        <f t="shared" si="12"/>
        <v>75504.29714031714</v>
      </c>
      <c r="U81" s="609">
        <f t="shared" si="12"/>
        <v>78184.699688798384</v>
      </c>
      <c r="V81" s="609">
        <f t="shared" si="12"/>
        <v>80725.702428684323</v>
      </c>
      <c r="W81" s="609">
        <f t="shared" si="12"/>
        <v>83107.110650330505</v>
      </c>
      <c r="X81" s="609">
        <f t="shared" si="12"/>
        <v>85309.449082564257</v>
      </c>
      <c r="Y81" s="609">
        <f t="shared" si="12"/>
        <v>87314.221136004504</v>
      </c>
      <c r="Z81" s="609">
        <f t="shared" si="12"/>
        <v>89104.162669292593</v>
      </c>
      <c r="AA81" s="609">
        <f t="shared" si="12"/>
        <v>90663.485516005196</v>
      </c>
      <c r="AB81" s="609">
        <f t="shared" si="12"/>
        <v>91978.106055987271</v>
      </c>
    </row>
    <row r="84" spans="1:28" ht="12.75" customHeight="1">
      <c r="B84" s="1343" t="s">
        <v>83</v>
      </c>
      <c r="C84" s="1343"/>
    </row>
    <row r="86" spans="1:28" ht="12.75" customHeight="1">
      <c r="B86" s="11"/>
      <c r="C86" s="11"/>
      <c r="D86" s="11"/>
      <c r="E86" s="11"/>
      <c r="F86" s="11"/>
      <c r="G86" s="11"/>
      <c r="H86" s="11"/>
      <c r="I86" s="11"/>
      <c r="J86" s="11"/>
      <c r="K86" s="11"/>
      <c r="L86" s="11"/>
    </row>
    <row r="87" spans="1:28" ht="12.75" customHeight="1">
      <c r="B87" s="11"/>
      <c r="C87" s="676">
        <v>2023</v>
      </c>
      <c r="D87" s="677">
        <v>2022</v>
      </c>
      <c r="E87" s="677">
        <v>2021</v>
      </c>
      <c r="F87" s="677">
        <v>2020</v>
      </c>
      <c r="G87" s="677">
        <v>2019</v>
      </c>
      <c r="H87" s="677">
        <v>2018</v>
      </c>
      <c r="I87" s="677">
        <v>2017</v>
      </c>
      <c r="J87" s="677">
        <v>2016</v>
      </c>
      <c r="K87" s="678">
        <v>2015</v>
      </c>
      <c r="L87" s="679">
        <v>2014</v>
      </c>
    </row>
    <row r="88" spans="1:28" ht="12.75" customHeight="1">
      <c r="B88" s="680" t="s">
        <v>609</v>
      </c>
      <c r="C88" s="681">
        <f>'Fin. Data'!B16/'Fin. Data'!B5</f>
        <v>0.25229288828747559</v>
      </c>
      <c r="D88" s="681">
        <f>'Fin. Data'!C16/'Fin. Data'!C5</f>
        <v>0.22635538571769764</v>
      </c>
      <c r="E88" s="681">
        <f>'Fin. Data'!D16/'Fin. Data'!D5</f>
        <v>0.11412051125989045</v>
      </c>
      <c r="F88" s="681">
        <f>'Fin. Data'!E16/'Fin. Data'!E5</f>
        <v>0.10788032026970081</v>
      </c>
      <c r="G88" s="681">
        <f>'Fin. Data'!F16/'Fin. Data'!F5</f>
        <v>0.14146829651869325</v>
      </c>
      <c r="H88" s="681">
        <f>'Fin. Data'!G16/'Fin. Data'!G5</f>
        <v>0.17061654408426405</v>
      </c>
      <c r="I88" s="681">
        <f>'Fin. Data'!H16/'Fin. Data'!H5</f>
        <v>0.16849816849816851</v>
      </c>
      <c r="J88" s="681">
        <f>'Fin. Data'!I16/'Fin. Data'!I5</f>
        <v>0.1882448537378115</v>
      </c>
      <c r="K88" s="681">
        <f>'Fin. Data'!J16/'Fin. Data'!J5</f>
        <v>0.25725264169068202</v>
      </c>
      <c r="L88" s="681">
        <f>'Fin. Data'!K16/'Fin. Data'!K5</f>
        <v>0.24274169410356181</v>
      </c>
    </row>
    <row r="90" spans="1:28" ht="12.75" customHeight="1">
      <c r="B90" s="682" t="s">
        <v>610</v>
      </c>
      <c r="C90" s="683">
        <f>AVERAGE(C88:L88)</f>
        <v>0.18694713041679456</v>
      </c>
    </row>
    <row r="91" spans="1:28" ht="12.75" customHeight="1">
      <c r="B91" s="684" t="s">
        <v>611</v>
      </c>
      <c r="C91" s="686">
        <f>AVERAGE(C88:G88)</f>
        <v>0.16842348041069158</v>
      </c>
    </row>
    <row r="92" spans="1:28" ht="12.75" customHeight="1">
      <c r="B92" s="684" t="s">
        <v>612</v>
      </c>
      <c r="C92" s="686">
        <f>AVERAGE(C88:E88)</f>
        <v>0.19758959508835458</v>
      </c>
    </row>
    <row r="93" spans="1:28" ht="12.75" customHeight="1">
      <c r="B93" s="687" t="s">
        <v>613</v>
      </c>
      <c r="C93" s="735">
        <f>AVERAGE(G88:L88)</f>
        <v>0.19480369977219683</v>
      </c>
    </row>
    <row r="96" spans="1:28" ht="12.75" customHeight="1">
      <c r="A96" s="11"/>
      <c r="B96" s="11"/>
      <c r="C96" s="688">
        <v>2024</v>
      </c>
      <c r="D96" s="689">
        <v>2025</v>
      </c>
      <c r="E96" s="689">
        <v>2026</v>
      </c>
      <c r="F96" s="689">
        <v>2027</v>
      </c>
      <c r="G96" s="689">
        <v>2028</v>
      </c>
      <c r="H96" s="689">
        <v>2029</v>
      </c>
      <c r="I96" s="689">
        <v>2030</v>
      </c>
      <c r="J96" s="689">
        <v>2031</v>
      </c>
      <c r="K96" s="689">
        <v>2032</v>
      </c>
      <c r="L96" s="689">
        <v>2033</v>
      </c>
      <c r="M96" s="689">
        <v>2034</v>
      </c>
      <c r="N96" s="689">
        <v>2035</v>
      </c>
      <c r="O96" s="689">
        <v>2036</v>
      </c>
      <c r="P96" s="689">
        <v>2037</v>
      </c>
      <c r="Q96" s="689">
        <v>2038</v>
      </c>
      <c r="R96" s="689">
        <v>2039</v>
      </c>
      <c r="S96" s="689">
        <v>2040</v>
      </c>
      <c r="T96" s="689">
        <v>2041</v>
      </c>
      <c r="U96" s="689">
        <v>2042</v>
      </c>
      <c r="V96" s="689">
        <v>2043</v>
      </c>
      <c r="W96" s="689">
        <v>2044</v>
      </c>
      <c r="X96" s="689">
        <v>2045</v>
      </c>
      <c r="Y96" s="689">
        <v>2046</v>
      </c>
      <c r="Z96" s="689">
        <v>2047</v>
      </c>
      <c r="AA96" s="689">
        <v>2048</v>
      </c>
      <c r="AB96" s="689">
        <v>2049</v>
      </c>
    </row>
    <row r="97" spans="1:29" ht="12.75" customHeight="1">
      <c r="A97" s="11"/>
      <c r="B97" s="690" t="s">
        <v>614</v>
      </c>
      <c r="C97" s="691">
        <v>0.23</v>
      </c>
      <c r="D97" s="691">
        <v>0.215</v>
      </c>
      <c r="E97" s="691">
        <v>0.22</v>
      </c>
      <c r="F97" s="691">
        <v>0.21</v>
      </c>
      <c r="G97" s="691">
        <v>0.2</v>
      </c>
      <c r="H97" s="691">
        <v>0.19</v>
      </c>
      <c r="I97" s="691">
        <f>H97-0.5%</f>
        <v>0.185</v>
      </c>
      <c r="J97" s="691">
        <v>0.18</v>
      </c>
      <c r="K97" s="691">
        <v>0.18</v>
      </c>
      <c r="L97" s="691">
        <v>0.18</v>
      </c>
      <c r="M97" s="691">
        <v>0.17</v>
      </c>
      <c r="N97" s="1036">
        <v>0.17</v>
      </c>
      <c r="O97" s="1036">
        <v>0.17</v>
      </c>
      <c r="P97" s="1036">
        <v>0.17</v>
      </c>
      <c r="Q97" s="1034">
        <v>0.16500000000000001</v>
      </c>
      <c r="R97" s="1034">
        <v>0.16500000000000001</v>
      </c>
      <c r="S97" s="1034">
        <v>0.16500000000000001</v>
      </c>
      <c r="T97" s="1034">
        <v>0.16500000000000001</v>
      </c>
      <c r="U97" s="1034">
        <v>0.16500000000000001</v>
      </c>
      <c r="V97" s="1034">
        <v>0.16500000000000001</v>
      </c>
      <c r="W97" s="1034">
        <v>0.16500000000000001</v>
      </c>
      <c r="X97" s="1034">
        <v>0.16500000000000001</v>
      </c>
      <c r="Y97" s="1034">
        <v>0.16500000000000001</v>
      </c>
      <c r="Z97" s="1034">
        <v>0.16500000000000001</v>
      </c>
      <c r="AA97" s="1034">
        <v>0.16500000000000001</v>
      </c>
      <c r="AB97" s="1034">
        <v>0.16500000000000001</v>
      </c>
    </row>
    <row r="98" spans="1:29" ht="12.75" customHeight="1">
      <c r="A98" s="692" t="s">
        <v>607</v>
      </c>
      <c r="B98" s="693" t="s">
        <v>615</v>
      </c>
      <c r="C98" s="694">
        <f>C97*C81</f>
        <v>5139.8928000000005</v>
      </c>
      <c r="D98" s="694">
        <v>3460.1</v>
      </c>
      <c r="E98" s="694">
        <v>3756.7</v>
      </c>
      <c r="F98" s="694">
        <v>4105.01</v>
      </c>
      <c r="G98" s="694">
        <v>4471.26</v>
      </c>
      <c r="H98" s="694">
        <v>4854.53</v>
      </c>
      <c r="I98" s="694">
        <v>5253.66</v>
      </c>
      <c r="J98" s="694">
        <v>5667.22</v>
      </c>
      <c r="K98" s="694">
        <v>6093.51</v>
      </c>
      <c r="L98" s="694">
        <v>6530.53</v>
      </c>
      <c r="M98" s="694">
        <v>6982.56</v>
      </c>
      <c r="N98" s="694">
        <v>7448.43</v>
      </c>
      <c r="O98" s="694">
        <v>7926.76</v>
      </c>
      <c r="P98" s="694">
        <v>8415.99</v>
      </c>
      <c r="Q98" s="694">
        <v>8914.3799999999992</v>
      </c>
      <c r="R98" s="694">
        <v>9419.99</v>
      </c>
      <c r="S98" s="694">
        <v>9930.73</v>
      </c>
      <c r="T98" s="694">
        <v>10449.299999999999</v>
      </c>
      <c r="U98" s="694">
        <v>10974.05</v>
      </c>
      <c r="V98" s="694">
        <v>11503.21</v>
      </c>
      <c r="W98" s="694">
        <v>12034.88</v>
      </c>
      <c r="X98" s="694">
        <v>12567.04</v>
      </c>
      <c r="Y98" s="694">
        <v>13097.61</v>
      </c>
      <c r="Z98" s="694">
        <v>13624.38</v>
      </c>
      <c r="AA98" s="694">
        <v>14145.09</v>
      </c>
      <c r="AB98" s="694">
        <v>14657.41</v>
      </c>
    </row>
    <row r="101" spans="1:29" ht="12.75" customHeight="1">
      <c r="B101" s="1333" t="s">
        <v>616</v>
      </c>
      <c r="C101" s="1333"/>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2.75" customHeight="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2.75" customHeight="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2.75" customHeight="1">
      <c r="B104" s="11"/>
      <c r="C104" s="676">
        <v>2023</v>
      </c>
      <c r="D104" s="677">
        <v>2022</v>
      </c>
      <c r="E104" s="677">
        <v>2021</v>
      </c>
      <c r="F104" s="677">
        <v>2020</v>
      </c>
      <c r="G104" s="677">
        <v>2019</v>
      </c>
      <c r="H104" s="677">
        <v>2018</v>
      </c>
      <c r="I104" s="677">
        <v>2017</v>
      </c>
      <c r="J104" s="677">
        <v>2016</v>
      </c>
      <c r="K104" s="678">
        <v>2015</v>
      </c>
      <c r="L104" s="679">
        <v>2014</v>
      </c>
      <c r="M104" s="11"/>
      <c r="N104" s="11"/>
      <c r="O104" s="11"/>
      <c r="P104" s="11"/>
      <c r="Q104" s="11"/>
      <c r="R104" s="11"/>
      <c r="S104" s="11"/>
      <c r="T104" s="11"/>
      <c r="U104" s="11"/>
      <c r="V104" s="11"/>
      <c r="W104" s="11"/>
      <c r="X104" s="11"/>
      <c r="Y104" s="11"/>
      <c r="Z104" s="11"/>
      <c r="AA104" s="11"/>
      <c r="AB104" s="11"/>
      <c r="AC104" s="11"/>
    </row>
    <row r="105" spans="1:29" ht="12.75" customHeight="1">
      <c r="B105" s="731" t="s">
        <v>617</v>
      </c>
      <c r="C105" s="732">
        <f>C32/-'Fin. Data'!B32</f>
        <v>1.306910569105691</v>
      </c>
      <c r="D105" s="732">
        <f>D32/-'Fin. Data'!C32</f>
        <v>1.3725714285714286</v>
      </c>
      <c r="E105" s="732">
        <f>E32/-'Fin. Data'!D32</f>
        <v>2.257309941520468</v>
      </c>
      <c r="F105" s="732">
        <f>F32/-'Fin. Data'!E32</f>
        <v>1.5373134328358209</v>
      </c>
      <c r="G105" s="732">
        <f>G32/-'Fin. Data'!F32</f>
        <v>0.58353510895883776</v>
      </c>
      <c r="H105" s="732">
        <f>H32/-'Fin. Data'!G32</f>
        <v>0.93223819301848054</v>
      </c>
      <c r="I105" s="732">
        <f>I32/-'Fin. Data'!H32</f>
        <v>0.77963272120200333</v>
      </c>
      <c r="J105" s="732">
        <f>J32/-'Fin. Data'!I32</f>
        <v>0.64084507042253525</v>
      </c>
      <c r="K105" s="732">
        <f>K32/-'Fin. Data'!J32</f>
        <v>0.55790960451977401</v>
      </c>
      <c r="L105" s="732">
        <f>L32/-'Fin. Data'!K32</f>
        <v>0.50222222222222224</v>
      </c>
      <c r="M105" s="11"/>
      <c r="N105" s="11"/>
      <c r="O105" s="11"/>
      <c r="P105" s="11"/>
      <c r="Q105" s="11"/>
      <c r="R105" s="11"/>
      <c r="S105" s="11"/>
      <c r="T105" s="11"/>
      <c r="U105" s="11"/>
      <c r="V105" s="11"/>
      <c r="W105" s="11"/>
      <c r="X105" s="11"/>
      <c r="Y105" s="11"/>
      <c r="Z105" s="11"/>
      <c r="AA105" s="11"/>
      <c r="AB105" s="11"/>
      <c r="AC105" s="11"/>
    </row>
    <row r="106" spans="1:29" ht="12.75" customHeight="1">
      <c r="B106" s="733" t="s">
        <v>618</v>
      </c>
      <c r="C106" s="734">
        <f>C17</f>
        <v>9.3615782194074404E-2</v>
      </c>
      <c r="D106" s="734">
        <f t="shared" ref="D106:L106" si="13">D17</f>
        <v>9.7404703974047047E-2</v>
      </c>
      <c r="E106" s="734">
        <f t="shared" si="13"/>
        <v>0.10899849397590361</v>
      </c>
      <c r="F106" s="734">
        <f t="shared" si="13"/>
        <v>0.11457174638487208</v>
      </c>
      <c r="G106" s="734">
        <f t="shared" si="13"/>
        <v>8.4754703710216289E-2</v>
      </c>
      <c r="H106" s="734">
        <f t="shared" si="13"/>
        <v>9.0890890890890891E-2</v>
      </c>
      <c r="I106" s="734">
        <f t="shared" si="13"/>
        <v>8.9704187475989239E-2</v>
      </c>
      <c r="J106" s="734">
        <f t="shared" si="13"/>
        <v>9.4457130994394858E-2</v>
      </c>
      <c r="K106" s="734">
        <f t="shared" si="13"/>
        <v>8.5497835497835503E-2</v>
      </c>
      <c r="L106" s="734">
        <f t="shared" si="13"/>
        <v>9.1820151679306614E-2</v>
      </c>
      <c r="M106" s="692" t="s">
        <v>619</v>
      </c>
      <c r="N106" s="11"/>
      <c r="O106" s="11"/>
      <c r="P106" s="11"/>
      <c r="Q106" s="11"/>
      <c r="R106" s="11"/>
      <c r="S106" s="11"/>
      <c r="T106" s="11"/>
      <c r="U106" s="11"/>
      <c r="V106" s="11"/>
      <c r="W106" s="11"/>
      <c r="X106" s="11"/>
      <c r="Y106" s="11"/>
      <c r="Z106" s="11"/>
      <c r="AA106" s="11"/>
      <c r="AB106" s="11"/>
      <c r="AC106" s="11"/>
    </row>
    <row r="107" spans="1:29" ht="12.75" customHeight="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2.75" customHeight="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2.75" customHeight="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2.75" customHeight="1">
      <c r="B110" s="14" t="s">
        <v>620</v>
      </c>
      <c r="C110" s="11"/>
      <c r="D110" s="11"/>
      <c r="E110" s="14" t="s">
        <v>621</v>
      </c>
      <c r="F110" s="692"/>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2.75" customHeight="1">
      <c r="B111" s="682" t="s">
        <v>610</v>
      </c>
      <c r="C111" s="683">
        <f>AVERAGE(C105:L105)</f>
        <v>1.0470488292377262</v>
      </c>
      <c r="D111" s="11"/>
      <c r="E111" s="682" t="s">
        <v>622</v>
      </c>
      <c r="F111" s="683">
        <f>AVERAGE(C106:L106)</f>
        <v>9.5171562677753049E-2</v>
      </c>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2.75" customHeight="1">
      <c r="B112" s="684" t="s">
        <v>611</v>
      </c>
      <c r="C112" s="686">
        <f>AVERAGE(C105:G105)</f>
        <v>1.4115280961984493</v>
      </c>
      <c r="D112" s="11"/>
      <c r="E112" s="684" t="s">
        <v>611</v>
      </c>
      <c r="F112" s="685">
        <f>AVERAGE(C106:G106)</f>
        <v>9.98690860478227E-2</v>
      </c>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2:29" ht="12.75" customHeight="1">
      <c r="B113" s="684" t="s">
        <v>612</v>
      </c>
      <c r="C113" s="686">
        <f>AVERAGE(C105:E105)</f>
        <v>1.6455973130658625</v>
      </c>
      <c r="D113" s="11"/>
      <c r="E113" s="684" t="s">
        <v>612</v>
      </c>
      <c r="F113" s="686">
        <f>AVERAGE(C106:E106)</f>
        <v>0.10000632671467502</v>
      </c>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2:29" ht="12.75" customHeight="1">
      <c r="B114" s="687" t="s">
        <v>613</v>
      </c>
      <c r="C114" s="735">
        <f>AVERAGE(G105:L105)</f>
        <v>0.6660638200573088</v>
      </c>
      <c r="D114" s="11"/>
      <c r="E114" s="687" t="s">
        <v>623</v>
      </c>
      <c r="F114" s="735">
        <f>AVERAGE(G106:L106)</f>
        <v>8.9520816708105563E-2</v>
      </c>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2:29" ht="12.75" customHeight="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2:29" ht="12.75" customHeight="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2:29" ht="12.75" customHeight="1">
      <c r="B117" s="11"/>
      <c r="C117" s="688">
        <v>2024</v>
      </c>
      <c r="D117" s="689">
        <v>2025</v>
      </c>
      <c r="E117" s="689">
        <v>2026</v>
      </c>
      <c r="F117" s="689">
        <v>2027</v>
      </c>
      <c r="G117" s="689">
        <v>2028</v>
      </c>
      <c r="H117" s="689">
        <v>2029</v>
      </c>
      <c r="I117" s="689">
        <v>2030</v>
      </c>
      <c r="J117" s="689">
        <v>2031</v>
      </c>
      <c r="K117" s="689">
        <v>2032</v>
      </c>
      <c r="L117" s="689">
        <v>2033</v>
      </c>
      <c r="M117" s="689">
        <v>2034</v>
      </c>
      <c r="N117" s="689">
        <v>2035</v>
      </c>
      <c r="O117" s="689">
        <v>2036</v>
      </c>
      <c r="P117" s="689">
        <v>2037</v>
      </c>
      <c r="Q117" s="689">
        <v>2038</v>
      </c>
      <c r="R117" s="689">
        <v>2039</v>
      </c>
      <c r="S117" s="689">
        <v>2040</v>
      </c>
      <c r="T117" s="689">
        <v>2041</v>
      </c>
      <c r="U117" s="689">
        <v>2042</v>
      </c>
      <c r="V117" s="689">
        <v>2043</v>
      </c>
      <c r="W117" s="689">
        <v>2044</v>
      </c>
      <c r="X117" s="689">
        <v>2045</v>
      </c>
      <c r="Y117" s="689">
        <v>2046</v>
      </c>
      <c r="Z117" s="689">
        <v>2047</v>
      </c>
      <c r="AA117" s="736">
        <v>2048</v>
      </c>
      <c r="AB117" s="688">
        <v>2049</v>
      </c>
      <c r="AC117" s="11"/>
    </row>
    <row r="118" spans="2:29" ht="12.75" customHeight="1">
      <c r="B118" s="690" t="s">
        <v>624</v>
      </c>
      <c r="C118" s="755">
        <f>C33+C120</f>
        <v>14653.241760000001</v>
      </c>
      <c r="D118" s="754">
        <f t="shared" ref="D118:AB118" si="14">C121+D120</f>
        <v>14210.987339311012</v>
      </c>
      <c r="E118" s="754">
        <f t="shared" si="14"/>
        <v>13924.205970542522</v>
      </c>
      <c r="F118" s="754">
        <f t="shared" si="14"/>
        <v>13783.274489153313</v>
      </c>
      <c r="G118" s="754">
        <f t="shared" si="14"/>
        <v>13746.027919516095</v>
      </c>
      <c r="H118" s="754">
        <f t="shared" si="14"/>
        <v>13837.723479414826</v>
      </c>
      <c r="I118" s="754">
        <f t="shared" si="14"/>
        <v>14049.869631795094</v>
      </c>
      <c r="J118" s="754">
        <f t="shared" si="14"/>
        <v>14373.936872091117</v>
      </c>
      <c r="K118" s="754">
        <f t="shared" si="14"/>
        <v>14801.226181322621</v>
      </c>
      <c r="L118" s="754">
        <f t="shared" si="14"/>
        <v>15322.758389458562</v>
      </c>
      <c r="M118" s="754">
        <f t="shared" si="14"/>
        <v>15929.186276662207</v>
      </c>
      <c r="N118" s="754">
        <f t="shared" si="14"/>
        <v>16611.799421867501</v>
      </c>
      <c r="O118" s="754">
        <f t="shared" si="14"/>
        <v>17361.510678135306</v>
      </c>
      <c r="P118" s="754">
        <f t="shared" si="14"/>
        <v>18168.828362957553</v>
      </c>
      <c r="Q118" s="754">
        <f t="shared" si="14"/>
        <v>19023.850360823541</v>
      </c>
      <c r="R118" s="754">
        <f t="shared" si="14"/>
        <v>19916.28030213945</v>
      </c>
      <c r="S118" s="754">
        <f t="shared" si="14"/>
        <v>20835.465547187843</v>
      </c>
      <c r="T118" s="754">
        <f t="shared" si="14"/>
        <v>21774.818531221983</v>
      </c>
      <c r="U118" s="754">
        <f t="shared" si="14"/>
        <v>22727.575293203583</v>
      </c>
      <c r="V118" s="754">
        <f t="shared" si="14"/>
        <v>23686.821217735636</v>
      </c>
      <c r="W118" s="754">
        <f t="shared" si="14"/>
        <v>24645.524457355423</v>
      </c>
      <c r="X118" s="754">
        <f t="shared" si="14"/>
        <v>25596.576417932643</v>
      </c>
      <c r="Y118" s="754">
        <f t="shared" si="14"/>
        <v>26532.838570560638</v>
      </c>
      <c r="Z118" s="754">
        <f t="shared" si="14"/>
        <v>27447.194739036033</v>
      </c>
      <c r="AA118" s="754">
        <f t="shared" si="14"/>
        <v>28332.607906512105</v>
      </c>
      <c r="AB118" s="754">
        <f t="shared" si="14"/>
        <v>29182.180491776915</v>
      </c>
      <c r="AC118" s="11"/>
    </row>
    <row r="119" spans="2:29" ht="12.75" customHeight="1">
      <c r="B119" s="737" t="s">
        <v>625</v>
      </c>
      <c r="C119" s="756">
        <f>$F$112*C118</f>
        <v>1463.405862208989</v>
      </c>
      <c r="D119" s="756">
        <f>$F$112*D118</f>
        <v>1419.2383174141705</v>
      </c>
      <c r="E119" s="756">
        <f>$F$112*E118</f>
        <v>1390.5977242197177</v>
      </c>
      <c r="F119" s="756">
        <f>$F$112*F118</f>
        <v>1376.5230259780117</v>
      </c>
      <c r="G119" s="756">
        <f>$F$112*G118</f>
        <v>1372.8032451099261</v>
      </c>
      <c r="H119" s="756">
        <f t="shared" ref="H119:AB119" si="15">$F$112*H118</f>
        <v>1381.9607968716557</v>
      </c>
      <c r="I119" s="756">
        <f t="shared" si="15"/>
        <v>1403.1476392184354</v>
      </c>
      <c r="J119" s="756">
        <f t="shared" si="15"/>
        <v>1435.5119383248393</v>
      </c>
      <c r="K119" s="756">
        <f t="shared" si="15"/>
        <v>1478.1849311157951</v>
      </c>
      <c r="L119" s="756">
        <f t="shared" si="15"/>
        <v>1530.2698760868343</v>
      </c>
      <c r="M119" s="756">
        <f t="shared" si="15"/>
        <v>1590.8332749357744</v>
      </c>
      <c r="N119" s="756">
        <f t="shared" si="15"/>
        <v>1659.0052258716569</v>
      </c>
      <c r="O119" s="756">
        <f>$F$112*O118</f>
        <v>1733.8782038348875</v>
      </c>
      <c r="P119" s="756">
        <f t="shared" si="15"/>
        <v>1814.5042831683295</v>
      </c>
      <c r="Q119" s="756">
        <f t="shared" si="15"/>
        <v>1899.8945486459891</v>
      </c>
      <c r="R119" s="756">
        <f t="shared" si="15"/>
        <v>1989.0207112469211</v>
      </c>
      <c r="S119" s="756">
        <f t="shared" si="15"/>
        <v>2080.8189015785479</v>
      </c>
      <c r="T119" s="756">
        <f t="shared" si="15"/>
        <v>2174.6312255703324</v>
      </c>
      <c r="U119" s="756">
        <f t="shared" si="15"/>
        <v>2269.7821726153179</v>
      </c>
      <c r="V119" s="756">
        <f t="shared" si="15"/>
        <v>2365.5811863934327</v>
      </c>
      <c r="W119" s="756">
        <f t="shared" si="15"/>
        <v>2461.3260027253477</v>
      </c>
      <c r="X119" s="756">
        <f t="shared" si="15"/>
        <v>2556.3066928121843</v>
      </c>
      <c r="Y119" s="756">
        <f t="shared" si="15"/>
        <v>2649.8103382963095</v>
      </c>
      <c r="Z119" s="756">
        <f t="shared" si="15"/>
        <v>2741.126253164136</v>
      </c>
      <c r="AA119" s="756">
        <f t="shared" si="15"/>
        <v>2829.5516569746792</v>
      </c>
      <c r="AB119" s="756">
        <f t="shared" si="15"/>
        <v>2914.3976945963618</v>
      </c>
      <c r="AC119" s="11"/>
    </row>
    <row r="120" spans="2:29" ht="12.75" customHeight="1">
      <c r="B120" s="693" t="s">
        <v>626</v>
      </c>
      <c r="C120" s="755">
        <f t="shared" ref="C120:AB120" si="16">C136</f>
        <v>916.24176000000011</v>
      </c>
      <c r="D120" s="754">
        <f t="shared" si="16"/>
        <v>1021.15144152</v>
      </c>
      <c r="E120" s="754">
        <f t="shared" si="16"/>
        <v>1132.4569486456801</v>
      </c>
      <c r="F120" s="754">
        <f t="shared" si="16"/>
        <v>1249.6662428305081</v>
      </c>
      <c r="G120" s="754">
        <f t="shared" si="16"/>
        <v>1339.2764563407932</v>
      </c>
      <c r="H120" s="754">
        <f t="shared" si="16"/>
        <v>1464.4988050086572</v>
      </c>
      <c r="I120" s="754">
        <f t="shared" si="16"/>
        <v>1594.1069492519234</v>
      </c>
      <c r="J120" s="754">
        <f t="shared" si="16"/>
        <v>1727.214879514459</v>
      </c>
      <c r="K120" s="754">
        <f t="shared" si="16"/>
        <v>1862.8012475563442</v>
      </c>
      <c r="L120" s="754">
        <f t="shared" si="16"/>
        <v>1999.717139251735</v>
      </c>
      <c r="M120" s="754">
        <f t="shared" si="16"/>
        <v>2136.6977632904791</v>
      </c>
      <c r="N120" s="754">
        <f t="shared" si="16"/>
        <v>2273.4464201410697</v>
      </c>
      <c r="O120" s="754">
        <f t="shared" si="16"/>
        <v>2408.7164821394631</v>
      </c>
      <c r="P120" s="754">
        <f t="shared" si="16"/>
        <v>2541.1958886571338</v>
      </c>
      <c r="Q120" s="754">
        <f t="shared" si="16"/>
        <v>2669.5262810343188</v>
      </c>
      <c r="R120" s="754">
        <f t="shared" si="16"/>
        <v>2792.3244899618976</v>
      </c>
      <c r="S120" s="754">
        <f t="shared" si="16"/>
        <v>2908.2059562953159</v>
      </c>
      <c r="T120" s="754">
        <f t="shared" si="16"/>
        <v>3020.1718856126859</v>
      </c>
      <c r="U120" s="754">
        <f t="shared" si="16"/>
        <v>3127.3879875519356</v>
      </c>
      <c r="V120" s="754">
        <f t="shared" si="16"/>
        <v>3229.028097147373</v>
      </c>
      <c r="W120" s="754">
        <f t="shared" si="16"/>
        <v>3324.2844260132201</v>
      </c>
      <c r="X120" s="754">
        <f t="shared" si="16"/>
        <v>3412.3779633025702</v>
      </c>
      <c r="Y120" s="754">
        <f t="shared" si="16"/>
        <v>3492.5688454401802</v>
      </c>
      <c r="Z120" s="754">
        <f t="shared" si="16"/>
        <v>3564.166506771704</v>
      </c>
      <c r="AA120" s="754">
        <f t="shared" si="16"/>
        <v>3626.5394206402079</v>
      </c>
      <c r="AB120" s="754">
        <f t="shared" si="16"/>
        <v>3679.1242422394907</v>
      </c>
      <c r="AC120" s="11"/>
    </row>
    <row r="121" spans="2:29" ht="12.75" customHeight="1">
      <c r="B121" s="693" t="s">
        <v>627</v>
      </c>
      <c r="C121" s="755">
        <f t="shared" ref="C121:AB121" si="17">C118-C119</f>
        <v>13189.835897791012</v>
      </c>
      <c r="D121" s="755">
        <f t="shared" si="17"/>
        <v>12791.749021896841</v>
      </c>
      <c r="E121" s="755">
        <f t="shared" si="17"/>
        <v>12533.608246322805</v>
      </c>
      <c r="F121" s="755">
        <f t="shared" si="17"/>
        <v>12406.751463175302</v>
      </c>
      <c r="G121" s="755">
        <f t="shared" si="17"/>
        <v>12373.224674406169</v>
      </c>
      <c r="H121" s="755">
        <f t="shared" si="17"/>
        <v>12455.762682543171</v>
      </c>
      <c r="I121" s="755">
        <f t="shared" si="17"/>
        <v>12646.721992576659</v>
      </c>
      <c r="J121" s="755">
        <f t="shared" si="17"/>
        <v>12938.424933766277</v>
      </c>
      <c r="K121" s="755">
        <f t="shared" si="17"/>
        <v>13323.041250206827</v>
      </c>
      <c r="L121" s="755">
        <f t="shared" si="17"/>
        <v>13792.488513371729</v>
      </c>
      <c r="M121" s="755">
        <f t="shared" si="17"/>
        <v>14338.353001726433</v>
      </c>
      <c r="N121" s="755">
        <f t="shared" si="17"/>
        <v>14952.794195995844</v>
      </c>
      <c r="O121" s="755">
        <f t="shared" si="17"/>
        <v>15627.632474300419</v>
      </c>
      <c r="P121" s="755">
        <f t="shared" si="17"/>
        <v>16354.324079789223</v>
      </c>
      <c r="Q121" s="755">
        <f t="shared" si="17"/>
        <v>17123.955812177552</v>
      </c>
      <c r="R121" s="755">
        <f t="shared" si="17"/>
        <v>17927.259590892529</v>
      </c>
      <c r="S121" s="755">
        <f t="shared" si="17"/>
        <v>18754.646645609297</v>
      </c>
      <c r="T121" s="755">
        <f t="shared" si="17"/>
        <v>19600.187305651649</v>
      </c>
      <c r="U121" s="755">
        <f t="shared" si="17"/>
        <v>20457.793120588263</v>
      </c>
      <c r="V121" s="755">
        <f t="shared" si="17"/>
        <v>21321.240031342204</v>
      </c>
      <c r="W121" s="755">
        <f t="shared" si="17"/>
        <v>22184.198454630074</v>
      </c>
      <c r="X121" s="755">
        <f t="shared" si="17"/>
        <v>23040.269725120459</v>
      </c>
      <c r="Y121" s="755">
        <f t="shared" si="17"/>
        <v>23883.028232264329</v>
      </c>
      <c r="Z121" s="755">
        <f t="shared" si="17"/>
        <v>24706.068485871896</v>
      </c>
      <c r="AA121" s="755">
        <f t="shared" si="17"/>
        <v>25503.056249537425</v>
      </c>
      <c r="AB121" s="755">
        <f t="shared" si="17"/>
        <v>26267.782797180553</v>
      </c>
      <c r="AC121" s="11"/>
    </row>
    <row r="123" spans="2:29" ht="12.75" customHeight="1">
      <c r="B123" s="1341" t="s">
        <v>628</v>
      </c>
      <c r="C123" s="1341"/>
    </row>
    <row r="126" spans="2:29" ht="12.75" customHeight="1">
      <c r="C126" s="747">
        <v>2023</v>
      </c>
      <c r="D126" s="748">
        <v>2022</v>
      </c>
      <c r="E126" s="748">
        <v>2021</v>
      </c>
      <c r="F126" s="748">
        <v>2020</v>
      </c>
      <c r="G126" s="748">
        <v>2019</v>
      </c>
      <c r="H126" s="748">
        <v>2018</v>
      </c>
      <c r="I126" s="748">
        <v>2017</v>
      </c>
      <c r="J126" s="748">
        <v>2016</v>
      </c>
      <c r="K126" s="749">
        <v>2015</v>
      </c>
      <c r="L126" s="750">
        <v>2014</v>
      </c>
    </row>
    <row r="127" spans="2:29" ht="12.75" customHeight="1">
      <c r="B127" s="751" t="s">
        <v>629</v>
      </c>
      <c r="C127" s="587">
        <f>C47/'Fin. Data'!B5</f>
        <v>4.3101288026863131E-2</v>
      </c>
      <c r="D127" s="587">
        <f>D47/'Fin. Data'!C5</f>
        <v>4.5259135419154523E-2</v>
      </c>
      <c r="E127" s="587">
        <f>E47/'Fin. Data'!D5</f>
        <v>2.9367011564211808E-2</v>
      </c>
      <c r="F127" s="587">
        <f>F47/'Fin. Data'!E5</f>
        <v>4.0174181767102121E-2</v>
      </c>
      <c r="G127" s="587">
        <f>G47/'Fin. Data'!F5</f>
        <v>4.6965472871541923E-2</v>
      </c>
      <c r="H127" s="587">
        <f>H47/'Fin. Data'!G5</f>
        <v>4.0315990193407793E-2</v>
      </c>
      <c r="I127" s="587">
        <f>I47/'Fin. Data'!H5</f>
        <v>5.0342819573588805E-2</v>
      </c>
      <c r="J127" s="587">
        <f>J47/'Fin. Data'!I5</f>
        <v>5.6879739978331526E-2</v>
      </c>
      <c r="K127" s="587">
        <f>K47/'Fin. Data'!J5</f>
        <v>5.7732949087415948E-2</v>
      </c>
      <c r="L127" s="587">
        <f>L47/'Fin. Data'!K5</f>
        <v>5.7567594532575074E-2</v>
      </c>
    </row>
    <row r="129" spans="2:28" ht="12.75" customHeight="1">
      <c r="B129" s="682" t="s">
        <v>610</v>
      </c>
      <c r="C129" s="683">
        <f>AVERAGE(C127:L127)</f>
        <v>4.6770618301419271E-2</v>
      </c>
    </row>
    <row r="130" spans="2:28" ht="12.75" customHeight="1">
      <c r="B130" s="684" t="s">
        <v>611</v>
      </c>
      <c r="C130" s="753">
        <f>AVERAGE(C127:G127)</f>
        <v>4.0973417929774707E-2</v>
      </c>
      <c r="E130" s="771" t="s">
        <v>630</v>
      </c>
      <c r="F130" s="587">
        <v>4.1000000000000002E-2</v>
      </c>
      <c r="G130" s="1331" t="s">
        <v>631</v>
      </c>
    </row>
    <row r="131" spans="2:28" ht="12.75" customHeight="1">
      <c r="B131" s="684" t="s">
        <v>612</v>
      </c>
      <c r="C131" s="686">
        <f>AVERAGE(C127:E127)</f>
        <v>3.9242478336743158E-2</v>
      </c>
      <c r="E131" s="771" t="s">
        <v>632</v>
      </c>
      <c r="F131" s="587">
        <v>0.04</v>
      </c>
      <c r="G131" s="1331"/>
    </row>
    <row r="132" spans="2:28" ht="12.75" customHeight="1">
      <c r="B132" s="687" t="s">
        <v>613</v>
      </c>
      <c r="C132" s="735">
        <f>AVERAGE(G127:L127)</f>
        <v>5.1634094372810184E-2</v>
      </c>
    </row>
    <row r="135" spans="2:28" ht="12.75" customHeight="1">
      <c r="B135"/>
      <c r="C135" s="688">
        <v>2024</v>
      </c>
      <c r="D135" s="689">
        <v>2025</v>
      </c>
      <c r="E135" s="689">
        <v>2026</v>
      </c>
      <c r="F135" s="689">
        <v>2027</v>
      </c>
      <c r="G135" s="689">
        <v>2028</v>
      </c>
      <c r="H135" s="689">
        <v>2029</v>
      </c>
      <c r="I135" s="689">
        <v>2030</v>
      </c>
      <c r="J135" s="689">
        <v>2031</v>
      </c>
      <c r="K135" s="689">
        <v>2032</v>
      </c>
      <c r="L135" s="689">
        <v>2033</v>
      </c>
      <c r="M135" s="689">
        <v>2034</v>
      </c>
      <c r="N135" s="689">
        <v>2035</v>
      </c>
      <c r="O135" s="689">
        <v>2036</v>
      </c>
      <c r="P135" s="689">
        <v>2037</v>
      </c>
      <c r="Q135" s="689">
        <v>2038</v>
      </c>
      <c r="R135" s="689">
        <v>2039</v>
      </c>
      <c r="S135" s="689">
        <v>2040</v>
      </c>
      <c r="T135" s="689">
        <v>2041</v>
      </c>
      <c r="U135" s="689">
        <v>2042</v>
      </c>
      <c r="V135" s="689">
        <v>2043</v>
      </c>
      <c r="W135" s="689">
        <v>2044</v>
      </c>
      <c r="X135" s="689">
        <v>2045</v>
      </c>
      <c r="Y135" s="689">
        <v>2046</v>
      </c>
      <c r="Z135" s="689">
        <v>2047</v>
      </c>
      <c r="AA135" s="736">
        <v>2048</v>
      </c>
      <c r="AB135" s="688">
        <v>2049</v>
      </c>
    </row>
    <row r="136" spans="2:28" ht="12.75" customHeight="1">
      <c r="B136" s="752" t="s">
        <v>633</v>
      </c>
      <c r="C136" s="754">
        <f>$F$130*C81</f>
        <v>916.24176000000011</v>
      </c>
      <c r="D136" s="754">
        <f>$F$130*D81</f>
        <v>1021.15144152</v>
      </c>
      <c r="E136" s="754">
        <f t="shared" ref="E136:F136" si="18">$F$130*E81</f>
        <v>1132.4569486456801</v>
      </c>
      <c r="F136" s="754">
        <f t="shared" si="18"/>
        <v>1249.6662428305081</v>
      </c>
      <c r="G136" s="754">
        <f>$F$131*G81</f>
        <v>1339.2764563407932</v>
      </c>
      <c r="H136" s="754">
        <f>$F$131*H81</f>
        <v>1464.4988050086572</v>
      </c>
      <c r="I136" s="754">
        <f t="shared" ref="I136:AB136" si="19">$F$131*I81</f>
        <v>1594.1069492519234</v>
      </c>
      <c r="J136" s="754">
        <f t="shared" si="19"/>
        <v>1727.214879514459</v>
      </c>
      <c r="K136" s="754">
        <f t="shared" si="19"/>
        <v>1862.8012475563442</v>
      </c>
      <c r="L136" s="754">
        <f t="shared" si="19"/>
        <v>1999.717139251735</v>
      </c>
      <c r="M136" s="754">
        <f t="shared" si="19"/>
        <v>2136.6977632904791</v>
      </c>
      <c r="N136" s="754">
        <f t="shared" si="19"/>
        <v>2273.4464201410697</v>
      </c>
      <c r="O136" s="754">
        <f t="shared" si="19"/>
        <v>2408.7164821394631</v>
      </c>
      <c r="P136" s="754">
        <f t="shared" si="19"/>
        <v>2541.1958886571338</v>
      </c>
      <c r="Q136" s="754">
        <f t="shared" si="19"/>
        <v>2669.5262810343188</v>
      </c>
      <c r="R136" s="754">
        <f t="shared" si="19"/>
        <v>2792.3244899618976</v>
      </c>
      <c r="S136" s="754">
        <f t="shared" si="19"/>
        <v>2908.2059562953159</v>
      </c>
      <c r="T136" s="754">
        <f t="shared" si="19"/>
        <v>3020.1718856126859</v>
      </c>
      <c r="U136" s="754">
        <f t="shared" si="19"/>
        <v>3127.3879875519356</v>
      </c>
      <c r="V136" s="754">
        <f t="shared" si="19"/>
        <v>3229.028097147373</v>
      </c>
      <c r="W136" s="754">
        <f t="shared" si="19"/>
        <v>3324.2844260132201</v>
      </c>
      <c r="X136" s="754">
        <f t="shared" si="19"/>
        <v>3412.3779633025702</v>
      </c>
      <c r="Y136" s="754">
        <f t="shared" si="19"/>
        <v>3492.5688454401802</v>
      </c>
      <c r="Z136" s="754">
        <f t="shared" si="19"/>
        <v>3564.166506771704</v>
      </c>
      <c r="AA136" s="754">
        <f t="shared" si="19"/>
        <v>3626.5394206402079</v>
      </c>
      <c r="AB136" s="754">
        <f t="shared" si="19"/>
        <v>3679.1242422394907</v>
      </c>
    </row>
    <row r="139" spans="2:28" ht="12.75" customHeight="1">
      <c r="B139" s="1332" t="s">
        <v>634</v>
      </c>
      <c r="C139" s="1332"/>
    </row>
    <row r="141" spans="2:28" ht="12.75" customHeight="1">
      <c r="B141"/>
      <c r="C141" s="747">
        <v>2023</v>
      </c>
      <c r="D141" s="748">
        <v>2022</v>
      </c>
      <c r="E141" s="748">
        <v>2021</v>
      </c>
      <c r="F141" s="748">
        <v>2020</v>
      </c>
      <c r="G141" s="748">
        <v>2019</v>
      </c>
      <c r="H141" s="748">
        <v>2018</v>
      </c>
      <c r="I141" s="748">
        <v>2017</v>
      </c>
      <c r="J141" s="748">
        <v>2016</v>
      </c>
      <c r="K141" s="749">
        <v>2015</v>
      </c>
      <c r="L141" s="750">
        <v>2014</v>
      </c>
    </row>
    <row r="142" spans="2:28" ht="12.75" customHeight="1">
      <c r="B142" s="757" t="s">
        <v>635</v>
      </c>
      <c r="C142" s="758">
        <f t="shared" ref="C142:L142" si="20">C18</f>
        <v>0.18581418581418582</v>
      </c>
      <c r="D142" s="758">
        <f t="shared" si="20"/>
        <v>9.050829875518672E-2</v>
      </c>
      <c r="E142" s="758">
        <f t="shared" si="20"/>
        <v>9.8039215686274508E-2</v>
      </c>
      <c r="F142" s="758">
        <f t="shared" si="20"/>
        <v>9.8775737340011133E-2</v>
      </c>
      <c r="G142" s="758">
        <f t="shared" si="20"/>
        <v>9.2168504382244845E-2</v>
      </c>
      <c r="H142" s="758">
        <f t="shared" si="20"/>
        <v>9.5402298850574718E-2</v>
      </c>
      <c r="I142" s="758">
        <f t="shared" si="20"/>
        <v>0.10538116591928251</v>
      </c>
      <c r="J142" s="758">
        <f t="shared" si="20"/>
        <v>0.11163337250293771</v>
      </c>
      <c r="K142" s="758">
        <f t="shared" si="20"/>
        <v>0.12574139976275209</v>
      </c>
      <c r="L142" s="758">
        <f t="shared" si="20"/>
        <v>0.11166253101736973</v>
      </c>
    </row>
    <row r="144" spans="2:28">
      <c r="B144" s="682" t="s">
        <v>610</v>
      </c>
      <c r="C144" s="683">
        <f>AVERAGE(C142:L142)</f>
        <v>0.11151267100308197</v>
      </c>
      <c r="D144" s="588"/>
      <c r="E144" s="588"/>
      <c r="F144" s="588"/>
      <c r="G144" s="588"/>
      <c r="H144" s="588"/>
      <c r="I144" s="588"/>
      <c r="J144" s="588"/>
      <c r="K144" s="588"/>
      <c r="L144" s="588"/>
    </row>
    <row r="145" spans="2:28">
      <c r="B145" s="684" t="s">
        <v>611</v>
      </c>
      <c r="C145" s="753">
        <f>AVERAGE(C142:G142)</f>
        <v>0.11306118839558062</v>
      </c>
      <c r="D145" s="457">
        <f>AVERAGE(D142:G142)</f>
        <v>9.4872939040929291E-2</v>
      </c>
    </row>
    <row r="146" spans="2:28" ht="12.75" customHeight="1">
      <c r="B146" s="684" t="s">
        <v>612</v>
      </c>
      <c r="C146" s="686">
        <f>AVERAGE(C142:E142)</f>
        <v>0.12478723341854901</v>
      </c>
    </row>
    <row r="147" spans="2:28" ht="12.75" customHeight="1">
      <c r="B147" s="687" t="s">
        <v>613</v>
      </c>
      <c r="C147" s="735">
        <f>AVERAGE(G142:L142)</f>
        <v>0.10699821207252695</v>
      </c>
    </row>
    <row r="149" spans="2:28" ht="12.75" customHeight="1">
      <c r="B149"/>
      <c r="C149" s="761">
        <v>2024</v>
      </c>
      <c r="D149" s="762">
        <v>2025</v>
      </c>
      <c r="E149" s="762">
        <v>2026</v>
      </c>
      <c r="F149" s="762">
        <v>2027</v>
      </c>
      <c r="G149" s="762">
        <v>2028</v>
      </c>
      <c r="H149" s="762">
        <v>2029</v>
      </c>
      <c r="I149" s="762">
        <v>2030</v>
      </c>
      <c r="J149" s="762">
        <v>2031</v>
      </c>
      <c r="K149" s="762">
        <v>2032</v>
      </c>
      <c r="L149" s="762">
        <v>2033</v>
      </c>
      <c r="M149" s="762">
        <v>2034</v>
      </c>
      <c r="N149" s="762">
        <v>2035</v>
      </c>
      <c r="O149" s="762">
        <v>2036</v>
      </c>
      <c r="P149" s="762">
        <v>2037</v>
      </c>
      <c r="Q149" s="762">
        <v>2038</v>
      </c>
      <c r="R149" s="762">
        <v>2039</v>
      </c>
      <c r="S149" s="762">
        <v>2040</v>
      </c>
      <c r="T149" s="762">
        <v>2041</v>
      </c>
      <c r="U149" s="762">
        <v>2042</v>
      </c>
      <c r="V149" s="762">
        <v>2043</v>
      </c>
      <c r="W149" s="762">
        <v>2044</v>
      </c>
      <c r="X149" s="762">
        <v>2045</v>
      </c>
      <c r="Y149" s="762">
        <v>2046</v>
      </c>
      <c r="Z149" s="762">
        <v>2047</v>
      </c>
      <c r="AA149" s="763">
        <v>2048</v>
      </c>
      <c r="AB149" s="761">
        <v>2049</v>
      </c>
    </row>
    <row r="150" spans="2:28" ht="12.75" customHeight="1">
      <c r="B150" s="759" t="s">
        <v>636</v>
      </c>
      <c r="C150" s="760">
        <f>C37+C152</f>
        <v>1135.0841599999999</v>
      </c>
      <c r="D150" s="760">
        <f>C153+D152</f>
        <v>1156.1869922614005</v>
      </c>
      <c r="E150" s="760">
        <f t="shared" ref="E150:AB150" si="21">D153+E152</f>
        <v>1191.1925240276946</v>
      </c>
      <c r="F150" s="760">
        <f t="shared" si="21"/>
        <v>1239.3928684088764</v>
      </c>
      <c r="G150" s="760">
        <f t="shared" si="21"/>
        <v>1266.6751948601604</v>
      </c>
      <c r="H150" s="760">
        <f t="shared" si="21"/>
        <v>1306.5257426441492</v>
      </c>
      <c r="I150" s="760">
        <f t="shared" si="21"/>
        <v>1358.0717581678737</v>
      </c>
      <c r="J150" s="760">
        <f t="shared" si="21"/>
        <v>1420.4284112022456</v>
      </c>
      <c r="K150" s="760">
        <f t="shared" si="21"/>
        <v>1492.6832429454164</v>
      </c>
      <c r="L150" s="760">
        <f t="shared" si="21"/>
        <v>1573.8833440063054</v>
      </c>
      <c r="M150" s="760">
        <f t="shared" si="21"/>
        <v>1663.0254431482517</v>
      </c>
      <c r="N150" s="760">
        <f t="shared" si="21"/>
        <v>1759.1826127314571</v>
      </c>
      <c r="O150" s="760">
        <f t="shared" si="21"/>
        <v>1861.3768961986291</v>
      </c>
      <c r="P150" s="760">
        <f t="shared" si="21"/>
        <v>1968.5768983444764</v>
      </c>
      <c r="Q150" s="760">
        <f t="shared" si="21"/>
        <v>2079.6980398988535</v>
      </c>
      <c r="R150" s="760">
        <f t="shared" si="21"/>
        <v>2193.6054692491666</v>
      </c>
      <c r="S150" s="760">
        <f t="shared" si="21"/>
        <v>2309.1195725617249</v>
      </c>
      <c r="T150" s="760">
        <f t="shared" si="21"/>
        <v>2425.5692552419869</v>
      </c>
      <c r="U150" s="760">
        <f t="shared" si="21"/>
        <v>2542.2550111525361</v>
      </c>
      <c r="V150" s="760">
        <f t="shared" si="21"/>
        <v>2658.4531505304321</v>
      </c>
      <c r="W150" s="760">
        <f t="shared" si="21"/>
        <v>2773.4208312891383</v>
      </c>
      <c r="X150" s="760">
        <f t="shared" si="21"/>
        <v>2886.4018215953506</v>
      </c>
      <c r="Y150" s="760">
        <f t="shared" si="21"/>
        <v>2996.632907138634</v>
      </c>
      <c r="Z150" s="760">
        <f t="shared" si="21"/>
        <v>3103.3508428186997</v>
      </c>
      <c r="AA150" s="760">
        <f>Z153+AA152</f>
        <v>3205.7997361012167</v>
      </c>
      <c r="AB150" s="760">
        <f t="shared" si="21"/>
        <v>3303.2387384593108</v>
      </c>
    </row>
    <row r="151" spans="2:28" ht="12.75" customHeight="1">
      <c r="B151" s="765" t="s">
        <v>637</v>
      </c>
      <c r="C151" s="772">
        <f>$C$145*C150</f>
        <v>128.33396405859935</v>
      </c>
      <c r="D151" s="772">
        <f>$C$145*D150</f>
        <v>130.71987535258592</v>
      </c>
      <c r="E151" s="772">
        <f>$C$145*E150</f>
        <v>134.67764237450237</v>
      </c>
      <c r="F151" s="772">
        <f t="shared" ref="F151:AB151" si="22">$C$145*F150</f>
        <v>140.12723059131503</v>
      </c>
      <c r="G151" s="772">
        <f t="shared" si="22"/>
        <v>143.21180284209339</v>
      </c>
      <c r="H151" s="772">
        <f t="shared" si="22"/>
        <v>147.71735313276602</v>
      </c>
      <c r="I151" s="772">
        <f t="shared" si="22"/>
        <v>153.54520690493536</v>
      </c>
      <c r="J151" s="772">
        <f t="shared" si="22"/>
        <v>160.59532420137234</v>
      </c>
      <c r="K151" s="772">
        <f t="shared" si="22"/>
        <v>168.76454134557795</v>
      </c>
      <c r="L151" s="772">
        <f t="shared" si="22"/>
        <v>177.94512126936331</v>
      </c>
      <c r="M151" s="772">
        <f t="shared" si="22"/>
        <v>188.02363293442843</v>
      </c>
      <c r="N151" s="772">
        <f t="shared" si="22"/>
        <v>198.895276800261</v>
      </c>
      <c r="O151" s="772">
        <f t="shared" si="22"/>
        <v>210.44948393629431</v>
      </c>
      <c r="P151" s="772">
        <f t="shared" si="22"/>
        <v>222.56964357491259</v>
      </c>
      <c r="Q151" s="772">
        <f t="shared" si="22"/>
        <v>235.13313189492402</v>
      </c>
      <c r="R151" s="772">
        <f t="shared" si="22"/>
        <v>248.01164122435605</v>
      </c>
      <c r="S151" s="772">
        <f t="shared" si="22"/>
        <v>261.07180302132377</v>
      </c>
      <c r="T151" s="772">
        <f t="shared" si="22"/>
        <v>274.23774253344243</v>
      </c>
      <c r="U151" s="772">
        <f t="shared" si="22"/>
        <v>287.43037276552576</v>
      </c>
      <c r="V151" s="772">
        <f t="shared" si="22"/>
        <v>300.56787249294604</v>
      </c>
      <c r="W151" s="772">
        <f t="shared" si="22"/>
        <v>313.56625510660905</v>
      </c>
      <c r="X151" s="772">
        <f t="shared" si="22"/>
        <v>326.34002013673899</v>
      </c>
      <c r="Y151" s="772">
        <f t="shared" si="22"/>
        <v>338.80287766639753</v>
      </c>
      <c r="Z151" s="772">
        <f t="shared" si="22"/>
        <v>350.86853429750892</v>
      </c>
      <c r="AA151" s="772">
        <f t="shared" si="22"/>
        <v>362.45152792184228</v>
      </c>
      <c r="AB151" s="772">
        <f t="shared" si="22"/>
        <v>373.46809732452817</v>
      </c>
    </row>
    <row r="152" spans="2:28" ht="12.75" customHeight="1">
      <c r="B152" s="764" t="s">
        <v>638</v>
      </c>
      <c r="C152" s="770">
        <f>C168</f>
        <v>134.08416</v>
      </c>
      <c r="D152" s="770">
        <f t="shared" ref="D152:AB152" si="23">D168</f>
        <v>149.43679632000001</v>
      </c>
      <c r="E152" s="770">
        <f t="shared" si="23"/>
        <v>165.72540711888001</v>
      </c>
      <c r="F152" s="770">
        <f t="shared" si="23"/>
        <v>182.87798675568408</v>
      </c>
      <c r="G152" s="770">
        <f t="shared" si="23"/>
        <v>167.40955704259915</v>
      </c>
      <c r="H152" s="770">
        <f t="shared" si="23"/>
        <v>183.06235062608215</v>
      </c>
      <c r="I152" s="770">
        <f t="shared" si="23"/>
        <v>199.26336865649043</v>
      </c>
      <c r="J152" s="770">
        <f t="shared" si="23"/>
        <v>215.90185993930737</v>
      </c>
      <c r="K152" s="770">
        <f t="shared" si="23"/>
        <v>232.85015594454302</v>
      </c>
      <c r="L152" s="770">
        <f t="shared" si="23"/>
        <v>249.96464240646688</v>
      </c>
      <c r="M152" s="770">
        <f t="shared" si="23"/>
        <v>267.08722041130989</v>
      </c>
      <c r="N152" s="770">
        <f t="shared" si="23"/>
        <v>284.18080251763371</v>
      </c>
      <c r="O152" s="770">
        <f t="shared" si="23"/>
        <v>301.08956026743289</v>
      </c>
      <c r="P152" s="770">
        <f t="shared" si="23"/>
        <v>317.64948608214172</v>
      </c>
      <c r="Q152" s="770">
        <f t="shared" si="23"/>
        <v>333.69078512928985</v>
      </c>
      <c r="R152" s="770">
        <f t="shared" si="23"/>
        <v>349.0405612452372</v>
      </c>
      <c r="S152" s="770">
        <f t="shared" si="23"/>
        <v>363.52574453691449</v>
      </c>
      <c r="T152" s="770">
        <f t="shared" si="23"/>
        <v>377.52148570158573</v>
      </c>
      <c r="U152" s="770">
        <f t="shared" si="23"/>
        <v>390.92349844399195</v>
      </c>
      <c r="V152" s="770">
        <f t="shared" si="23"/>
        <v>403.62851214342163</v>
      </c>
      <c r="W152" s="770">
        <f t="shared" si="23"/>
        <v>415.53555325165252</v>
      </c>
      <c r="X152" s="770">
        <f t="shared" si="23"/>
        <v>426.54724541282127</v>
      </c>
      <c r="Y152" s="770">
        <f t="shared" si="23"/>
        <v>436.57110568002253</v>
      </c>
      <c r="Z152" s="770">
        <f t="shared" si="23"/>
        <v>445.520813346463</v>
      </c>
      <c r="AA152" s="770">
        <f t="shared" si="23"/>
        <v>453.31742758002599</v>
      </c>
      <c r="AB152" s="770">
        <f t="shared" si="23"/>
        <v>459.89053027993634</v>
      </c>
    </row>
    <row r="153" spans="2:28" ht="12.75" customHeight="1">
      <c r="B153" s="764" t="s">
        <v>639</v>
      </c>
      <c r="C153" s="770">
        <f>C150-C151</f>
        <v>1006.7501959414005</v>
      </c>
      <c r="D153" s="770">
        <f>D150-D151</f>
        <v>1025.4671169088147</v>
      </c>
      <c r="E153" s="770">
        <f t="shared" ref="E153:AB153" si="24">E150-E151</f>
        <v>1056.5148816531923</v>
      </c>
      <c r="F153" s="770">
        <f t="shared" si="24"/>
        <v>1099.2656378175614</v>
      </c>
      <c r="G153" s="770">
        <f t="shared" si="24"/>
        <v>1123.463392018067</v>
      </c>
      <c r="H153" s="770">
        <f t="shared" si="24"/>
        <v>1158.8083895113832</v>
      </c>
      <c r="I153" s="770">
        <f t="shared" si="24"/>
        <v>1204.5265512629383</v>
      </c>
      <c r="J153" s="770">
        <f t="shared" si="24"/>
        <v>1259.8330870008733</v>
      </c>
      <c r="K153" s="770">
        <f t="shared" si="24"/>
        <v>1323.9187015998384</v>
      </c>
      <c r="L153" s="770">
        <f t="shared" si="24"/>
        <v>1395.938222736942</v>
      </c>
      <c r="M153" s="770">
        <f t="shared" si="24"/>
        <v>1475.0018102138233</v>
      </c>
      <c r="N153" s="770">
        <f t="shared" si="24"/>
        <v>1560.2873359311961</v>
      </c>
      <c r="O153" s="770">
        <f t="shared" si="24"/>
        <v>1650.9274122623347</v>
      </c>
      <c r="P153" s="770">
        <f t="shared" si="24"/>
        <v>1746.0072547695638</v>
      </c>
      <c r="Q153" s="770">
        <f t="shared" si="24"/>
        <v>1844.5649080039295</v>
      </c>
      <c r="R153" s="770">
        <f t="shared" si="24"/>
        <v>1945.5938280248106</v>
      </c>
      <c r="S153" s="770">
        <f t="shared" si="24"/>
        <v>2048.0477695404011</v>
      </c>
      <c r="T153" s="770">
        <f t="shared" si="24"/>
        <v>2151.3315127085443</v>
      </c>
      <c r="U153" s="770">
        <f t="shared" si="24"/>
        <v>2254.8246383870105</v>
      </c>
      <c r="V153" s="770">
        <f t="shared" si="24"/>
        <v>2357.8852780374859</v>
      </c>
      <c r="W153" s="770">
        <f t="shared" si="24"/>
        <v>2459.8545761825294</v>
      </c>
      <c r="X153" s="770">
        <f t="shared" si="24"/>
        <v>2560.0618014586116</v>
      </c>
      <c r="Y153" s="770">
        <f t="shared" si="24"/>
        <v>2657.8300294722367</v>
      </c>
      <c r="Z153" s="770">
        <f t="shared" si="24"/>
        <v>2752.4823085211906</v>
      </c>
      <c r="AA153" s="770">
        <f t="shared" si="24"/>
        <v>2843.3482081793745</v>
      </c>
      <c r="AB153" s="770">
        <f t="shared" si="24"/>
        <v>2929.7706411347826</v>
      </c>
    </row>
    <row r="156" spans="2:28" ht="12.75" customHeight="1">
      <c r="B156" s="1341" t="s">
        <v>640</v>
      </c>
      <c r="C156" s="1341"/>
    </row>
    <row r="158" spans="2:28" ht="12.75" customHeight="1">
      <c r="C158" s="747">
        <v>2023</v>
      </c>
      <c r="D158" s="748">
        <v>2022</v>
      </c>
      <c r="E158" s="748">
        <v>2021</v>
      </c>
      <c r="F158" s="748">
        <v>2020</v>
      </c>
      <c r="G158" s="748">
        <v>2019</v>
      </c>
      <c r="H158" s="748">
        <v>2018</v>
      </c>
      <c r="I158" s="748">
        <v>2017</v>
      </c>
      <c r="J158" s="748">
        <v>2016</v>
      </c>
      <c r="K158" s="749">
        <v>2015</v>
      </c>
      <c r="L158" s="750">
        <v>2014</v>
      </c>
    </row>
    <row r="159" spans="2:28" ht="12.75" customHeight="1">
      <c r="B159" s="751" t="s">
        <v>641</v>
      </c>
      <c r="C159" s="587">
        <f>C46/'Fin. Data'!B5</f>
        <v>6.2146043201523581E-3</v>
      </c>
      <c r="D159" s="587">
        <f>D46/'Fin. Data'!C5</f>
        <v>6.9859087652256987E-3</v>
      </c>
      <c r="E159" s="587">
        <f>E46/'Fin. Data'!D5</f>
        <v>9.6622032866707248E-3</v>
      </c>
      <c r="F159" s="587">
        <f>F46/'Fin. Data'!E5</f>
        <v>1.1588706278971767E-2</v>
      </c>
      <c r="G159" s="587">
        <f>G46/'Fin. Data'!F5</f>
        <v>1.2080920723425549E-2</v>
      </c>
      <c r="H159" s="587">
        <f>H46/'Fin. Data'!G5</f>
        <v>3.9044765277399438E-3</v>
      </c>
      <c r="I159" s="587">
        <f>I46/'Fin. Data'!H5</f>
        <v>5.9171597633136093E-3</v>
      </c>
      <c r="J159" s="587">
        <f>J46/'Fin. Data'!I5</f>
        <v>7.2228241242325748E-3</v>
      </c>
      <c r="K159" s="587">
        <f>K46/'Fin. Data'!J5</f>
        <v>1.0278578290105667E-2</v>
      </c>
      <c r="L159" s="587">
        <f>L46/'Fin. Data'!K5</f>
        <v>9.7775117230370148E-3</v>
      </c>
    </row>
    <row r="161" spans="2:28" ht="12.75" customHeight="1">
      <c r="B161" s="682" t="s">
        <v>610</v>
      </c>
      <c r="C161" s="683">
        <f>AVERAGE(C159:L159)</f>
        <v>8.3632893802874919E-3</v>
      </c>
    </row>
    <row r="162" spans="2:28" ht="12.75" customHeight="1">
      <c r="B162" s="684" t="s">
        <v>611</v>
      </c>
      <c r="C162" s="768">
        <f>AVERAGE(C159:G159)</f>
        <v>9.3064686748892192E-3</v>
      </c>
      <c r="E162" s="785" t="s">
        <v>630</v>
      </c>
      <c r="F162" s="587">
        <v>6.0000000000000001E-3</v>
      </c>
      <c r="G162" s="1331" t="s">
        <v>631</v>
      </c>
    </row>
    <row r="163" spans="2:28" ht="12.75" customHeight="1">
      <c r="B163" s="766" t="s">
        <v>612</v>
      </c>
      <c r="C163" s="769">
        <f>AVERAGE(C159:E159)</f>
        <v>7.620905457349593E-3</v>
      </c>
      <c r="E163" s="785" t="s">
        <v>632</v>
      </c>
      <c r="F163" s="587">
        <v>5.0000000000000001E-3</v>
      </c>
      <c r="G163" s="1331"/>
    </row>
    <row r="164" spans="2:28" ht="12.75" customHeight="1">
      <c r="B164" s="687" t="s">
        <v>613</v>
      </c>
      <c r="C164" s="735">
        <f>AVERAGE(G159:L159)</f>
        <v>8.1969118586423927E-3</v>
      </c>
    </row>
    <row r="165" spans="2:28" ht="18" customHeight="1">
      <c r="C165" s="449" t="s">
        <v>212</v>
      </c>
    </row>
    <row r="166" spans="2:28" ht="13.5" customHeight="1"/>
    <row r="167" spans="2:28" ht="12.75" customHeight="1">
      <c r="B167"/>
      <c r="C167" s="688">
        <v>2024</v>
      </c>
      <c r="D167" s="689">
        <v>2025</v>
      </c>
      <c r="E167" s="689">
        <v>2026</v>
      </c>
      <c r="F167" s="689">
        <v>2027</v>
      </c>
      <c r="G167" s="689">
        <v>2028</v>
      </c>
      <c r="H167" s="689">
        <v>2029</v>
      </c>
      <c r="I167" s="689">
        <v>2030</v>
      </c>
      <c r="J167" s="689">
        <v>2031</v>
      </c>
      <c r="K167" s="689">
        <v>2032</v>
      </c>
      <c r="L167" s="689">
        <v>2033</v>
      </c>
      <c r="M167" s="689">
        <v>2034</v>
      </c>
      <c r="N167" s="689">
        <v>2035</v>
      </c>
      <c r="O167" s="689">
        <v>2036</v>
      </c>
      <c r="P167" s="689">
        <v>2037</v>
      </c>
      <c r="Q167" s="689">
        <v>2038</v>
      </c>
      <c r="R167" s="689">
        <v>2039</v>
      </c>
      <c r="S167" s="689">
        <v>2040</v>
      </c>
      <c r="T167" s="689">
        <v>2041</v>
      </c>
      <c r="U167" s="689">
        <v>2042</v>
      </c>
      <c r="V167" s="689">
        <v>2043</v>
      </c>
      <c r="W167" s="689">
        <v>2044</v>
      </c>
      <c r="X167" s="689">
        <v>2045</v>
      </c>
      <c r="Y167" s="689">
        <v>2046</v>
      </c>
      <c r="Z167" s="689">
        <v>2047</v>
      </c>
      <c r="AA167" s="736">
        <v>2048</v>
      </c>
      <c r="AB167" s="688">
        <v>2049</v>
      </c>
    </row>
    <row r="168" spans="2:28" ht="12.75" customHeight="1">
      <c r="B168" s="752" t="s">
        <v>642</v>
      </c>
      <c r="C168" s="1004">
        <f>$F$162*C81</f>
        <v>134.08416</v>
      </c>
      <c r="D168" s="754">
        <f t="shared" ref="D168:F168" si="25">$F$162*D81</f>
        <v>149.43679632000001</v>
      </c>
      <c r="E168" s="754">
        <f t="shared" si="25"/>
        <v>165.72540711888001</v>
      </c>
      <c r="F168" s="754">
        <f t="shared" si="25"/>
        <v>182.87798675568408</v>
      </c>
      <c r="G168" s="754">
        <f>$F$163*G81</f>
        <v>167.40955704259915</v>
      </c>
      <c r="H168" s="754">
        <f t="shared" ref="H168:AB168" si="26">$F$163*H81</f>
        <v>183.06235062608215</v>
      </c>
      <c r="I168" s="754">
        <f>$F$163*I81</f>
        <v>199.26336865649043</v>
      </c>
      <c r="J168" s="754">
        <f t="shared" si="26"/>
        <v>215.90185993930737</v>
      </c>
      <c r="K168" s="754">
        <f t="shared" si="26"/>
        <v>232.85015594454302</v>
      </c>
      <c r="L168" s="754">
        <f t="shared" si="26"/>
        <v>249.96464240646688</v>
      </c>
      <c r="M168" s="754">
        <f t="shared" si="26"/>
        <v>267.08722041130989</v>
      </c>
      <c r="N168" s="754">
        <f t="shared" si="26"/>
        <v>284.18080251763371</v>
      </c>
      <c r="O168" s="754">
        <f t="shared" si="26"/>
        <v>301.08956026743289</v>
      </c>
      <c r="P168" s="754">
        <f t="shared" si="26"/>
        <v>317.64948608214172</v>
      </c>
      <c r="Q168" s="754">
        <f t="shared" si="26"/>
        <v>333.69078512928985</v>
      </c>
      <c r="R168" s="754">
        <f t="shared" si="26"/>
        <v>349.0405612452372</v>
      </c>
      <c r="S168" s="754">
        <f t="shared" si="26"/>
        <v>363.52574453691449</v>
      </c>
      <c r="T168" s="754">
        <f t="shared" si="26"/>
        <v>377.52148570158573</v>
      </c>
      <c r="U168" s="754">
        <f t="shared" si="26"/>
        <v>390.92349844399195</v>
      </c>
      <c r="V168" s="754">
        <f t="shared" si="26"/>
        <v>403.62851214342163</v>
      </c>
      <c r="W168" s="754">
        <f t="shared" si="26"/>
        <v>415.53555325165252</v>
      </c>
      <c r="X168" s="754">
        <f t="shared" si="26"/>
        <v>426.54724541282127</v>
      </c>
      <c r="Y168" s="754">
        <f t="shared" si="26"/>
        <v>436.57110568002253</v>
      </c>
      <c r="Z168" s="754">
        <f t="shared" si="26"/>
        <v>445.520813346463</v>
      </c>
      <c r="AA168" s="754">
        <f t="shared" si="26"/>
        <v>453.31742758002599</v>
      </c>
      <c r="AB168" s="754">
        <f t="shared" si="26"/>
        <v>459.89053027993634</v>
      </c>
    </row>
    <row r="169" spans="2:28" ht="12.75" customHeight="1">
      <c r="B169"/>
      <c r="C169" s="786"/>
      <c r="D169" s="786"/>
      <c r="E169" s="786"/>
      <c r="F169" s="786"/>
      <c r="G169" s="786"/>
      <c r="H169" s="786"/>
      <c r="I169" s="786"/>
      <c r="J169" s="786"/>
      <c r="K169" s="786"/>
      <c r="L169" s="786"/>
      <c r="M169" s="786"/>
      <c r="N169" s="786"/>
      <c r="O169" s="786"/>
      <c r="P169" s="786"/>
      <c r="Q169" s="786"/>
      <c r="R169" s="786"/>
      <c r="S169" s="786"/>
      <c r="T169" s="786"/>
      <c r="U169" s="786"/>
      <c r="V169" s="786"/>
      <c r="W169" s="786"/>
      <c r="X169" s="786"/>
      <c r="Y169" s="786"/>
      <c r="Z169" s="786"/>
      <c r="AA169" s="786"/>
      <c r="AB169" s="786"/>
    </row>
    <row r="170" spans="2:28" ht="12.75" customHeight="1">
      <c r="B170" s="1342" t="s">
        <v>643</v>
      </c>
      <c r="C170" s="1342"/>
      <c r="D170" s="786"/>
      <c r="E170" s="786"/>
      <c r="F170" s="786"/>
      <c r="G170" s="786"/>
      <c r="H170" s="786"/>
      <c r="I170" s="786"/>
      <c r="J170" s="786"/>
      <c r="K170" s="786"/>
      <c r="L170" s="786"/>
      <c r="M170" s="786"/>
      <c r="N170" s="786"/>
      <c r="O170" s="786"/>
      <c r="P170" s="786"/>
      <c r="Q170" s="786"/>
      <c r="R170" s="786"/>
      <c r="S170" s="786"/>
      <c r="T170" s="786"/>
      <c r="U170" s="786"/>
      <c r="V170" s="786"/>
      <c r="W170" s="786"/>
      <c r="X170" s="786"/>
      <c r="Y170" s="786"/>
      <c r="Z170" s="786"/>
      <c r="AA170" s="786"/>
      <c r="AB170" s="786"/>
    </row>
    <row r="171" spans="2:28" ht="12.75" customHeight="1">
      <c r="B171"/>
      <c r="C171" s="786"/>
      <c r="D171" s="786"/>
      <c r="E171" s="786"/>
      <c r="F171" s="786"/>
      <c r="G171" s="786"/>
      <c r="H171" s="786"/>
      <c r="I171" s="786"/>
      <c r="J171" s="786"/>
      <c r="K171" s="786"/>
      <c r="L171" s="786"/>
      <c r="M171" s="786"/>
      <c r="N171" s="786"/>
      <c r="O171" s="786"/>
      <c r="P171" s="786"/>
      <c r="Q171" s="786"/>
      <c r="R171" s="786"/>
      <c r="S171" s="786"/>
      <c r="T171" s="786"/>
      <c r="U171" s="786"/>
      <c r="V171" s="786"/>
      <c r="W171" s="786"/>
      <c r="X171" s="786"/>
      <c r="Y171" s="786"/>
      <c r="Z171" s="786"/>
      <c r="AA171" s="786"/>
      <c r="AB171" s="786"/>
    </row>
    <row r="172" spans="2:28" ht="12.75" customHeight="1">
      <c r="B172"/>
      <c r="C172" s="786"/>
      <c r="D172" s="786"/>
      <c r="E172" s="786"/>
      <c r="F172" s="786"/>
      <c r="G172" s="786"/>
      <c r="H172" s="786"/>
      <c r="I172" s="786"/>
      <c r="J172" s="786"/>
      <c r="K172" s="786"/>
      <c r="L172" s="786"/>
      <c r="M172" s="786"/>
      <c r="N172" s="786"/>
      <c r="O172" s="786"/>
      <c r="P172" s="786"/>
      <c r="Q172" s="786"/>
      <c r="R172" s="786"/>
      <c r="S172" s="786"/>
      <c r="T172" s="786"/>
      <c r="U172" s="786"/>
      <c r="V172" s="786"/>
      <c r="W172" s="786"/>
      <c r="X172" s="786"/>
      <c r="Y172" s="786"/>
      <c r="Z172" s="786"/>
      <c r="AA172" s="786"/>
      <c r="AB172" s="786"/>
    </row>
    <row r="173" spans="2:28" ht="12.75" customHeight="1">
      <c r="B173"/>
      <c r="C173" s="688">
        <v>2024</v>
      </c>
      <c r="D173" s="689">
        <v>2025</v>
      </c>
      <c r="E173" s="689">
        <v>2026</v>
      </c>
      <c r="F173" s="689">
        <v>2027</v>
      </c>
      <c r="G173" s="689">
        <v>2028</v>
      </c>
      <c r="H173" s="689">
        <v>2029</v>
      </c>
      <c r="I173" s="689">
        <v>2030</v>
      </c>
      <c r="J173" s="689">
        <v>2031</v>
      </c>
      <c r="K173" s="689">
        <v>2032</v>
      </c>
      <c r="L173" s="689">
        <v>2033</v>
      </c>
      <c r="M173" s="689">
        <v>2034</v>
      </c>
      <c r="N173" s="689">
        <v>2035</v>
      </c>
      <c r="O173" s="689">
        <v>2036</v>
      </c>
      <c r="P173" s="689">
        <v>2037</v>
      </c>
      <c r="Q173" s="689">
        <v>2038</v>
      </c>
      <c r="R173" s="689">
        <v>2039</v>
      </c>
      <c r="S173" s="689">
        <v>2040</v>
      </c>
      <c r="T173" s="689">
        <v>2041</v>
      </c>
      <c r="U173" s="689">
        <v>2042</v>
      </c>
      <c r="V173" s="689">
        <v>2043</v>
      </c>
      <c r="W173" s="689">
        <v>2044</v>
      </c>
      <c r="X173" s="689">
        <v>2045</v>
      </c>
      <c r="Y173" s="689">
        <v>2046</v>
      </c>
      <c r="Z173" s="689">
        <v>2047</v>
      </c>
      <c r="AA173" s="736">
        <v>2048</v>
      </c>
      <c r="AB173" s="688">
        <v>2049</v>
      </c>
    </row>
    <row r="174" spans="2:28" ht="12.75" customHeight="1">
      <c r="B174" s="752" t="s">
        <v>644</v>
      </c>
      <c r="C174" s="754">
        <f>C168+C136</f>
        <v>1050.3259200000002</v>
      </c>
      <c r="D174" s="754">
        <f t="shared" ref="D174:AB174" si="27">D168+D136</f>
        <v>1170.5882378400001</v>
      </c>
      <c r="E174" s="754">
        <f t="shared" si="27"/>
        <v>1298.18235576456</v>
      </c>
      <c r="F174" s="754">
        <f t="shared" si="27"/>
        <v>1432.5442295861922</v>
      </c>
      <c r="G174" s="754">
        <f t="shared" si="27"/>
        <v>1506.6860133833923</v>
      </c>
      <c r="H174" s="754">
        <f t="shared" si="27"/>
        <v>1647.5611556347394</v>
      </c>
      <c r="I174" s="754">
        <f t="shared" si="27"/>
        <v>1793.3703179084139</v>
      </c>
      <c r="J174" s="754">
        <f t="shared" si="27"/>
        <v>1943.1167394537663</v>
      </c>
      <c r="K174" s="754">
        <f t="shared" si="27"/>
        <v>2095.6514035008872</v>
      </c>
      <c r="L174" s="754">
        <f t="shared" si="27"/>
        <v>2249.681781658202</v>
      </c>
      <c r="M174" s="754">
        <f t="shared" si="27"/>
        <v>2403.7849837017889</v>
      </c>
      <c r="N174" s="754">
        <f t="shared" si="27"/>
        <v>2557.6272226587034</v>
      </c>
      <c r="O174" s="754">
        <f t="shared" si="27"/>
        <v>2709.8060424068958</v>
      </c>
      <c r="P174" s="754">
        <f t="shared" si="27"/>
        <v>2858.8453747392755</v>
      </c>
      <c r="Q174" s="754">
        <f t="shared" si="27"/>
        <v>3003.2170661636087</v>
      </c>
      <c r="R174" s="754">
        <f t="shared" si="27"/>
        <v>3141.3650512071349</v>
      </c>
      <c r="S174" s="754">
        <f t="shared" si="27"/>
        <v>3271.7317008322302</v>
      </c>
      <c r="T174" s="754">
        <f t="shared" si="27"/>
        <v>3397.6933713142716</v>
      </c>
      <c r="U174" s="754">
        <f t="shared" si="27"/>
        <v>3518.3114859959273</v>
      </c>
      <c r="V174" s="754">
        <f t="shared" si="27"/>
        <v>3632.6566092907947</v>
      </c>
      <c r="W174" s="754">
        <f t="shared" si="27"/>
        <v>3739.8199792648725</v>
      </c>
      <c r="X174" s="754">
        <f t="shared" si="27"/>
        <v>3838.9252087153914</v>
      </c>
      <c r="Y174" s="754">
        <f t="shared" si="27"/>
        <v>3929.1399511202026</v>
      </c>
      <c r="Z174" s="754">
        <f t="shared" si="27"/>
        <v>4009.687320118167</v>
      </c>
      <c r="AA174" s="754">
        <f t="shared" si="27"/>
        <v>4079.856848220234</v>
      </c>
      <c r="AB174" s="754">
        <f t="shared" si="27"/>
        <v>4139.0147725194274</v>
      </c>
    </row>
    <row r="175" spans="2:28" ht="12.75" customHeight="1">
      <c r="B175"/>
      <c r="C175" s="786"/>
      <c r="D175" s="786"/>
      <c r="E175" s="786"/>
      <c r="F175" s="786"/>
      <c r="G175" s="786"/>
      <c r="H175" s="786"/>
      <c r="I175" s="786"/>
      <c r="J175" s="786"/>
      <c r="K175" s="786"/>
      <c r="L175" s="786"/>
      <c r="M175" s="786"/>
      <c r="N175" s="786"/>
      <c r="O175" s="786"/>
      <c r="P175" s="786"/>
      <c r="Q175" s="786"/>
      <c r="R175" s="786"/>
      <c r="S175" s="786"/>
      <c r="T175" s="786"/>
      <c r="U175" s="786"/>
      <c r="V175" s="786"/>
      <c r="W175" s="786"/>
      <c r="X175" s="786"/>
      <c r="Y175" s="786"/>
      <c r="Z175" s="786"/>
      <c r="AA175" s="786"/>
      <c r="AB175" s="786"/>
    </row>
    <row r="176" spans="2:28" ht="12.75" customHeight="1">
      <c r="B176" s="1332" t="s">
        <v>645</v>
      </c>
      <c r="C176" s="1332"/>
    </row>
    <row r="178" spans="2:28" ht="12.75" customHeight="1">
      <c r="C178" s="747">
        <v>2023</v>
      </c>
      <c r="D178" s="748">
        <v>2022</v>
      </c>
      <c r="E178" s="748">
        <v>2021</v>
      </c>
      <c r="F178" s="748">
        <v>2020</v>
      </c>
      <c r="G178" s="748">
        <v>2019</v>
      </c>
      <c r="H178" s="748">
        <v>2018</v>
      </c>
      <c r="I178" s="748">
        <v>2017</v>
      </c>
      <c r="J178" s="748">
        <v>2016</v>
      </c>
      <c r="K178" s="749">
        <v>2015</v>
      </c>
      <c r="L178" s="750">
        <v>2014</v>
      </c>
    </row>
    <row r="179" spans="2:28" ht="12.75" customHeight="1">
      <c r="B179" s="751" t="s">
        <v>646</v>
      </c>
      <c r="C179" s="587">
        <f>C19</f>
        <v>4.7110710168896909E-3</v>
      </c>
      <c r="D179" s="587">
        <f t="shared" ref="D179:L179" si="28">D19</f>
        <v>4.0004776689753999E-3</v>
      </c>
      <c r="E179" s="587">
        <f t="shared" si="28"/>
        <v>3.2714546561168592E-3</v>
      </c>
      <c r="F179" s="587">
        <f t="shared" si="28"/>
        <v>1.9665683382497543E-3</v>
      </c>
      <c r="G179" s="587">
        <f t="shared" si="28"/>
        <v>2.0015726642361857E-3</v>
      </c>
      <c r="H179" s="587">
        <f t="shared" si="28"/>
        <v>2.0884409334422957E-3</v>
      </c>
      <c r="I179" s="587">
        <f t="shared" si="28"/>
        <v>2.8176951253874329E-3</v>
      </c>
      <c r="J179" s="587">
        <f t="shared" si="28"/>
        <v>2.1668472372697724E-3</v>
      </c>
      <c r="K179" s="587">
        <f t="shared" si="28"/>
        <v>2.1133525456292026E-3</v>
      </c>
      <c r="L179" s="587">
        <f t="shared" si="28"/>
        <v>1.9954105557218396E-3</v>
      </c>
    </row>
    <row r="181" spans="2:28" ht="12.75" customHeight="1">
      <c r="B181" s="682" t="s">
        <v>610</v>
      </c>
      <c r="C181" s="683">
        <f>AVERAGE(C179:L179)</f>
        <v>2.7132890741918434E-3</v>
      </c>
    </row>
    <row r="182" spans="2:28" ht="12.75" customHeight="1">
      <c r="B182" s="684" t="s">
        <v>611</v>
      </c>
      <c r="C182" s="768">
        <f>AVERAGE(C179:G179)</f>
        <v>3.1902288688935776E-3</v>
      </c>
      <c r="E182" s="785" t="s">
        <v>630</v>
      </c>
      <c r="F182" s="587">
        <v>4.7000000000000002E-3</v>
      </c>
      <c r="G182" s="1331" t="s">
        <v>631</v>
      </c>
    </row>
    <row r="183" spans="2:28" ht="12.75" customHeight="1">
      <c r="B183" s="766" t="s">
        <v>612</v>
      </c>
      <c r="C183" s="769">
        <f>AVERAGE(C179:E179)</f>
        <v>3.9943344473273162E-3</v>
      </c>
      <c r="E183" s="785" t="s">
        <v>632</v>
      </c>
      <c r="F183" s="587">
        <v>5.0000000000000001E-3</v>
      </c>
      <c r="G183" s="1331"/>
    </row>
    <row r="184" spans="2:28" ht="12.75" customHeight="1">
      <c r="B184" s="687" t="s">
        <v>613</v>
      </c>
      <c r="C184" s="735">
        <f>AVERAGE(G179:L179)</f>
        <v>2.197219843614455E-3</v>
      </c>
    </row>
    <row r="186" spans="2:28" ht="12.75" customHeight="1">
      <c r="B186"/>
      <c r="C186" s="688">
        <v>2024</v>
      </c>
      <c r="D186" s="689">
        <v>2025</v>
      </c>
      <c r="E186" s="689">
        <v>2026</v>
      </c>
      <c r="F186" s="689">
        <v>2027</v>
      </c>
      <c r="G186" s="689">
        <v>2028</v>
      </c>
      <c r="H186" s="689">
        <v>2029</v>
      </c>
      <c r="I186" s="689">
        <v>2030</v>
      </c>
      <c r="J186" s="689">
        <v>2031</v>
      </c>
      <c r="K186" s="689">
        <v>2032</v>
      </c>
      <c r="L186" s="689">
        <v>2033</v>
      </c>
      <c r="M186" s="689">
        <v>2034</v>
      </c>
      <c r="N186" s="689">
        <v>2035</v>
      </c>
      <c r="O186" s="689">
        <v>2036</v>
      </c>
      <c r="P186" s="689">
        <v>2037</v>
      </c>
      <c r="Q186" s="689">
        <v>2038</v>
      </c>
      <c r="R186" s="689">
        <v>2039</v>
      </c>
      <c r="S186" s="689">
        <v>2040</v>
      </c>
      <c r="T186" s="689">
        <v>2041</v>
      </c>
      <c r="U186" s="689">
        <v>2042</v>
      </c>
      <c r="V186" s="689">
        <v>2043</v>
      </c>
      <c r="W186" s="689">
        <v>2044</v>
      </c>
      <c r="X186" s="689">
        <v>2045</v>
      </c>
      <c r="Y186" s="689">
        <v>2046</v>
      </c>
      <c r="Z186" s="689">
        <v>2047</v>
      </c>
      <c r="AA186" s="736">
        <v>2048</v>
      </c>
      <c r="AB186" s="688">
        <v>2049</v>
      </c>
    </row>
    <row r="187" spans="2:28" ht="12.75" customHeight="1">
      <c r="B187" s="752" t="s">
        <v>647</v>
      </c>
      <c r="C187" s="754">
        <f>$F$182*C81</f>
        <v>105.03259200000001</v>
      </c>
      <c r="D187" s="754">
        <f t="shared" ref="D187:F187" si="29">$F$182*D81</f>
        <v>117.05882378400001</v>
      </c>
      <c r="E187" s="754">
        <f t="shared" si="29"/>
        <v>129.818235576456</v>
      </c>
      <c r="F187" s="754">
        <f t="shared" si="29"/>
        <v>143.25442295861922</v>
      </c>
      <c r="G187" s="754">
        <f>$F$183*G81</f>
        <v>167.40955704259915</v>
      </c>
      <c r="H187" s="754">
        <f t="shared" ref="H187:AB187" si="30">$F$183*H81</f>
        <v>183.06235062608215</v>
      </c>
      <c r="I187" s="754">
        <f t="shared" si="30"/>
        <v>199.26336865649043</v>
      </c>
      <c r="J187" s="754">
        <f t="shared" si="30"/>
        <v>215.90185993930737</v>
      </c>
      <c r="K187" s="754">
        <f t="shared" si="30"/>
        <v>232.85015594454302</v>
      </c>
      <c r="L187" s="754">
        <f t="shared" si="30"/>
        <v>249.96464240646688</v>
      </c>
      <c r="M187" s="754">
        <f t="shared" si="30"/>
        <v>267.08722041130989</v>
      </c>
      <c r="N187" s="754">
        <f t="shared" si="30"/>
        <v>284.18080251763371</v>
      </c>
      <c r="O187" s="754">
        <f t="shared" si="30"/>
        <v>301.08956026743289</v>
      </c>
      <c r="P187" s="754">
        <f t="shared" si="30"/>
        <v>317.64948608214172</v>
      </c>
      <c r="Q187" s="754">
        <f t="shared" si="30"/>
        <v>333.69078512928985</v>
      </c>
      <c r="R187" s="754">
        <f t="shared" si="30"/>
        <v>349.0405612452372</v>
      </c>
      <c r="S187" s="754">
        <f t="shared" si="30"/>
        <v>363.52574453691449</v>
      </c>
      <c r="T187" s="754">
        <f t="shared" si="30"/>
        <v>377.52148570158573</v>
      </c>
      <c r="U187" s="754">
        <f t="shared" si="30"/>
        <v>390.92349844399195</v>
      </c>
      <c r="V187" s="754">
        <f t="shared" si="30"/>
        <v>403.62851214342163</v>
      </c>
      <c r="W187" s="754">
        <f t="shared" si="30"/>
        <v>415.53555325165252</v>
      </c>
      <c r="X187" s="754">
        <f t="shared" si="30"/>
        <v>426.54724541282127</v>
      </c>
      <c r="Y187" s="754">
        <f t="shared" si="30"/>
        <v>436.57110568002253</v>
      </c>
      <c r="Z187" s="754">
        <f t="shared" si="30"/>
        <v>445.520813346463</v>
      </c>
      <c r="AA187" s="754">
        <f t="shared" si="30"/>
        <v>453.31742758002599</v>
      </c>
      <c r="AB187" s="754">
        <f t="shared" si="30"/>
        <v>459.89053027993634</v>
      </c>
    </row>
    <row r="190" spans="2:28" ht="12.75" customHeight="1">
      <c r="B190" s="1332" t="s">
        <v>648</v>
      </c>
      <c r="C190" s="1332"/>
    </row>
    <row r="192" spans="2:28" ht="12.75" customHeight="1">
      <c r="C192" s="747">
        <v>2023</v>
      </c>
      <c r="D192" s="748">
        <v>2022</v>
      </c>
      <c r="E192" s="748">
        <v>2021</v>
      </c>
      <c r="F192" s="748">
        <v>2020</v>
      </c>
      <c r="G192" s="748">
        <v>2019</v>
      </c>
      <c r="H192" s="748">
        <v>2018</v>
      </c>
      <c r="I192" s="748">
        <v>2017</v>
      </c>
      <c r="J192" s="748">
        <v>2016</v>
      </c>
      <c r="K192" s="749">
        <v>2015</v>
      </c>
      <c r="L192" s="750">
        <v>2014</v>
      </c>
    </row>
    <row r="193" spans="2:28" ht="12.75" customHeight="1">
      <c r="B193" s="776" t="s">
        <v>649</v>
      </c>
      <c r="C193" s="777">
        <f>'Fin. Data'!B58</f>
        <v>15671</v>
      </c>
      <c r="D193" s="777">
        <f>'Fin. Data'!C58</f>
        <v>15006</v>
      </c>
      <c r="E193" s="777">
        <f>'Fin. Data'!D58</f>
        <v>13551</v>
      </c>
      <c r="F193" s="777">
        <f>'Fin. Data'!E58</f>
        <v>9743</v>
      </c>
      <c r="G193" s="777">
        <f>'Fin. Data'!F58</f>
        <v>7060</v>
      </c>
      <c r="H193" s="777">
        <f>'Fin. Data'!G58</f>
        <v>8189</v>
      </c>
      <c r="I193" s="777">
        <f>'Fin. Data'!H58</f>
        <v>2140</v>
      </c>
      <c r="J193" s="777">
        <f>'Fin. Data'!I58</f>
        <v>2477</v>
      </c>
      <c r="K193" s="777">
        <f>'Fin. Data'!J58</f>
        <v>3093</v>
      </c>
      <c r="L193" s="777">
        <f>'Fin. Data'!K58</f>
        <v>1569</v>
      </c>
    </row>
    <row r="194" spans="2:28" ht="12.75" customHeight="1">
      <c r="B194" s="775" t="s">
        <v>650</v>
      </c>
      <c r="C194" s="587">
        <f>C193/'Fin. Data'!B5</f>
        <v>0.78539567984764191</v>
      </c>
      <c r="D194" s="587">
        <f>D193/'Fin. Data'!C5</f>
        <v>0.89598758060663963</v>
      </c>
      <c r="E194" s="587">
        <f>E193/'Fin. Data'!D5</f>
        <v>1.0309646987218504</v>
      </c>
      <c r="F194" s="587">
        <f>F193/'Fin. Data'!E5</f>
        <v>0.68429554712740548</v>
      </c>
      <c r="G194" s="587">
        <f>G193/'Fin. Data'!F5</f>
        <v>0.5046822503395525</v>
      </c>
      <c r="H194" s="587">
        <f>H193/'Fin. Data'!G5</f>
        <v>0.74357577408517206</v>
      </c>
      <c r="I194" s="587">
        <f>I193/'Fin. Data'!H5</f>
        <v>0.20099558561097022</v>
      </c>
      <c r="J194" s="587">
        <f>J193/'Fin. Data'!I5</f>
        <v>0.22363669194655111</v>
      </c>
      <c r="K194" s="587">
        <f>K193/'Fin. Data'!J5</f>
        <v>0.29711815561959654</v>
      </c>
      <c r="L194" s="587">
        <f>L193/'Fin. Data'!K5</f>
        <v>0.15653995809637833</v>
      </c>
      <c r="M194" s="449" t="s">
        <v>651</v>
      </c>
    </row>
    <row r="195" spans="2:28" ht="12.75" customHeight="1">
      <c r="B195" s="775" t="s">
        <v>652</v>
      </c>
      <c r="C195" s="587">
        <f>C193/-'Fin. Data'!B32</f>
        <v>15.925813008130081</v>
      </c>
      <c r="D195" s="587">
        <f>D193/-'Fin. Data'!C32</f>
        <v>17.149714285714285</v>
      </c>
      <c r="E195" s="587">
        <f>E193/-'Fin. Data'!D32</f>
        <v>26.415204678362574</v>
      </c>
      <c r="F195" s="587">
        <f>F193/-'Fin. Data'!E32</f>
        <v>13.219810040705562</v>
      </c>
      <c r="G195" s="587">
        <f>G193/-'Fin. Data'!F32</f>
        <v>8.5472154963680396</v>
      </c>
      <c r="H195" s="587">
        <f>H193/-'Fin. Data'!G32</f>
        <v>16.815195071868583</v>
      </c>
      <c r="I195" s="587">
        <f>I193/-'Fin. Data'!H32</f>
        <v>3.5726210350584306</v>
      </c>
      <c r="J195" s="587">
        <f>J193/-'Fin. Data'!I32</f>
        <v>3.4887323943661972</v>
      </c>
      <c r="K195" s="587">
        <f>K193/-'Fin. Data'!J32</f>
        <v>4.3686440677966099</v>
      </c>
      <c r="L195" s="587">
        <f>L193/-'Fin. Data'!K32</f>
        <v>2.3244444444444445</v>
      </c>
    </row>
    <row r="197" spans="2:28" ht="12.75" customHeight="1">
      <c r="B197" s="775" t="s">
        <v>653</v>
      </c>
      <c r="C197" s="587">
        <f>'Fin. Data'!B58/'Fin. Data'!B19</f>
        <v>2.4086996618505996</v>
      </c>
      <c r="D197" s="587">
        <f>'Fin. Data'!C58/'Fin. Data'!C19</f>
        <v>2.8095862198090247</v>
      </c>
      <c r="E197" s="587">
        <f>'Fin. Data'!D58/'Fin. Data'!D19</f>
        <v>4.4900596421471173</v>
      </c>
      <c r="F197" s="587">
        <f>'Fin. Data'!E58/'Fin. Data'!E19</f>
        <v>3.2218915343915344</v>
      </c>
      <c r="G197" s="587">
        <f>'Fin. Data'!F58/'Fin. Data'!F19</f>
        <v>2.5331898098313599</v>
      </c>
      <c r="H197" s="587">
        <f>'Fin. Data'!G58/'Fin. Data'!G19</f>
        <v>3.3894867549668874</v>
      </c>
      <c r="I197" s="587">
        <f>'Fin. Data'!H58/'Fin. Data'!H19</f>
        <v>0.90870488322717624</v>
      </c>
      <c r="J197" s="587">
        <f>'Fin. Data'!I58/'Fin. Data'!I19</f>
        <v>0.94003795066413665</v>
      </c>
      <c r="K197" s="587">
        <f>'Fin. Data'!J58/'Fin. Data'!J19</f>
        <v>0.97294746775715635</v>
      </c>
      <c r="L197" s="587">
        <f>'Fin. Data'!K58/'Fin. Data'!K19</f>
        <v>0.54821802935010477</v>
      </c>
      <c r="M197" s="449" t="s">
        <v>654</v>
      </c>
    </row>
    <row r="198" spans="2:28" ht="12.75" customHeight="1">
      <c r="B198" s="457"/>
      <c r="C198" s="457"/>
      <c r="D198" s="457"/>
      <c r="E198" s="457"/>
      <c r="F198" s="457"/>
      <c r="G198" s="457"/>
      <c r="H198" s="457"/>
      <c r="I198" s="457"/>
      <c r="J198" s="457"/>
      <c r="K198" s="457"/>
      <c r="L198" s="457"/>
    </row>
    <row r="199" spans="2:28" ht="12.75" customHeight="1">
      <c r="B199" s="14" t="s">
        <v>655</v>
      </c>
      <c r="C199" s="11"/>
      <c r="D199" s="11"/>
      <c r="E199" s="11"/>
      <c r="F199" s="11"/>
      <c r="G199" s="11"/>
    </row>
    <row r="200" spans="2:28" ht="12.75" customHeight="1">
      <c r="B200" s="682" t="s">
        <v>610</v>
      </c>
      <c r="C200" s="683">
        <f>AVERAGE(C194:L194)</f>
        <v>0.55231919220017578</v>
      </c>
      <c r="D200" s="11"/>
      <c r="E200" s="785" t="s">
        <v>630</v>
      </c>
      <c r="F200" s="778">
        <v>0.65</v>
      </c>
      <c r="G200" s="11"/>
    </row>
    <row r="201" spans="2:28" ht="12.75" customHeight="1">
      <c r="B201" s="684" t="s">
        <v>611</v>
      </c>
      <c r="C201" s="686">
        <f>AVERAGE(C194:G194)</f>
        <v>0.78026515132861785</v>
      </c>
      <c r="D201" s="11"/>
      <c r="E201" s="785" t="s">
        <v>632</v>
      </c>
      <c r="F201" s="778">
        <v>0.7</v>
      </c>
      <c r="G201" s="11"/>
    </row>
    <row r="202" spans="2:28" ht="12.75" customHeight="1">
      <c r="B202" s="684" t="s">
        <v>612</v>
      </c>
      <c r="C202" s="686">
        <f>AVERAGE(C194:E194)</f>
        <v>0.90411598639204394</v>
      </c>
      <c r="D202" s="11"/>
      <c r="E202" s="11"/>
      <c r="F202" s="11"/>
      <c r="G202" s="11"/>
    </row>
    <row r="203" spans="2:28" ht="12.75" customHeight="1">
      <c r="B203" s="687" t="s">
        <v>613</v>
      </c>
      <c r="C203" s="735">
        <f>AVERAGE(G194:L194)</f>
        <v>0.35442473594970347</v>
      </c>
      <c r="D203" s="11"/>
      <c r="E203" s="11"/>
      <c r="F203" s="11"/>
      <c r="G203" s="11"/>
    </row>
    <row r="204" spans="2:28" ht="12.75" customHeight="1">
      <c r="B204"/>
      <c r="C204" s="246"/>
      <c r="D204" s="11"/>
      <c r="E204"/>
      <c r="F204" s="246"/>
    </row>
    <row r="206" spans="2:28" ht="12.75" customHeight="1">
      <c r="B206"/>
      <c r="C206" s="688">
        <v>2024</v>
      </c>
      <c r="D206" s="689">
        <v>2025</v>
      </c>
      <c r="E206" s="689">
        <v>2026</v>
      </c>
      <c r="F206" s="689">
        <v>2027</v>
      </c>
      <c r="G206" s="689">
        <v>2028</v>
      </c>
      <c r="H206" s="689">
        <v>2029</v>
      </c>
      <c r="I206" s="689">
        <v>2030</v>
      </c>
      <c r="J206" s="689">
        <v>2031</v>
      </c>
      <c r="K206" s="689">
        <v>2032</v>
      </c>
      <c r="L206" s="689">
        <v>2033</v>
      </c>
      <c r="M206" s="689">
        <v>2034</v>
      </c>
      <c r="N206" s="689">
        <v>2035</v>
      </c>
      <c r="O206" s="689">
        <v>2036</v>
      </c>
      <c r="P206" s="689">
        <v>2037</v>
      </c>
      <c r="Q206" s="689">
        <v>2038</v>
      </c>
      <c r="R206" s="689">
        <v>2039</v>
      </c>
      <c r="S206" s="689">
        <v>2040</v>
      </c>
      <c r="T206" s="689">
        <v>2041</v>
      </c>
      <c r="U206" s="689">
        <v>2042</v>
      </c>
      <c r="V206" s="689">
        <v>2043</v>
      </c>
      <c r="W206" s="689">
        <v>2044</v>
      </c>
      <c r="X206" s="689">
        <v>2045</v>
      </c>
      <c r="Y206" s="689">
        <v>2046</v>
      </c>
      <c r="Z206" s="689">
        <v>2047</v>
      </c>
      <c r="AA206" s="736">
        <v>2048</v>
      </c>
      <c r="AB206" s="688">
        <v>2049</v>
      </c>
    </row>
    <row r="207" spans="2:28" ht="12.75" customHeight="1">
      <c r="B207" s="752" t="s">
        <v>656</v>
      </c>
      <c r="C207" s="754">
        <f>$F$200*C81</f>
        <v>14525.784000000001</v>
      </c>
      <c r="D207" s="754">
        <f>$F$200*D81</f>
        <v>16188.986268000002</v>
      </c>
      <c r="E207" s="754">
        <f>$F$200*E81</f>
        <v>17953.585771212001</v>
      </c>
      <c r="F207" s="754">
        <f>$F$200*F81</f>
        <v>19811.781898532445</v>
      </c>
      <c r="G207" s="754">
        <f t="shared" ref="G207:AB207" si="31">$F$201*G81</f>
        <v>23437.337985963881</v>
      </c>
      <c r="H207" s="754">
        <f t="shared" si="31"/>
        <v>25628.7290876515</v>
      </c>
      <c r="I207" s="754">
        <f t="shared" si="31"/>
        <v>27896.871611908657</v>
      </c>
      <c r="J207" s="754">
        <f t="shared" si="31"/>
        <v>30226.260391503027</v>
      </c>
      <c r="K207" s="754">
        <f t="shared" si="31"/>
        <v>32599.02183223602</v>
      </c>
      <c r="L207" s="754">
        <f t="shared" si="31"/>
        <v>34995.049936905358</v>
      </c>
      <c r="M207" s="754">
        <f t="shared" si="31"/>
        <v>37392.210857583377</v>
      </c>
      <c r="N207" s="754">
        <f t="shared" si="31"/>
        <v>39785.312352468718</v>
      </c>
      <c r="O207" s="754">
        <f t="shared" si="31"/>
        <v>42152.538437440606</v>
      </c>
      <c r="P207" s="754">
        <f t="shared" si="31"/>
        <v>44470.928051499839</v>
      </c>
      <c r="Q207" s="754">
        <f t="shared" si="31"/>
        <v>46716.709918100576</v>
      </c>
      <c r="R207" s="754">
        <f t="shared" si="31"/>
        <v>48865.6785743332</v>
      </c>
      <c r="S207" s="754">
        <f t="shared" si="31"/>
        <v>50893.60423516803</v>
      </c>
      <c r="T207" s="754">
        <f t="shared" si="31"/>
        <v>52853.007998221998</v>
      </c>
      <c r="U207" s="754">
        <f t="shared" si="31"/>
        <v>54729.289782158863</v>
      </c>
      <c r="V207" s="754">
        <f t="shared" si="31"/>
        <v>56507.991700079023</v>
      </c>
      <c r="W207" s="754">
        <f t="shared" si="31"/>
        <v>58174.977455231347</v>
      </c>
      <c r="X207" s="754">
        <f t="shared" si="31"/>
        <v>59716.614357794977</v>
      </c>
      <c r="Y207" s="754">
        <f t="shared" si="31"/>
        <v>61119.95479520315</v>
      </c>
      <c r="Z207" s="754">
        <f t="shared" si="31"/>
        <v>62372.913868504809</v>
      </c>
      <c r="AA207" s="754">
        <f t="shared" si="31"/>
        <v>63464.439861203631</v>
      </c>
      <c r="AB207" s="754">
        <f t="shared" si="31"/>
        <v>64384.674239191088</v>
      </c>
    </row>
    <row r="210" spans="2:28" ht="12.75" customHeight="1">
      <c r="B210" s="1333" t="s">
        <v>657</v>
      </c>
      <c r="C210" s="1333"/>
    </row>
    <row r="211" spans="2:28" ht="12.75" customHeight="1">
      <c r="B211" s="828"/>
      <c r="C211" s="828"/>
      <c r="D211" s="827"/>
      <c r="E211" s="827"/>
      <c r="F211" s="827"/>
      <c r="G211" s="827"/>
      <c r="H211" s="827"/>
    </row>
    <row r="212" spans="2:28" ht="12.75" customHeight="1">
      <c r="C212" s="828"/>
      <c r="D212" s="827"/>
      <c r="E212" s="827"/>
      <c r="F212" s="827"/>
      <c r="G212" s="827"/>
      <c r="H212" s="827"/>
    </row>
    <row r="213" spans="2:28" ht="12.75" customHeight="1">
      <c r="B213" s="11"/>
      <c r="C213" s="747">
        <v>2023</v>
      </c>
      <c r="D213" s="748">
        <v>2022</v>
      </c>
      <c r="E213" s="748">
        <v>2021</v>
      </c>
      <c r="F213" s="748">
        <v>2020</v>
      </c>
      <c r="G213" s="748">
        <v>2019</v>
      </c>
      <c r="H213" s="748">
        <v>2018</v>
      </c>
      <c r="I213" s="748">
        <v>2017</v>
      </c>
      <c r="J213" s="748">
        <v>2016</v>
      </c>
      <c r="K213" s="748">
        <v>2015</v>
      </c>
    </row>
    <row r="214" spans="2:28" ht="12.75" customHeight="1">
      <c r="B214" s="834" t="s">
        <v>658</v>
      </c>
      <c r="C214" s="835">
        <f>Inputs!B22</f>
        <v>-1993</v>
      </c>
      <c r="D214" s="835">
        <f>Inputs!C22</f>
        <v>-455</v>
      </c>
      <c r="E214" s="835">
        <f>Inputs!D22</f>
        <v>187</v>
      </c>
      <c r="F214" s="835">
        <f>Inputs!E22</f>
        <v>-754</v>
      </c>
      <c r="G214" s="835">
        <f>Inputs!F22</f>
        <v>-764</v>
      </c>
      <c r="H214" s="835">
        <f>Inputs!G22</f>
        <v>-37</v>
      </c>
      <c r="I214" s="835">
        <f>Inputs!H22</f>
        <v>-306</v>
      </c>
      <c r="J214" s="835">
        <f>Inputs!I22</f>
        <v>-626</v>
      </c>
      <c r="K214" s="835">
        <f>Inputs!J22</f>
        <v>-1261</v>
      </c>
    </row>
    <row r="215" spans="2:28" ht="12.75" customHeight="1">
      <c r="B215" s="836" t="s">
        <v>659</v>
      </c>
      <c r="C215" s="837">
        <f>C43</f>
        <v>3205</v>
      </c>
      <c r="D215" s="837">
        <f t="shared" ref="D215:K215" si="32">D43</f>
        <v>3604</v>
      </c>
      <c r="E215" s="837">
        <f t="shared" si="32"/>
        <v>-1094</v>
      </c>
      <c r="F215" s="837">
        <f t="shared" si="32"/>
        <v>249</v>
      </c>
      <c r="G215" s="837">
        <f t="shared" si="32"/>
        <v>2976</v>
      </c>
      <c r="H215" s="837">
        <f t="shared" si="32"/>
        <v>366</v>
      </c>
      <c r="I215" s="837">
        <f t="shared" si="32"/>
        <v>-429</v>
      </c>
      <c r="J215" s="837">
        <f t="shared" si="32"/>
        <v>666</v>
      </c>
      <c r="K215" s="837">
        <f t="shared" si="32"/>
        <v>387</v>
      </c>
    </row>
    <row r="216" spans="2:28" ht="12.75" customHeight="1">
      <c r="B216" s="834" t="s">
        <v>660</v>
      </c>
      <c r="C216" s="838">
        <f>C214/C215</f>
        <v>-0.62184087363494545</v>
      </c>
      <c r="D216" s="838">
        <f t="shared" ref="D216:K216" si="33">D214/D215</f>
        <v>-0.1262486126526082</v>
      </c>
      <c r="E216" s="838">
        <f>E214/E215</f>
        <v>-0.17093235831809872</v>
      </c>
      <c r="F216" s="838" t="s">
        <v>29</v>
      </c>
      <c r="G216" s="838">
        <f t="shared" si="33"/>
        <v>-0.25672043010752688</v>
      </c>
      <c r="H216" s="838">
        <f t="shared" si="33"/>
        <v>-0.10109289617486339</v>
      </c>
      <c r="I216" s="838">
        <f t="shared" si="33"/>
        <v>0.71328671328671334</v>
      </c>
      <c r="J216" s="838">
        <f t="shared" si="33"/>
        <v>-0.93993993993993996</v>
      </c>
      <c r="K216" s="838">
        <f t="shared" si="33"/>
        <v>-3.2583979328165373</v>
      </c>
    </row>
    <row r="217" spans="2:28" ht="12.75" customHeight="1">
      <c r="E217" s="827"/>
      <c r="F217" s="827"/>
      <c r="G217" s="827"/>
      <c r="H217" s="827"/>
    </row>
    <row r="218" spans="2:28" ht="12.75" customHeight="1">
      <c r="B218" s="782" t="s">
        <v>661</v>
      </c>
      <c r="C218" s="829">
        <f>AVERAGE(C216:E216)</f>
        <v>-0.3063406148685508</v>
      </c>
      <c r="D218" s="827"/>
      <c r="E218" s="771" t="s">
        <v>630</v>
      </c>
      <c r="F218" s="587">
        <v>0.2</v>
      </c>
      <c r="G218" s="827"/>
      <c r="H218" s="827"/>
    </row>
    <row r="219" spans="2:28" ht="12.75" customHeight="1">
      <c r="B219" s="783" t="s">
        <v>662</v>
      </c>
      <c r="C219" s="830">
        <f>AVERAGE(C216:G216)</f>
        <v>-0.29393556867829485</v>
      </c>
      <c r="D219" s="827"/>
      <c r="E219" s="771" t="s">
        <v>632</v>
      </c>
      <c r="F219" s="587">
        <v>0.25</v>
      </c>
      <c r="G219" s="827"/>
      <c r="H219" s="827"/>
      <c r="K219" s="841"/>
    </row>
    <row r="220" spans="2:28" ht="12.75" customHeight="1">
      <c r="B220" s="784" t="s">
        <v>663</v>
      </c>
      <c r="C220" s="831">
        <f>AVERAGE(C216:K216)</f>
        <v>-0.59523579129472581</v>
      </c>
      <c r="D220" s="827"/>
      <c r="E220" s="827"/>
      <c r="F220" s="827"/>
      <c r="G220" s="827"/>
      <c r="H220" s="827"/>
      <c r="K220" s="841"/>
    </row>
    <row r="221" spans="2:28" ht="12.75" customHeight="1">
      <c r="B221" s="828"/>
      <c r="C221" s="828"/>
      <c r="D221" s="827"/>
      <c r="E221" s="827"/>
      <c r="F221" s="827"/>
      <c r="G221" s="827"/>
      <c r="H221" s="827"/>
    </row>
    <row r="222" spans="2:28" ht="12.75" customHeight="1">
      <c r="B222" s="14"/>
      <c r="C222" s="761">
        <v>2024</v>
      </c>
      <c r="D222" s="762">
        <v>2025</v>
      </c>
      <c r="E222" s="762">
        <v>2026</v>
      </c>
      <c r="F222" s="762">
        <v>2027</v>
      </c>
      <c r="G222" s="762">
        <v>2028</v>
      </c>
      <c r="H222" s="762">
        <v>2029</v>
      </c>
      <c r="I222" s="762">
        <v>2030</v>
      </c>
      <c r="J222" s="762">
        <v>2031</v>
      </c>
      <c r="K222" s="762">
        <v>2032</v>
      </c>
      <c r="L222" s="762">
        <v>2033</v>
      </c>
      <c r="M222" s="762">
        <v>2034</v>
      </c>
      <c r="N222" s="762">
        <v>2035</v>
      </c>
      <c r="O222" s="762">
        <v>2036</v>
      </c>
      <c r="P222" s="762">
        <v>2037</v>
      </c>
      <c r="Q222" s="762">
        <v>2038</v>
      </c>
      <c r="R222" s="762">
        <v>2039</v>
      </c>
      <c r="S222" s="762">
        <v>2040</v>
      </c>
      <c r="T222" s="762">
        <v>2041</v>
      </c>
      <c r="U222" s="762">
        <v>2042</v>
      </c>
      <c r="V222" s="762">
        <v>2043</v>
      </c>
      <c r="W222" s="762">
        <v>2044</v>
      </c>
      <c r="X222" s="762">
        <v>2045</v>
      </c>
      <c r="Y222" s="762">
        <v>2046</v>
      </c>
      <c r="Z222" s="762">
        <v>2047</v>
      </c>
      <c r="AA222" s="762">
        <v>2048</v>
      </c>
      <c r="AB222" s="762">
        <v>2049</v>
      </c>
    </row>
    <row r="223" spans="2:28" ht="12.75" customHeight="1">
      <c r="B223" s="833" t="s">
        <v>664</v>
      </c>
      <c r="C223" s="832">
        <f>$F$218*(DCF!G6-DCF!F6)</f>
        <v>478.87200000000013</v>
      </c>
      <c r="D223" s="832">
        <f>$F$218*(DCF!H6-DCF!G6)</f>
        <v>511.75454400000018</v>
      </c>
      <c r="E223" s="832">
        <f>$F$218*(DCF!I6-DCF!H6)</f>
        <v>542.95369329599998</v>
      </c>
      <c r="F223" s="832">
        <f>$F$218*(DCF!J6-DCF!I6)</f>
        <v>571.75265456013585</v>
      </c>
      <c r="G223" s="832">
        <f>$F$219*(DCF!K6-DCF!J6)</f>
        <v>750.56173730978753</v>
      </c>
      <c r="H223" s="832">
        <f>$F$219*(DCF!L6-DCF!K6)</f>
        <v>782.63967917414993</v>
      </c>
      <c r="I223" s="832">
        <f>$F$219*(DCF!M6-DCF!L6)</f>
        <v>810.05090152041339</v>
      </c>
      <c r="J223" s="832">
        <f>$F$219*(DCF!N6-DCF!M6)</f>
        <v>831.924564140847</v>
      </c>
      <c r="K223" s="832">
        <f>$F$219*(DCF!O6-DCF!N6)</f>
        <v>847.41480026178215</v>
      </c>
      <c r="L223" s="832">
        <f>$F$219*(DCF!P6-DCF!O6)</f>
        <v>855.72432309619398</v>
      </c>
      <c r="M223" s="832">
        <f>$F$219*(DCF!Q6-DCF!P6)</f>
        <v>856.12890024214903</v>
      </c>
      <c r="N223" s="832">
        <f>$F$219*(DCF!R6-DCF!Q6)</f>
        <v>854.67910531619236</v>
      </c>
      <c r="O223" s="832">
        <f>$F$219*(DCF!S6-DCF!R6)</f>
        <v>845.43788748995939</v>
      </c>
      <c r="P223" s="832">
        <f>$F$219*(DCF!T6-DCF!S6)</f>
        <v>827.9962907354402</v>
      </c>
      <c r="Q223" s="832">
        <f>$F$219*(DCF!U6-DCF!T6)</f>
        <v>802.0649523574084</v>
      </c>
      <c r="R223" s="832">
        <f>$F$219*(DCF!V6-DCF!U6)</f>
        <v>767.48880579736579</v>
      </c>
      <c r="S223" s="832">
        <f>$F$219*(DCF!W6-DCF!V6)</f>
        <v>724.25916458386564</v>
      </c>
      <c r="T223" s="832">
        <f>$F$219*(DCF!X6-DCF!W6)</f>
        <v>699.78705823355995</v>
      </c>
      <c r="U223" s="832">
        <f>$F$219*(DCF!Y6-DCF!X6)</f>
        <v>670.10063712031115</v>
      </c>
      <c r="V223" s="832">
        <f>$F$219*(DCF!Z6-DCF!Y6)</f>
        <v>635.25068497148459</v>
      </c>
      <c r="W223" s="832">
        <f>$F$219*(DCF!AA6-DCF!Z6)</f>
        <v>595.35205541154573</v>
      </c>
      <c r="X223" s="832">
        <f>$F$219*(DCF!AB6-DCF!AA6)</f>
        <v>550.58460805843788</v>
      </c>
      <c r="Y223" s="832">
        <f>$F$219*(DCF!AC6-DCF!AB6)</f>
        <v>501.19301336006174</v>
      </c>
      <c r="Z223" s="832">
        <f>$F$219*(DCF!AD6-DCF!AC6)</f>
        <v>447.48538332202224</v>
      </c>
      <c r="AA223" s="832">
        <f>$F$219*(DCF!AE6-DCF!AD6)</f>
        <v>389.83071167815069</v>
      </c>
      <c r="AB223" s="832">
        <f>$F$219*(DCF!AF6-DCF!AE6)</f>
        <v>328.65513499551889</v>
      </c>
    </row>
    <row r="225" spans="2:28" ht="12.75" customHeight="1">
      <c r="B225" s="1332" t="s">
        <v>665</v>
      </c>
      <c r="C225" s="1332"/>
    </row>
    <row r="228" spans="2:28" ht="12.75" customHeight="1">
      <c r="C228" s="747">
        <v>2023</v>
      </c>
      <c r="D228" s="748">
        <v>2022</v>
      </c>
      <c r="E228" s="748">
        <v>2021</v>
      </c>
      <c r="F228" s="748">
        <v>2020</v>
      </c>
      <c r="G228" s="748">
        <v>2019</v>
      </c>
      <c r="H228" s="748">
        <v>2018</v>
      </c>
      <c r="I228" s="748">
        <v>2017</v>
      </c>
      <c r="J228" s="748">
        <v>2016</v>
      </c>
      <c r="K228" s="749">
        <v>2015</v>
      </c>
      <c r="L228" s="750">
        <v>2014</v>
      </c>
    </row>
    <row r="229" spans="2:28" ht="12.75" customHeight="1">
      <c r="B229" s="775" t="s">
        <v>666</v>
      </c>
      <c r="C229" s="787">
        <f>-Inputs!B66</f>
        <v>1045</v>
      </c>
      <c r="D229" s="787">
        <f>-Inputs!C66</f>
        <v>1175</v>
      </c>
      <c r="E229" s="787">
        <f>-Inputs!D66</f>
        <v>1315</v>
      </c>
      <c r="F229" s="787">
        <f>-Inputs!E66</f>
        <v>70</v>
      </c>
      <c r="G229" s="787">
        <f>-Inputs!F66</f>
        <v>1993</v>
      </c>
      <c r="H229" s="787">
        <f>-Inputs!G66</f>
        <v>2201</v>
      </c>
      <c r="I229" s="787">
        <f>-Inputs!H66</f>
        <v>-146</v>
      </c>
      <c r="J229" s="787">
        <f>-Inputs!I66</f>
        <v>550</v>
      </c>
      <c r="K229" s="787">
        <f>-Inputs!J66</f>
        <v>-414</v>
      </c>
      <c r="L229" s="787">
        <f>-Inputs!K66</f>
        <v>136</v>
      </c>
    </row>
    <row r="230" spans="2:28" ht="12.75" customHeight="1">
      <c r="B230" s="839" t="s">
        <v>667</v>
      </c>
      <c r="C230" s="840">
        <f>C229/Inputs!B6</f>
        <v>5.2373076730316243E-2</v>
      </c>
      <c r="D230" s="840">
        <f>D229/Inputs!C6</f>
        <v>7.0157630761882014E-2</v>
      </c>
      <c r="E230" s="840">
        <f>E229/Inputs!D6</f>
        <v>0.10004564820450396</v>
      </c>
      <c r="F230" s="840">
        <f>F229/Inputs!E6</f>
        <v>4.9164208456243851E-3</v>
      </c>
      <c r="G230" s="840">
        <f>G229/Inputs!F6</f>
        <v>0.14246908285081136</v>
      </c>
      <c r="H230" s="840">
        <f>H229/Inputs!G6</f>
        <v>0.1998547171524562</v>
      </c>
      <c r="I230" s="840">
        <f>I229/Inputs!H6</f>
        <v>-1.3712782943552174E-2</v>
      </c>
      <c r="J230" s="840">
        <f>J229/Inputs!I6</f>
        <v>4.9656915854098954E-2</v>
      </c>
      <c r="K230" s="840">
        <f>K229/Inputs!J6</f>
        <v>-3.976945244956772E-2</v>
      </c>
      <c r="L230" s="840">
        <f>L229/Inputs!K6</f>
        <v>1.3568791778908511E-2</v>
      </c>
    </row>
    <row r="231" spans="2:28" ht="12.75" customHeight="1">
      <c r="B231" s="775" t="s">
        <v>467</v>
      </c>
      <c r="C231" s="587">
        <f>C229/D229-1</f>
        <v>-0.11063829787234047</v>
      </c>
      <c r="D231" s="587">
        <f t="shared" ref="D231:K231" si="34">D229/E229-1</f>
        <v>-0.10646387832699622</v>
      </c>
      <c r="E231" s="587">
        <f t="shared" si="34"/>
        <v>17.785714285714285</v>
      </c>
      <c r="F231" s="587">
        <f t="shared" si="34"/>
        <v>-0.96487706974410437</v>
      </c>
      <c r="G231" s="587">
        <f t="shared" si="34"/>
        <v>-9.4502498864152629E-2</v>
      </c>
      <c r="H231" s="587">
        <f t="shared" si="34"/>
        <v>-16.075342465753423</v>
      </c>
      <c r="I231" s="587">
        <f t="shared" si="34"/>
        <v>-1.2654545454545454</v>
      </c>
      <c r="J231" s="587">
        <f t="shared" si="34"/>
        <v>-2.3285024154589369</v>
      </c>
      <c r="K231" s="587">
        <f t="shared" si="34"/>
        <v>-4.0441176470588234</v>
      </c>
      <c r="L231" s="587" t="s">
        <v>29</v>
      </c>
    </row>
    <row r="233" spans="2:28" ht="12.75" customHeight="1">
      <c r="B233" s="682" t="s">
        <v>598</v>
      </c>
      <c r="C233" s="683">
        <f>AVERAGE(C230:L230)</f>
        <v>5.7956004878548163E-2</v>
      </c>
    </row>
    <row r="234" spans="2:28" ht="12.75" customHeight="1">
      <c r="B234" s="684" t="s">
        <v>600</v>
      </c>
      <c r="C234" s="753">
        <f>AVERAGE(C230:G230)</f>
        <v>7.3992371878627589E-2</v>
      </c>
      <c r="E234" s="771" t="s">
        <v>630</v>
      </c>
      <c r="F234" s="587">
        <v>0.02</v>
      </c>
      <c r="G234" s="1331" t="s">
        <v>668</v>
      </c>
    </row>
    <row r="235" spans="2:28" ht="12.75" customHeight="1">
      <c r="B235" s="684" t="s">
        <v>602</v>
      </c>
      <c r="C235" s="686">
        <f>AVERAGE(C230:E230)</f>
        <v>7.41921185655674E-2</v>
      </c>
      <c r="E235" s="771" t="s">
        <v>632</v>
      </c>
      <c r="F235" s="587">
        <v>1.4999999999999999E-2</v>
      </c>
      <c r="G235" s="1331"/>
    </row>
    <row r="236" spans="2:28" ht="12.75" customHeight="1">
      <c r="B236" s="687" t="s">
        <v>604</v>
      </c>
      <c r="C236" s="735">
        <f>AVERAGE(G230:L230)</f>
        <v>5.8677878707192523E-2</v>
      </c>
    </row>
    <row r="239" spans="2:28" ht="12.75" customHeight="1">
      <c r="B239"/>
      <c r="C239" s="688">
        <v>2024</v>
      </c>
      <c r="D239" s="689">
        <v>2025</v>
      </c>
      <c r="E239" s="689">
        <v>2026</v>
      </c>
      <c r="F239" s="689">
        <v>2027</v>
      </c>
      <c r="G239" s="689">
        <v>2028</v>
      </c>
      <c r="H239" s="689">
        <v>2029</v>
      </c>
      <c r="I239" s="689">
        <v>2030</v>
      </c>
      <c r="J239" s="689">
        <v>2031</v>
      </c>
      <c r="K239" s="689">
        <v>2032</v>
      </c>
      <c r="L239" s="689">
        <v>2033</v>
      </c>
      <c r="M239" s="689">
        <v>2034</v>
      </c>
      <c r="N239" s="689">
        <v>2035</v>
      </c>
      <c r="O239" s="689">
        <v>2036</v>
      </c>
      <c r="P239" s="689">
        <v>2037</v>
      </c>
      <c r="Q239" s="689">
        <v>2038</v>
      </c>
      <c r="R239" s="689">
        <v>2039</v>
      </c>
      <c r="S239" s="689">
        <v>2040</v>
      </c>
      <c r="T239" s="689">
        <v>2041</v>
      </c>
      <c r="U239" s="689">
        <v>2042</v>
      </c>
      <c r="V239" s="689">
        <v>2043</v>
      </c>
      <c r="W239" s="689">
        <v>2044</v>
      </c>
      <c r="X239" s="689">
        <v>2045</v>
      </c>
      <c r="Y239" s="689">
        <v>2046</v>
      </c>
      <c r="Z239" s="689">
        <v>2047</v>
      </c>
      <c r="AA239" s="736">
        <v>2048</v>
      </c>
      <c r="AB239" s="688">
        <v>2049</v>
      </c>
    </row>
    <row r="240" spans="2:28" ht="12.75" customHeight="1">
      <c r="B240" s="752" t="s">
        <v>669</v>
      </c>
      <c r="C240" s="754">
        <f>C229*(1+$F$234)</f>
        <v>1065.9000000000001</v>
      </c>
      <c r="D240" s="754">
        <f>C240*(1+$F$234)</f>
        <v>1087.2180000000001</v>
      </c>
      <c r="E240" s="754">
        <f t="shared" ref="E240:F240" si="35">D240*(1+$F$234)</f>
        <v>1108.96236</v>
      </c>
      <c r="F240" s="754">
        <f t="shared" si="35"/>
        <v>1131.1416072</v>
      </c>
      <c r="G240" s="754">
        <f>F240*(1+$F$235)</f>
        <v>1148.1087313079997</v>
      </c>
      <c r="H240" s="754">
        <f t="shared" ref="H240:AB240" si="36">G240*(1+$F$235)</f>
        <v>1165.3303622776195</v>
      </c>
      <c r="I240" s="754">
        <f t="shared" si="36"/>
        <v>1182.8103177117837</v>
      </c>
      <c r="J240" s="754">
        <f t="shared" si="36"/>
        <v>1200.5524724774602</v>
      </c>
      <c r="K240" s="754">
        <f t="shared" si="36"/>
        <v>1218.560759564622</v>
      </c>
      <c r="L240" s="754">
        <f t="shared" si="36"/>
        <v>1236.8391709580912</v>
      </c>
      <c r="M240" s="754">
        <f t="shared" si="36"/>
        <v>1255.3917585224624</v>
      </c>
      <c r="N240" s="754">
        <f t="shared" si="36"/>
        <v>1274.2226349002992</v>
      </c>
      <c r="O240" s="754">
        <f t="shared" si="36"/>
        <v>1293.3359744238037</v>
      </c>
      <c r="P240" s="754">
        <f t="shared" si="36"/>
        <v>1312.7360140401606</v>
      </c>
      <c r="Q240" s="754">
        <f t="shared" si="36"/>
        <v>1332.4270542507629</v>
      </c>
      <c r="R240" s="754">
        <f t="shared" si="36"/>
        <v>1352.4134600645243</v>
      </c>
      <c r="S240" s="754">
        <f t="shared" si="36"/>
        <v>1372.6996619654919</v>
      </c>
      <c r="T240" s="754">
        <f t="shared" si="36"/>
        <v>1393.2901568949742</v>
      </c>
      <c r="U240" s="754">
        <f t="shared" si="36"/>
        <v>1414.1895092483987</v>
      </c>
      <c r="V240" s="754">
        <f t="shared" si="36"/>
        <v>1435.4023518871245</v>
      </c>
      <c r="W240" s="754">
        <f t="shared" si="36"/>
        <v>1456.9333871654312</v>
      </c>
      <c r="X240" s="754">
        <f t="shared" si="36"/>
        <v>1478.7873879729125</v>
      </c>
      <c r="Y240" s="754">
        <f t="shared" si="36"/>
        <v>1500.9691987925059</v>
      </c>
      <c r="Z240" s="754">
        <f t="shared" si="36"/>
        <v>1523.4837367743935</v>
      </c>
      <c r="AA240" s="754">
        <f t="shared" si="36"/>
        <v>1546.3359928260093</v>
      </c>
      <c r="AB240" s="754">
        <f t="shared" si="36"/>
        <v>1569.5310327183993</v>
      </c>
    </row>
    <row r="243" spans="2:28" ht="12.75" customHeight="1">
      <c r="B243" s="1332" t="s">
        <v>670</v>
      </c>
      <c r="C243" s="1332"/>
    </row>
    <row r="244" spans="2:28" s="452" customFormat="1" ht="12.75" customHeight="1">
      <c r="B244" s="819"/>
      <c r="C244" s="820"/>
      <c r="D244" s="820"/>
      <c r="E244" s="820"/>
      <c r="F244" s="820"/>
      <c r="G244" s="820"/>
      <c r="H244" s="820"/>
      <c r="I244" s="820"/>
      <c r="J244" s="820"/>
      <c r="K244" s="820"/>
      <c r="L244" s="820"/>
    </row>
    <row r="245" spans="2:28" s="452" customFormat="1" ht="12.75" customHeight="1">
      <c r="B245" s="449"/>
      <c r="C245" s="747">
        <v>2023</v>
      </c>
      <c r="D245" s="748">
        <v>2022</v>
      </c>
      <c r="E245" s="748">
        <v>2021</v>
      </c>
      <c r="F245" s="748">
        <v>2020</v>
      </c>
      <c r="G245" s="748">
        <v>2019</v>
      </c>
      <c r="H245" s="748">
        <v>2018</v>
      </c>
      <c r="I245" s="748">
        <v>2017</v>
      </c>
      <c r="J245" s="748">
        <v>2016</v>
      </c>
      <c r="K245" s="749">
        <v>2015</v>
      </c>
      <c r="L245" s="750">
        <v>2014</v>
      </c>
    </row>
    <row r="246" spans="2:28" s="452" customFormat="1" ht="12.75" customHeight="1">
      <c r="B246" s="813" t="s">
        <v>155</v>
      </c>
      <c r="C246" s="823">
        <f>-Inputs!B73</f>
        <v>1851</v>
      </c>
      <c r="D246" s="823">
        <f>-Inputs!C73</f>
        <v>1041</v>
      </c>
      <c r="E246" s="823">
        <f>-Inputs!D73</f>
        <v>529</v>
      </c>
      <c r="F246" s="823">
        <f>-Inputs!E73</f>
        <v>1017</v>
      </c>
      <c r="G246" s="823">
        <f>-Inputs!F73</f>
        <v>926</v>
      </c>
      <c r="H246" s="823">
        <f>-Inputs!G73</f>
        <v>918</v>
      </c>
      <c r="I246" s="823">
        <f>-Inputs!H73</f>
        <v>878</v>
      </c>
      <c r="J246" s="823">
        <f>-Inputs!I73</f>
        <v>854</v>
      </c>
      <c r="K246" s="823">
        <f>-Inputs!J73</f>
        <v>650</v>
      </c>
      <c r="L246" s="823">
        <f>-Inputs!K73</f>
        <v>452</v>
      </c>
    </row>
    <row r="247" spans="2:28" s="452" customFormat="1" ht="12.75" customHeight="1">
      <c r="B247" s="821" t="s">
        <v>671</v>
      </c>
      <c r="C247" s="822">
        <f>C246/'Fin. Data'!B23</f>
        <v>0.47183278103492227</v>
      </c>
      <c r="D247" s="822">
        <f>D246/'Fin. Data'!C23</f>
        <v>0.42594108019639937</v>
      </c>
      <c r="E247" s="822">
        <f>E246/'Fin. Data'!D23</f>
        <v>0.40661029976940816</v>
      </c>
      <c r="F247" s="822">
        <f>F246/'Fin. Data'!E23</f>
        <v>1.090032154340836</v>
      </c>
      <c r="G247" s="822">
        <f>G246/'Fin. Data'!F23</f>
        <v>0.33261494252873564</v>
      </c>
      <c r="H247" s="822">
        <f>H246/'Fin. Data'!G23</f>
        <v>0.75184275184275184</v>
      </c>
      <c r="I247" s="822">
        <f>I246/'Fin. Data'!H23</f>
        <v>0.72561983471074376</v>
      </c>
      <c r="J247" s="822">
        <f>J246/'Fin. Data'!I23</f>
        <v>0.50592417061611372</v>
      </c>
      <c r="K247" s="822">
        <f>K246/'Fin. Data'!J23</f>
        <v>0.48652694610778441</v>
      </c>
      <c r="L247" s="822">
        <f>L246/'Fin. Data'!K23</f>
        <v>0.21689059500959693</v>
      </c>
    </row>
    <row r="248" spans="2:28" s="452" customFormat="1" ht="12.75" customHeight="1">
      <c r="C248" s="824"/>
      <c r="D248" s="824"/>
      <c r="E248" s="824"/>
      <c r="F248" s="824"/>
      <c r="G248" s="824"/>
      <c r="H248" s="824"/>
      <c r="I248" s="824"/>
      <c r="J248" s="824"/>
      <c r="K248" s="824"/>
      <c r="L248" s="824"/>
    </row>
    <row r="249" spans="2:28" s="452" customFormat="1" ht="12.75" customHeight="1">
      <c r="B249" s="682" t="s">
        <v>598</v>
      </c>
      <c r="C249" s="683">
        <f>AVERAGE(C247:L247)</f>
        <v>0.54138355561572915</v>
      </c>
      <c r="D249" s="824"/>
      <c r="E249" s="824"/>
      <c r="F249" s="824"/>
      <c r="G249" s="824"/>
      <c r="H249" s="824"/>
      <c r="I249" s="824"/>
      <c r="J249" s="824"/>
      <c r="K249" s="824"/>
      <c r="L249" s="824"/>
    </row>
    <row r="250" spans="2:28" s="452" customFormat="1" ht="12.75" customHeight="1">
      <c r="B250" s="684" t="s">
        <v>600</v>
      </c>
      <c r="C250" s="753">
        <f>AVERAGE(C247:G247)</f>
        <v>0.54540625157406031</v>
      </c>
      <c r="D250" s="824"/>
      <c r="E250" s="771" t="s">
        <v>630</v>
      </c>
      <c r="F250" s="587">
        <v>0.5</v>
      </c>
      <c r="G250" s="1331" t="s">
        <v>672</v>
      </c>
      <c r="H250" s="824"/>
      <c r="I250" s="824"/>
      <c r="J250" s="824"/>
      <c r="K250" s="824"/>
      <c r="L250" s="824"/>
    </row>
    <row r="251" spans="2:28" s="452" customFormat="1" ht="12.75" customHeight="1">
      <c r="B251" s="684" t="s">
        <v>602</v>
      </c>
      <c r="C251" s="686">
        <f>AVERAGE(C247:E247)</f>
        <v>0.43479472033357663</v>
      </c>
      <c r="D251" s="824"/>
      <c r="E251" s="771" t="s">
        <v>632</v>
      </c>
      <c r="F251" s="587">
        <v>0.55000000000000004</v>
      </c>
      <c r="G251" s="1331"/>
      <c r="H251" s="824"/>
      <c r="I251" s="824"/>
      <c r="J251" s="824"/>
      <c r="K251" s="824"/>
      <c r="L251" s="824"/>
    </row>
    <row r="252" spans="2:28" s="452" customFormat="1" ht="12.75" customHeight="1">
      <c r="B252" s="687" t="s">
        <v>604</v>
      </c>
      <c r="C252" s="735">
        <f>AVERAGE(G247:L247)</f>
        <v>0.50323654013595431</v>
      </c>
      <c r="D252" s="824"/>
      <c r="E252" s="824"/>
      <c r="F252" s="824"/>
      <c r="G252" s="824"/>
      <c r="H252" s="824"/>
      <c r="I252" s="824"/>
      <c r="J252" s="824"/>
      <c r="K252" s="824"/>
      <c r="L252" s="824"/>
    </row>
    <row r="253" spans="2:28" s="452" customFormat="1" ht="12.75" customHeight="1">
      <c r="C253" s="825" t="s">
        <v>673</v>
      </c>
      <c r="D253" s="824"/>
      <c r="E253" s="824"/>
      <c r="F253" s="824"/>
      <c r="G253" s="824"/>
      <c r="H253" s="824"/>
      <c r="I253" s="824"/>
      <c r="J253" s="824"/>
      <c r="K253" s="824"/>
      <c r="L253" s="824"/>
    </row>
    <row r="254" spans="2:28" s="452" customFormat="1" ht="12.75" customHeight="1">
      <c r="B254" s="819"/>
      <c r="C254" s="820"/>
      <c r="D254" s="820"/>
      <c r="E254" s="820"/>
      <c r="F254" s="820"/>
      <c r="G254" s="820"/>
      <c r="H254" s="820"/>
      <c r="I254" s="820"/>
      <c r="J254" s="820"/>
      <c r="K254" s="820"/>
      <c r="L254" s="820"/>
    </row>
    <row r="255" spans="2:28" s="452" customFormat="1" ht="12.75" customHeight="1">
      <c r="B255"/>
      <c r="C255" s="688">
        <v>2024</v>
      </c>
      <c r="D255" s="689">
        <v>2025</v>
      </c>
      <c r="E255" s="689">
        <v>2026</v>
      </c>
      <c r="F255" s="689">
        <v>2027</v>
      </c>
      <c r="G255" s="689">
        <v>2028</v>
      </c>
      <c r="H255" s="689">
        <v>2029</v>
      </c>
      <c r="I255" s="689">
        <v>2030</v>
      </c>
      <c r="J255" s="689">
        <v>2031</v>
      </c>
      <c r="K255" s="689">
        <v>2032</v>
      </c>
      <c r="L255" s="689">
        <v>2033</v>
      </c>
      <c r="M255" s="689">
        <v>2034</v>
      </c>
      <c r="N255" s="689">
        <v>2035</v>
      </c>
      <c r="O255" s="689">
        <v>2036</v>
      </c>
      <c r="P255" s="689">
        <v>2037</v>
      </c>
      <c r="Q255" s="689">
        <v>2038</v>
      </c>
      <c r="R255" s="689">
        <v>2039</v>
      </c>
      <c r="S255" s="689">
        <v>2040</v>
      </c>
      <c r="T255" s="689">
        <v>2041</v>
      </c>
      <c r="U255" s="689">
        <v>2042</v>
      </c>
      <c r="V255" s="689">
        <v>2043</v>
      </c>
      <c r="W255" s="689">
        <v>2044</v>
      </c>
      <c r="X255" s="689">
        <v>2045</v>
      </c>
      <c r="Y255" s="689">
        <v>2046</v>
      </c>
      <c r="Z255" s="689">
        <v>2047</v>
      </c>
      <c r="AA255" s="736">
        <v>2048</v>
      </c>
      <c r="AB255" s="688">
        <v>2049</v>
      </c>
    </row>
    <row r="256" spans="2:28" s="452" customFormat="1" ht="12.75" customHeight="1">
      <c r="B256" s="814" t="s">
        <v>674</v>
      </c>
      <c r="C256" s="815">
        <f>$F$250*DCF!G17</f>
        <v>1998.7573689999999</v>
      </c>
      <c r="D256" s="815">
        <f>$F$250*DCF!H17</f>
        <v>2103.3490212477313</v>
      </c>
      <c r="E256" s="815">
        <f>$F$250*DCF!I17</f>
        <v>2398.1402047943639</v>
      </c>
      <c r="F256" s="815">
        <f>$F$250*DCF!J17</f>
        <v>2522.1980574484737</v>
      </c>
      <c r="G256" s="815">
        <f>$F$251*DCF!K17</f>
        <v>3047.492799363044</v>
      </c>
      <c r="H256" s="815">
        <f>$F$251*DCF!L17</f>
        <v>3167.4909166229245</v>
      </c>
      <c r="I256" s="815">
        <f>$F$251*DCF!M17</f>
        <v>3361.3506506809845</v>
      </c>
      <c r="J256" s="815">
        <f>$F$251*DCF!N17</f>
        <v>3548.1672654203758</v>
      </c>
      <c r="K256" s="815">
        <f>$F$251*DCF!O17</f>
        <v>3831.2526378221623</v>
      </c>
      <c r="L256" s="815">
        <f>$F$251*DCF!P17</f>
        <v>4117.9324506363218</v>
      </c>
      <c r="M256" s="815">
        <f>$F$251*DCF!Q17</f>
        <v>4160.7099522265407</v>
      </c>
      <c r="N256" s="815">
        <f>$F$251*DCF!R17</f>
        <v>4432.082456524583</v>
      </c>
      <c r="O256" s="815">
        <f>$F$251*DCF!S17</f>
        <v>4701.8456381908718</v>
      </c>
      <c r="P256" s="815">
        <f>$F$251*DCF!T17</f>
        <v>4967.6200445836675</v>
      </c>
      <c r="Q256" s="815">
        <f>$F$251*DCF!U17</f>
        <v>5073.5986993969191</v>
      </c>
      <c r="R256" s="815">
        <f>$F$251*DCF!V17</f>
        <v>5315.5014390460528</v>
      </c>
      <c r="S256" s="815">
        <f>$F$251*DCF!W17</f>
        <v>5546.0302278551317</v>
      </c>
      <c r="T256" s="815">
        <f>$F$251*DCF!X17</f>
        <v>5770.9214270289876</v>
      </c>
      <c r="U256" s="815">
        <f>$F$251*DCF!Y17</f>
        <v>5988.3387050629099</v>
      </c>
      <c r="V256" s="815">
        <f>$F$251*DCF!Z17</f>
        <v>6196.7543964243932</v>
      </c>
      <c r="W256" s="815">
        <f>$F$251*DCF!AA17</f>
        <v>6394.6608143217518</v>
      </c>
      <c r="X256" s="815">
        <f>$F$251*DCF!AB17</f>
        <v>6580.6006734739913</v>
      </c>
      <c r="Y256" s="815">
        <f>$F$251*DCF!AC17</f>
        <v>6753.1735171635073</v>
      </c>
      <c r="Z256" s="815">
        <f>$F$251*DCF!AD17</f>
        <v>6911.0589368668179</v>
      </c>
      <c r="AA256" s="815">
        <f>$F$251*DCF!AE17</f>
        <v>7053.0357737917357</v>
      </c>
      <c r="AB256" s="815">
        <f>$F$251*DCF!AF17</f>
        <v>7177.9968273414615</v>
      </c>
    </row>
    <row r="257" spans="2:28" s="452" customFormat="1" ht="12.75" customHeight="1">
      <c r="B257" s="819"/>
      <c r="C257" s="820"/>
      <c r="D257" s="820"/>
      <c r="E257" s="820"/>
      <c r="F257" s="820"/>
      <c r="G257" s="820"/>
      <c r="H257" s="820"/>
      <c r="I257" s="820"/>
      <c r="J257" s="820"/>
      <c r="K257" s="820"/>
      <c r="L257" s="820"/>
    </row>
    <row r="259" spans="2:28" ht="12.75" customHeight="1">
      <c r="B259" s="449" t="s">
        <v>675</v>
      </c>
    </row>
    <row r="260" spans="2:28" ht="12.75" customHeight="1">
      <c r="B260" s="449" t="s">
        <v>676</v>
      </c>
    </row>
    <row r="262" spans="2:28" ht="12.75" customHeight="1">
      <c r="C262" s="747">
        <v>2023</v>
      </c>
      <c r="D262" s="748">
        <v>2022</v>
      </c>
      <c r="E262" s="748">
        <v>2021</v>
      </c>
      <c r="F262" s="748">
        <v>2020</v>
      </c>
      <c r="G262" s="748">
        <v>2019</v>
      </c>
      <c r="H262" s="748">
        <v>2018</v>
      </c>
      <c r="I262" s="748">
        <v>2017</v>
      </c>
      <c r="J262" s="748">
        <v>2016</v>
      </c>
      <c r="K262" s="749">
        <v>2015</v>
      </c>
      <c r="L262" s="750">
        <v>2014</v>
      </c>
    </row>
    <row r="263" spans="2:28" ht="12.75" customHeight="1">
      <c r="B263" s="813" t="s">
        <v>677</v>
      </c>
      <c r="C263" s="823">
        <f>Inputs!B74</f>
        <v>198</v>
      </c>
      <c r="D263" s="823">
        <f>Inputs!C74</f>
        <v>-8</v>
      </c>
      <c r="E263" s="823">
        <f>Inputs!D74</f>
        <v>32</v>
      </c>
      <c r="F263" s="823">
        <f>Inputs!E74</f>
        <v>13</v>
      </c>
      <c r="G263" s="823">
        <f>Inputs!F74</f>
        <v>-74</v>
      </c>
      <c r="H263" s="823">
        <f>Inputs!G74</f>
        <v>-71</v>
      </c>
      <c r="I263" s="823">
        <f>Inputs!H74</f>
        <v>-48</v>
      </c>
      <c r="J263" s="823">
        <f>Inputs!I74</f>
        <v>-94</v>
      </c>
      <c r="K263" s="823">
        <f>Inputs!J74</f>
        <v>-65</v>
      </c>
      <c r="L263" s="823">
        <f>Inputs!K74</f>
        <v>91</v>
      </c>
    </row>
    <row r="264" spans="2:28" ht="12.75" customHeight="1">
      <c r="B264" s="821" t="s">
        <v>678</v>
      </c>
      <c r="C264" s="822">
        <f>C263/'Fin. Data'!B40</f>
        <v>0.23239436619718309</v>
      </c>
      <c r="D264" s="822">
        <f>D263/'Fin. Data'!C40</f>
        <v>-1.0914051841746248E-2</v>
      </c>
      <c r="E264" s="822">
        <f>E263/'Fin. Data'!D40</f>
        <v>5.0156739811912224E-2</v>
      </c>
      <c r="F264" s="822">
        <f>F263/'Fin. Data'!E40</f>
        <v>1.61892901618929E-2</v>
      </c>
      <c r="G264" s="822">
        <f>G263/'Fin. Data'!F40</f>
        <v>-0.10802919708029197</v>
      </c>
      <c r="H264" s="822">
        <f>H263/'Fin. Data'!G40</f>
        <v>-0.12199312714776632</v>
      </c>
      <c r="I264" s="822">
        <f>I263/'Fin. Data'!H40</f>
        <v>-7.6190476190476197E-2</v>
      </c>
      <c r="J264" s="822">
        <f>J263/'Fin. Data'!I40</f>
        <v>-0.1448382126348228</v>
      </c>
      <c r="K264" s="822">
        <f>K263/'Fin. Data'!J40</f>
        <v>-9.5588235294117641E-2</v>
      </c>
      <c r="L264" s="822">
        <f>L263/'Fin. Data'!K40</f>
        <v>0.15166666666666667</v>
      </c>
    </row>
    <row r="266" spans="2:28" ht="12.75" customHeight="1">
      <c r="B266" s="682" t="s">
        <v>598</v>
      </c>
      <c r="C266" s="683">
        <f>AVERAGE(C264:L264)</f>
        <v>-1.0714623735156626E-2</v>
      </c>
      <c r="D266" s="824"/>
      <c r="E266" s="824"/>
      <c r="F266" s="824"/>
      <c r="G266" s="824"/>
    </row>
    <row r="267" spans="2:28" ht="12.75" customHeight="1">
      <c r="B267" s="684" t="s">
        <v>600</v>
      </c>
      <c r="C267" s="753">
        <f>AVERAGE(C264:G264)</f>
        <v>3.5959429449790005E-2</v>
      </c>
      <c r="D267" s="824"/>
      <c r="E267" s="771" t="s">
        <v>679</v>
      </c>
      <c r="F267" s="587">
        <v>0.04</v>
      </c>
      <c r="G267" s="1331" t="s">
        <v>672</v>
      </c>
    </row>
    <row r="268" spans="2:28" ht="12.75" customHeight="1">
      <c r="B268" s="684" t="s">
        <v>602</v>
      </c>
      <c r="C268" s="686">
        <f>AVERAGE(C264:E264)</f>
        <v>9.0545684722449685E-2</v>
      </c>
      <c r="D268" s="824"/>
      <c r="E268" s="771" t="s">
        <v>632</v>
      </c>
      <c r="F268" s="587">
        <v>0.05</v>
      </c>
      <c r="G268" s="1331"/>
    </row>
    <row r="269" spans="2:28" ht="12.75" customHeight="1">
      <c r="B269" s="687" t="s">
        <v>604</v>
      </c>
      <c r="C269" s="735">
        <f>AVERAGE(G264:L264)</f>
        <v>-6.5828763613468039E-2</v>
      </c>
      <c r="D269" s="824"/>
      <c r="E269" s="824"/>
      <c r="F269" s="824"/>
      <c r="G269" s="824"/>
    </row>
    <row r="271" spans="2:28" s="452" customFormat="1" ht="12.75" customHeight="1">
      <c r="B271"/>
      <c r="C271" s="688">
        <v>2024</v>
      </c>
      <c r="D271" s="689">
        <v>2025</v>
      </c>
      <c r="E271" s="689">
        <v>2026</v>
      </c>
      <c r="F271" s="689">
        <v>2027</v>
      </c>
      <c r="G271" s="689">
        <v>2028</v>
      </c>
      <c r="H271" s="689">
        <v>2029</v>
      </c>
      <c r="I271" s="689">
        <v>2030</v>
      </c>
      <c r="J271" s="689">
        <v>2031</v>
      </c>
      <c r="K271" s="689">
        <v>2032</v>
      </c>
      <c r="L271" s="689">
        <v>2033</v>
      </c>
      <c r="M271" s="689">
        <v>2034</v>
      </c>
      <c r="N271" s="689">
        <v>2035</v>
      </c>
      <c r="O271" s="689">
        <v>2036</v>
      </c>
      <c r="P271" s="689">
        <v>2037</v>
      </c>
      <c r="Q271" s="689">
        <v>2038</v>
      </c>
      <c r="R271" s="689">
        <v>2039</v>
      </c>
      <c r="S271" s="689">
        <v>2040</v>
      </c>
      <c r="T271" s="689">
        <v>2041</v>
      </c>
      <c r="U271" s="689">
        <v>2042</v>
      </c>
      <c r="V271" s="689">
        <v>2043</v>
      </c>
      <c r="W271" s="689">
        <v>2044</v>
      </c>
      <c r="X271" s="689">
        <v>2045</v>
      </c>
      <c r="Y271" s="689">
        <v>2046</v>
      </c>
      <c r="Z271" s="689">
        <v>2047</v>
      </c>
      <c r="AA271" s="736">
        <v>2048</v>
      </c>
      <c r="AB271" s="688">
        <v>2049</v>
      </c>
    </row>
    <row r="272" spans="2:28" s="452" customFormat="1" ht="12.75" customHeight="1">
      <c r="B272" s="814" t="s">
        <v>680</v>
      </c>
      <c r="C272" s="826">
        <f>14%*DCF!G17</f>
        <v>559.65206332000002</v>
      </c>
      <c r="D272" s="826">
        <f>14%*DCF!H17</f>
        <v>588.93772594936479</v>
      </c>
      <c r="E272" s="826">
        <f>14%*DCF!I17</f>
        <v>671.47925734242199</v>
      </c>
      <c r="F272" s="815">
        <f>$F$267*DCF!J17</f>
        <v>201.77584459587791</v>
      </c>
      <c r="G272" s="815">
        <f>$F$267*DCF!K17</f>
        <v>221.63583995367591</v>
      </c>
      <c r="H272" s="815">
        <f>$F$267*DCF!L17</f>
        <v>230.36297575439451</v>
      </c>
      <c r="I272" s="815">
        <f>$F$267*DCF!M17</f>
        <v>244.46186550407157</v>
      </c>
      <c r="J272" s="815">
        <f>$F$268*DCF!N17</f>
        <v>322.56066049276143</v>
      </c>
      <c r="K272" s="815">
        <f>$F$268*DCF!O17</f>
        <v>348.29569434746929</v>
      </c>
      <c r="L272" s="815">
        <f>$F$268*DCF!P17</f>
        <v>374.35749551239286</v>
      </c>
      <c r="M272" s="815">
        <f>$F$268*DCF!Q17</f>
        <v>378.24635929332192</v>
      </c>
      <c r="N272" s="815">
        <f>$F$268*DCF!R17</f>
        <v>402.91658695678029</v>
      </c>
      <c r="O272" s="815">
        <f>$F$268*DCF!S17</f>
        <v>427.44051256280648</v>
      </c>
      <c r="P272" s="815">
        <f>$F$268*DCF!T17</f>
        <v>451.60182223487885</v>
      </c>
      <c r="Q272" s="815">
        <f>$F$268*DCF!U17</f>
        <v>461.23624539971991</v>
      </c>
      <c r="R272" s="815">
        <f>$F$268*DCF!V17</f>
        <v>483.22740354964117</v>
      </c>
      <c r="S272" s="815">
        <f>$F$268*DCF!W17</f>
        <v>504.18456616864836</v>
      </c>
      <c r="T272" s="815">
        <f>$F$268*DCF!X17</f>
        <v>524.62922063899885</v>
      </c>
      <c r="U272" s="815">
        <f>$F$268*DCF!Y17</f>
        <v>544.39442773299186</v>
      </c>
      <c r="V272" s="815">
        <f>$F$268*DCF!Z17</f>
        <v>563.34130876585391</v>
      </c>
      <c r="W272" s="815">
        <f>$F$268*DCF!AA17</f>
        <v>581.33280130197738</v>
      </c>
      <c r="X272" s="815">
        <f>$F$268*DCF!AB17</f>
        <v>598.23642486127198</v>
      </c>
      <c r="Y272" s="815">
        <f>$F$268*DCF!AC17</f>
        <v>613.9248651966825</v>
      </c>
      <c r="Z272" s="815">
        <f>$F$268*DCF!AD17</f>
        <v>628.27808516971072</v>
      </c>
      <c r="AA272" s="815">
        <f>$F$268*DCF!AE17</f>
        <v>641.18507034470326</v>
      </c>
      <c r="AB272" s="815">
        <f>$F$268*DCF!AF17</f>
        <v>652.54516612195107</v>
      </c>
    </row>
    <row r="274" spans="3:6" ht="12.75" customHeight="1">
      <c r="C274" s="842">
        <v>45231</v>
      </c>
      <c r="D274" s="843">
        <v>112.45</v>
      </c>
    </row>
    <row r="275" spans="3:6" ht="12.75" customHeight="1">
      <c r="C275" s="842">
        <v>45200</v>
      </c>
      <c r="D275" s="843">
        <v>112.45</v>
      </c>
    </row>
    <row r="276" spans="3:6" ht="12.75" customHeight="1">
      <c r="C276" s="842">
        <v>45170</v>
      </c>
      <c r="D276" s="843">
        <v>106.9</v>
      </c>
    </row>
    <row r="277" spans="3:6" ht="12.75" customHeight="1">
      <c r="C277" s="842">
        <v>45139</v>
      </c>
      <c r="D277" s="843">
        <v>112</v>
      </c>
    </row>
    <row r="278" spans="3:6" ht="12.75" customHeight="1">
      <c r="C278" s="842">
        <v>45108</v>
      </c>
      <c r="D278" s="843">
        <v>125.6</v>
      </c>
    </row>
    <row r="279" spans="3:6" ht="12.75" customHeight="1">
      <c r="C279" s="842">
        <v>45078</v>
      </c>
      <c r="D279" s="843">
        <v>140.30000000000001</v>
      </c>
    </row>
    <row r="280" spans="3:6" ht="12.75" customHeight="1">
      <c r="C280" s="842">
        <v>45047</v>
      </c>
      <c r="D280" s="843">
        <v>151.65</v>
      </c>
    </row>
    <row r="281" spans="3:6" ht="12.75" customHeight="1">
      <c r="C281" s="842">
        <v>45017</v>
      </c>
      <c r="D281" s="843">
        <v>144.55000000000001</v>
      </c>
    </row>
    <row r="282" spans="3:6" ht="12.75" customHeight="1">
      <c r="C282" s="842">
        <v>44986</v>
      </c>
      <c r="D282" s="843">
        <v>146.94999999999999</v>
      </c>
    </row>
    <row r="283" spans="3:6" ht="12.75" customHeight="1">
      <c r="C283" s="842">
        <v>44958</v>
      </c>
      <c r="D283" s="843">
        <v>145.9</v>
      </c>
    </row>
    <row r="284" spans="3:6" ht="12.75" customHeight="1">
      <c r="C284" s="842">
        <v>44927</v>
      </c>
      <c r="D284" s="843">
        <v>141.75</v>
      </c>
    </row>
    <row r="285" spans="3:6" ht="12.75" customHeight="1">
      <c r="C285" s="842">
        <v>44896</v>
      </c>
      <c r="D285" s="843">
        <v>140.4</v>
      </c>
    </row>
    <row r="286" spans="3:6" ht="12.75" customHeight="1">
      <c r="C286" s="842">
        <v>44866</v>
      </c>
      <c r="D286" s="843">
        <v>119.9</v>
      </c>
      <c r="E286" s="844">
        <f>SUM(C272:E272)</f>
        <v>1820.0690466117867</v>
      </c>
      <c r="F286" s="449" t="s">
        <v>681</v>
      </c>
    </row>
    <row r="287" spans="3:6" ht="12.75" customHeight="1">
      <c r="C287" s="845" t="s">
        <v>682</v>
      </c>
      <c r="D287" s="846">
        <f>AVERAGE(D274:D286)</f>
        <v>130.83076923076925</v>
      </c>
      <c r="E287" s="847">
        <f>D287*13</f>
        <v>1700.8000000000002</v>
      </c>
      <c r="F287" s="449" t="s">
        <v>683</v>
      </c>
    </row>
    <row r="290" spans="2:28" ht="12.75" customHeight="1">
      <c r="B290" s="1332" t="s">
        <v>684</v>
      </c>
      <c r="C290" s="1332"/>
    </row>
    <row r="293" spans="2:28" ht="12.75" customHeight="1">
      <c r="C293" s="747">
        <v>2023</v>
      </c>
      <c r="D293" s="748">
        <v>2022</v>
      </c>
      <c r="E293" s="748">
        <v>2021</v>
      </c>
      <c r="F293" s="748">
        <v>2020</v>
      </c>
      <c r="G293" s="748">
        <v>2019</v>
      </c>
      <c r="H293" s="748">
        <v>2018</v>
      </c>
      <c r="I293" s="748">
        <v>2017</v>
      </c>
      <c r="J293" s="748">
        <v>2016</v>
      </c>
      <c r="K293" s="749">
        <v>2015</v>
      </c>
      <c r="L293" s="750">
        <v>2014</v>
      </c>
    </row>
    <row r="294" spans="2:28" ht="12.75" customHeight="1">
      <c r="B294" s="775" t="s">
        <v>685</v>
      </c>
      <c r="C294" s="848">
        <v>288</v>
      </c>
      <c r="D294" s="848">
        <v>665</v>
      </c>
      <c r="E294" s="848">
        <v>181</v>
      </c>
      <c r="F294" s="848">
        <v>172</v>
      </c>
      <c r="G294" s="848">
        <v>118</v>
      </c>
      <c r="H294" s="848">
        <v>30</v>
      </c>
      <c r="I294" s="848">
        <v>33</v>
      </c>
      <c r="J294" s="848">
        <v>36</v>
      </c>
      <c r="K294" s="848">
        <v>39</v>
      </c>
      <c r="L294" s="848">
        <v>35</v>
      </c>
    </row>
    <row r="295" spans="2:28" ht="12.75" customHeight="1">
      <c r="B295" s="839" t="s">
        <v>649</v>
      </c>
      <c r="C295" s="849">
        <f>'Fin. Data'!B58</f>
        <v>15671</v>
      </c>
      <c r="D295" s="849">
        <f>'Fin. Data'!C58</f>
        <v>15006</v>
      </c>
      <c r="E295" s="849">
        <f>'Fin. Data'!D58</f>
        <v>13551</v>
      </c>
      <c r="F295" s="849">
        <f>'Fin. Data'!E58</f>
        <v>9743</v>
      </c>
      <c r="G295" s="849">
        <f>'Fin. Data'!F58</f>
        <v>7060</v>
      </c>
      <c r="H295" s="849">
        <f>'Fin. Data'!G58</f>
        <v>8189</v>
      </c>
      <c r="I295" s="849">
        <f>'Fin. Data'!H58</f>
        <v>2140</v>
      </c>
      <c r="J295" s="849">
        <f>'Fin. Data'!I58</f>
        <v>2477</v>
      </c>
      <c r="K295" s="849">
        <f>'Fin. Data'!J58</f>
        <v>3093</v>
      </c>
      <c r="L295" s="849">
        <f>'Fin. Data'!K58</f>
        <v>1569</v>
      </c>
    </row>
    <row r="296" spans="2:28" ht="12.75" customHeight="1">
      <c r="B296" s="775" t="s">
        <v>686</v>
      </c>
      <c r="C296" s="587">
        <f>C294/C295</f>
        <v>1.8377895475719483E-2</v>
      </c>
      <c r="D296" s="587">
        <f t="shared" ref="D296:L296" si="37">D294/D295</f>
        <v>4.4315607090497137E-2</v>
      </c>
      <c r="E296" s="587">
        <f t="shared" si="37"/>
        <v>1.3356947826728655E-2</v>
      </c>
      <c r="F296" s="587">
        <f t="shared" si="37"/>
        <v>1.7653700092374013E-2</v>
      </c>
      <c r="G296" s="587">
        <f t="shared" si="37"/>
        <v>1.671388101983003E-2</v>
      </c>
      <c r="H296" s="587">
        <f t="shared" si="37"/>
        <v>3.6634509708145073E-3</v>
      </c>
      <c r="I296" s="587">
        <f t="shared" si="37"/>
        <v>1.5420560747663551E-2</v>
      </c>
      <c r="J296" s="587">
        <f t="shared" si="37"/>
        <v>1.4533710133225677E-2</v>
      </c>
      <c r="K296" s="587">
        <f t="shared" si="37"/>
        <v>1.2609117361784675E-2</v>
      </c>
      <c r="L296" s="587">
        <f t="shared" si="37"/>
        <v>2.2307202039515615E-2</v>
      </c>
    </row>
    <row r="298" spans="2:28" ht="12.75" customHeight="1">
      <c r="B298" s="682" t="s">
        <v>598</v>
      </c>
      <c r="C298" s="683">
        <f>AVERAGE(C296:L296)</f>
        <v>1.7895207275815332E-2</v>
      </c>
    </row>
    <row r="299" spans="2:28" ht="12.75" customHeight="1">
      <c r="B299" s="684" t="s">
        <v>600</v>
      </c>
      <c r="C299" s="753">
        <f>AVERAGE(C296:G296)</f>
        <v>2.2083606301029859E-2</v>
      </c>
      <c r="E299" s="771" t="s">
        <v>630</v>
      </c>
      <c r="F299" s="587">
        <v>0.03</v>
      </c>
      <c r="G299" s="1331" t="s">
        <v>563</v>
      </c>
    </row>
    <row r="300" spans="2:28" ht="12.75" customHeight="1">
      <c r="B300" s="684" t="s">
        <v>602</v>
      </c>
      <c r="C300" s="686">
        <f>AVERAGE(C296:E296)</f>
        <v>2.5350150130981755E-2</v>
      </c>
      <c r="E300" s="771" t="s">
        <v>632</v>
      </c>
      <c r="F300" s="587">
        <v>0.02</v>
      </c>
      <c r="G300" s="1331"/>
    </row>
    <row r="301" spans="2:28" ht="12.75" customHeight="1">
      <c r="B301" s="687" t="s">
        <v>604</v>
      </c>
      <c r="C301" s="735">
        <f>AVERAGE(G296:L296)</f>
        <v>1.4207987045472341E-2</v>
      </c>
    </row>
    <row r="304" spans="2:28" ht="12.75" customHeight="1">
      <c r="B304"/>
      <c r="C304" s="688">
        <v>2024</v>
      </c>
      <c r="D304" s="689">
        <v>2025</v>
      </c>
      <c r="E304" s="689">
        <v>2026</v>
      </c>
      <c r="F304" s="689">
        <v>2027</v>
      </c>
      <c r="G304" s="689">
        <v>2028</v>
      </c>
      <c r="H304" s="689">
        <v>2029</v>
      </c>
      <c r="I304" s="689">
        <v>2030</v>
      </c>
      <c r="J304" s="689">
        <v>2031</v>
      </c>
      <c r="K304" s="689">
        <v>2032</v>
      </c>
      <c r="L304" s="689">
        <v>2033</v>
      </c>
      <c r="M304" s="689">
        <v>2034</v>
      </c>
      <c r="N304" s="689">
        <v>2035</v>
      </c>
      <c r="O304" s="689">
        <v>2036</v>
      </c>
      <c r="P304" s="689">
        <v>2037</v>
      </c>
      <c r="Q304" s="689">
        <v>2038</v>
      </c>
      <c r="R304" s="689">
        <v>2039</v>
      </c>
      <c r="S304" s="689">
        <v>2040</v>
      </c>
      <c r="T304" s="689">
        <v>2041</v>
      </c>
      <c r="U304" s="689">
        <v>2042</v>
      </c>
      <c r="V304" s="689">
        <v>2043</v>
      </c>
      <c r="W304" s="689">
        <v>2044</v>
      </c>
      <c r="X304" s="689">
        <v>2045</v>
      </c>
      <c r="Y304" s="689">
        <v>2046</v>
      </c>
      <c r="Z304" s="689">
        <v>2047</v>
      </c>
      <c r="AA304" s="736">
        <v>2048</v>
      </c>
      <c r="AB304" s="688">
        <v>2049</v>
      </c>
    </row>
    <row r="305" spans="2:28" ht="12.75" customHeight="1">
      <c r="B305" s="752" t="s">
        <v>687</v>
      </c>
      <c r="C305" s="754">
        <f>$F$299*DCF!G44</f>
        <v>435.77352000000002</v>
      </c>
      <c r="D305" s="754">
        <f>$F$299*DCF!H44</f>
        <v>485.66958804000006</v>
      </c>
      <c r="E305" s="754">
        <f>$F$299*DCF!I44</f>
        <v>538.60757313635997</v>
      </c>
      <c r="F305" s="754">
        <f>$F$299*DCF!J44</f>
        <v>594.35345695597334</v>
      </c>
      <c r="G305" s="754">
        <f>$F$300*DCF!K44</f>
        <v>468.74675971927763</v>
      </c>
      <c r="H305" s="754">
        <f>$F$300*DCF!L44</f>
        <v>512.57458175302997</v>
      </c>
      <c r="I305" s="754">
        <f>$F$300*DCF!M44</f>
        <v>557.93743223817319</v>
      </c>
      <c r="J305" s="754">
        <f>$F$300*DCF!N44</f>
        <v>604.52520783006059</v>
      </c>
      <c r="K305" s="754">
        <f>$F$300*DCF!O44</f>
        <v>651.98043664472038</v>
      </c>
      <c r="L305" s="754">
        <f>$F$300*DCF!P44</f>
        <v>699.90099873810721</v>
      </c>
      <c r="M305" s="754">
        <f>$F$300*DCF!Q44</f>
        <v>747.84421715166752</v>
      </c>
      <c r="N305" s="754">
        <f>$F$300*DCF!R44</f>
        <v>795.70624704937438</v>
      </c>
      <c r="O305" s="754">
        <f>$F$300*DCF!S44</f>
        <v>843.05076874881217</v>
      </c>
      <c r="P305" s="754">
        <f>$F$300*DCF!T44</f>
        <v>889.41856102999679</v>
      </c>
      <c r="Q305" s="754">
        <f>$F$300*DCF!U44</f>
        <v>934.33419836201153</v>
      </c>
      <c r="R305" s="754">
        <f>$F$300*DCF!V44</f>
        <v>977.31357148666405</v>
      </c>
      <c r="S305" s="754">
        <f>$F$300*DCF!W44</f>
        <v>1017.8720847033607</v>
      </c>
      <c r="T305" s="754">
        <f>$F$300*DCF!X44</f>
        <v>1057.0601599644399</v>
      </c>
      <c r="U305" s="754">
        <f>$F$300*DCF!Y44</f>
        <v>1094.5857956431773</v>
      </c>
      <c r="V305" s="754">
        <f>$F$300*DCF!Z44</f>
        <v>1130.1598340015805</v>
      </c>
      <c r="W305" s="754">
        <f>$F$300*DCF!AA44</f>
        <v>1163.499549104627</v>
      </c>
      <c r="X305" s="754">
        <f>$F$300*DCF!AB44</f>
        <v>1194.3322871558996</v>
      </c>
      <c r="Y305" s="754">
        <f>$F$300*DCF!AC44</f>
        <v>1222.399095904063</v>
      </c>
      <c r="Z305" s="754">
        <f>$F$300*DCF!AD44</f>
        <v>1247.4582773700963</v>
      </c>
      <c r="AA305" s="754">
        <f>$F$300*DCF!AE44</f>
        <v>1269.2887972240726</v>
      </c>
      <c r="AB305" s="754">
        <f>$F$300*DCF!AF44</f>
        <v>1287.6934847838218</v>
      </c>
    </row>
  </sheetData>
  <mergeCells count="35">
    <mergeCell ref="B71:C71"/>
    <mergeCell ref="F73:H73"/>
    <mergeCell ref="F74:H74"/>
    <mergeCell ref="B123:C123"/>
    <mergeCell ref="B139:C139"/>
    <mergeCell ref="F75:H75"/>
    <mergeCell ref="B84:C84"/>
    <mergeCell ref="F72:H72"/>
    <mergeCell ref="F76:H76"/>
    <mergeCell ref="B101:C101"/>
    <mergeCell ref="B156:C156"/>
    <mergeCell ref="B176:C176"/>
    <mergeCell ref="G182:G183"/>
    <mergeCell ref="G130:G131"/>
    <mergeCell ref="B170:C170"/>
    <mergeCell ref="C15:L15"/>
    <mergeCell ref="F62:G62"/>
    <mergeCell ref="F63:G63"/>
    <mergeCell ref="F64:G64"/>
    <mergeCell ref="F65:G65"/>
    <mergeCell ref="D56:E56"/>
    <mergeCell ref="F59:G59"/>
    <mergeCell ref="F60:G60"/>
    <mergeCell ref="F61:G61"/>
    <mergeCell ref="D57:E57"/>
    <mergeCell ref="G267:G268"/>
    <mergeCell ref="B290:C290"/>
    <mergeCell ref="G299:G300"/>
    <mergeCell ref="G234:G235"/>
    <mergeCell ref="G162:G163"/>
    <mergeCell ref="B190:C190"/>
    <mergeCell ref="B225:C225"/>
    <mergeCell ref="B243:C243"/>
    <mergeCell ref="G250:G251"/>
    <mergeCell ref="B210:C21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HY102"/>
  <sheetViews>
    <sheetView zoomScale="76" workbookViewId="0">
      <selection activeCell="C16" sqref="C16"/>
    </sheetView>
  </sheetViews>
  <sheetFormatPr defaultColWidth="11.42578125" defaultRowHeight="12.75" customHeight="1"/>
  <cols>
    <col min="1" max="1" width="36.140625" style="11" customWidth="1"/>
    <col min="2" max="10" width="12.42578125" style="42" customWidth="1"/>
    <col min="11" max="11" width="12.42578125" style="49" customWidth="1"/>
    <col min="12" max="16384" width="11.42578125" style="41"/>
  </cols>
  <sheetData>
    <row r="1" spans="1:23" ht="15.75">
      <c r="A1" s="1351" t="e" vm="1">
        <f>Inputs!E3</f>
        <v>#VALUE!</v>
      </c>
      <c r="B1" s="1351"/>
      <c r="C1" s="1351"/>
      <c r="D1" s="1351"/>
      <c r="E1" s="1351"/>
      <c r="F1" s="1351"/>
      <c r="G1" s="1351"/>
      <c r="H1" s="1351"/>
      <c r="I1" s="1351"/>
      <c r="J1" s="1351"/>
      <c r="K1" s="1351"/>
    </row>
    <row r="2" spans="1:23" ht="12">
      <c r="A2" s="1352" t="str">
        <f>Inputs!E2</f>
        <v>Figures in Millions of EUR</v>
      </c>
      <c r="B2" s="1352"/>
      <c r="C2" s="1352"/>
      <c r="D2" s="1352"/>
      <c r="E2" s="1352"/>
      <c r="F2" s="1352"/>
      <c r="G2" s="1352"/>
      <c r="H2" s="1352"/>
      <c r="I2" s="1352"/>
      <c r="J2" s="1352"/>
      <c r="K2" s="1352"/>
    </row>
    <row r="3" spans="1:23" ht="20.25">
      <c r="A3" s="1353" t="s">
        <v>688</v>
      </c>
      <c r="B3" s="1353"/>
      <c r="C3" s="1353"/>
      <c r="D3" s="1353"/>
      <c r="E3" s="1353"/>
      <c r="F3" s="1353"/>
      <c r="G3" s="1353"/>
      <c r="H3" s="1353"/>
      <c r="I3" s="1353"/>
      <c r="J3" s="1353"/>
      <c r="K3" s="1353"/>
    </row>
    <row r="4" spans="1:23">
      <c r="A4" s="106"/>
      <c r="B4" s="43">
        <v>2023</v>
      </c>
      <c r="C4" s="43">
        <f>B4-1</f>
        <v>2022</v>
      </c>
      <c r="D4" s="43">
        <f t="shared" ref="D4:K4" si="0">C4-1</f>
        <v>2021</v>
      </c>
      <c r="E4" s="43">
        <f t="shared" si="0"/>
        <v>2020</v>
      </c>
      <c r="F4" s="43">
        <f t="shared" si="0"/>
        <v>2019</v>
      </c>
      <c r="G4" s="43">
        <f t="shared" si="0"/>
        <v>2018</v>
      </c>
      <c r="H4" s="43">
        <f t="shared" si="0"/>
        <v>2017</v>
      </c>
      <c r="I4" s="43">
        <f t="shared" si="0"/>
        <v>2016</v>
      </c>
      <c r="J4" s="43">
        <f>I4-1</f>
        <v>2015</v>
      </c>
      <c r="K4" s="43">
        <f t="shared" si="0"/>
        <v>2014</v>
      </c>
    </row>
    <row r="5" spans="1:23">
      <c r="A5" s="107" t="s">
        <v>144</v>
      </c>
      <c r="B5" s="992">
        <f>_xlfn.XLOOKUP($A5,Inputs!$A:$A,Inputs!B:B,,0)</f>
        <v>19953</v>
      </c>
      <c r="C5" s="992">
        <f>_xlfn.XLOOKUP($A5,Inputs!$A:$A,Inputs!C:C,,0)</f>
        <v>16748</v>
      </c>
      <c r="D5" s="51">
        <f>_xlfn.XLOOKUP($A5,Inputs!$A:$A,Inputs!D:D,,0)</f>
        <v>13144</v>
      </c>
      <c r="E5" s="51">
        <f>_xlfn.XLOOKUP($A5,Inputs!$A:$A,Inputs!E:E,,0)</f>
        <v>14238</v>
      </c>
      <c r="F5" s="992">
        <f>_xlfn.XLOOKUP($A5,Inputs!$A:$A,Inputs!F:F,,0)</f>
        <v>13989</v>
      </c>
      <c r="G5" s="51">
        <f>_xlfn.XLOOKUP($A5,Inputs!$A:$A,Inputs!G:G,,0)</f>
        <v>11013</v>
      </c>
      <c r="H5" s="51">
        <f>_xlfn.XLOOKUP($A5,Inputs!$A:$A,Inputs!H:H,,0)</f>
        <v>10647</v>
      </c>
      <c r="I5" s="51">
        <f>_xlfn.XLOOKUP($A5,Inputs!$A:$A,Inputs!I:I,,0)</f>
        <v>11076</v>
      </c>
      <c r="J5" s="51">
        <f>_xlfn.XLOOKUP($A5,Inputs!$A:$A,Inputs!J:J,,0)</f>
        <v>10410</v>
      </c>
      <c r="K5" s="51">
        <f>_xlfn.XLOOKUP($A5,Inputs!$A:$A,Inputs!K:K,,0)</f>
        <v>10023</v>
      </c>
    </row>
    <row r="6" spans="1:23">
      <c r="A6" s="108" t="s">
        <v>689</v>
      </c>
      <c r="B6" s="52">
        <f t="shared" ref="B6:J6" si="1">IFERROR(B5/C5-1,"-")</f>
        <v>0.19136613326964413</v>
      </c>
      <c r="C6" s="52">
        <f t="shared" si="1"/>
        <v>0.27419354838709675</v>
      </c>
      <c r="D6" s="52">
        <f t="shared" si="1"/>
        <v>-7.6836634358758205E-2</v>
      </c>
      <c r="E6" s="52">
        <f t="shared" si="1"/>
        <v>1.7799699764100341E-2</v>
      </c>
      <c r="F6" s="52">
        <f t="shared" si="1"/>
        <v>0.27022609643148998</v>
      </c>
      <c r="G6" s="52">
        <f t="shared" si="1"/>
        <v>3.4375880529726732E-2</v>
      </c>
      <c r="H6" s="52">
        <f t="shared" si="1"/>
        <v>-3.8732394366197131E-2</v>
      </c>
      <c r="I6" s="52">
        <f t="shared" si="1"/>
        <v>6.3976945244956784E-2</v>
      </c>
      <c r="J6" s="52">
        <f t="shared" si="1"/>
        <v>3.8611194253217684E-2</v>
      </c>
      <c r="K6" s="52" t="str">
        <f>IFERROR(K5/#REF!-1,"-")</f>
        <v>-</v>
      </c>
      <c r="L6" s="318"/>
    </row>
    <row r="7" spans="1:23">
      <c r="A7" s="107" t="s">
        <v>690</v>
      </c>
      <c r="B7" s="51">
        <f>_xlfn.XLOOKUP($A7,Inputs!$A:$A,Inputs!B:B,,0)</f>
        <v>13716</v>
      </c>
      <c r="C7" s="51">
        <f>_xlfn.XLOOKUP($A7,Inputs!$A:$A,Inputs!C:C,,0)</f>
        <v>11176</v>
      </c>
      <c r="D7" s="51">
        <f>_xlfn.XLOOKUP($A7,Inputs!$A:$A,Inputs!D:D,,0)</f>
        <v>7801</v>
      </c>
      <c r="E7" s="51">
        <f>_xlfn.XLOOKUP($A7,Inputs!$A:$A,Inputs!E:E,,0)</f>
        <v>8611</v>
      </c>
      <c r="F7" s="51">
        <f>_xlfn.XLOOKUP($A7,Inputs!$A:$A,Inputs!F:F,,0)</f>
        <v>8645</v>
      </c>
      <c r="G7" s="51">
        <f>_xlfn.XLOOKUP($A7,Inputs!$A:$A,Inputs!G:G,,0)</f>
        <v>7184</v>
      </c>
      <c r="H7" s="51">
        <f>_xlfn.XLOOKUP($A7,Inputs!$A:$A,Inputs!H:H,,0)</f>
        <v>6799</v>
      </c>
      <c r="I7" s="51">
        <f>_xlfn.XLOOKUP($A7,Inputs!$A:$A,Inputs!I:I,,0)</f>
        <v>7118</v>
      </c>
      <c r="J7" s="51">
        <f>_xlfn.XLOOKUP($A7,Inputs!$A:$A,Inputs!J:J,,0)</f>
        <v>6876</v>
      </c>
      <c r="K7" s="51">
        <f>_xlfn.XLOOKUP($A7,Inputs!$A:$A,Inputs!K:K,,0)</f>
        <v>6491</v>
      </c>
    </row>
    <row r="8" spans="1:23">
      <c r="A8" s="108" t="s">
        <v>691</v>
      </c>
      <c r="B8" s="994">
        <f>IFERROR(B7/B$5,"-")</f>
        <v>0.6874154262516915</v>
      </c>
      <c r="C8" s="994">
        <f t="shared" ref="C8:K8" si="2">IFERROR(C7/C$5,"-")</f>
        <v>0.6673035586338667</v>
      </c>
      <c r="D8" s="52">
        <f t="shared" si="2"/>
        <v>0.59350273889227023</v>
      </c>
      <c r="E8" s="52">
        <f t="shared" si="2"/>
        <v>0.60478999859530835</v>
      </c>
      <c r="F8" s="52">
        <f t="shared" si="2"/>
        <v>0.61798556008292227</v>
      </c>
      <c r="G8" s="52">
        <f t="shared" si="2"/>
        <v>0.65231998547171521</v>
      </c>
      <c r="H8" s="52">
        <f t="shared" si="2"/>
        <v>0.63858363858363854</v>
      </c>
      <c r="I8" s="52">
        <f t="shared" si="2"/>
        <v>0.64265077645359336</v>
      </c>
      <c r="J8" s="52">
        <f t="shared" si="2"/>
        <v>0.66051873198847266</v>
      </c>
      <c r="K8" s="52">
        <f t="shared" si="2"/>
        <v>0.64761049585952313</v>
      </c>
    </row>
    <row r="9" spans="1:23">
      <c r="A9" s="107" t="s">
        <v>692</v>
      </c>
      <c r="B9" s="51">
        <f t="shared" ref="B9:K9" si="3">B5-B11</f>
        <v>14922</v>
      </c>
      <c r="C9" s="51">
        <f t="shared" si="3"/>
        <v>12995</v>
      </c>
      <c r="D9" s="51">
        <f t="shared" si="3"/>
        <v>11666</v>
      </c>
      <c r="E9" s="51">
        <f t="shared" si="3"/>
        <v>12720</v>
      </c>
      <c r="F9" s="51">
        <f t="shared" si="3"/>
        <v>12046</v>
      </c>
      <c r="G9" s="51">
        <f t="shared" si="3"/>
        <v>9169</v>
      </c>
      <c r="H9" s="51">
        <f t="shared" si="3"/>
        <v>8883</v>
      </c>
      <c r="I9" s="51">
        <f t="shared" si="3"/>
        <v>9015</v>
      </c>
      <c r="J9" s="51">
        <f t="shared" si="3"/>
        <v>7740</v>
      </c>
      <c r="K9" s="51">
        <f t="shared" si="3"/>
        <v>7596</v>
      </c>
    </row>
    <row r="10" spans="1:23">
      <c r="A10" s="108" t="s">
        <v>691</v>
      </c>
      <c r="B10" s="52">
        <f>IFERROR(B9/B$5,"-")</f>
        <v>0.74785746504285067</v>
      </c>
      <c r="C10" s="52">
        <f t="shared" ref="C10:K10" si="4">IFERROR(C9/C$5,"-")</f>
        <v>0.77591354191545259</v>
      </c>
      <c r="D10" s="52">
        <f t="shared" si="4"/>
        <v>0.88755325623858794</v>
      </c>
      <c r="E10" s="52">
        <f t="shared" si="4"/>
        <v>0.89338390223345976</v>
      </c>
      <c r="F10" s="52">
        <f t="shared" si="4"/>
        <v>0.86110515404961041</v>
      </c>
      <c r="G10" s="52">
        <f t="shared" si="4"/>
        <v>0.83256151820575686</v>
      </c>
      <c r="H10" s="52">
        <f t="shared" si="4"/>
        <v>0.83431952662721898</v>
      </c>
      <c r="I10" s="52">
        <f t="shared" si="4"/>
        <v>0.81392199349945826</v>
      </c>
      <c r="J10" s="52">
        <f t="shared" si="4"/>
        <v>0.74351585014409227</v>
      </c>
      <c r="K10" s="52">
        <f t="shared" si="4"/>
        <v>0.75785692906315472</v>
      </c>
    </row>
    <row r="11" spans="1:23">
      <c r="A11" s="107" t="s">
        <v>321</v>
      </c>
      <c r="B11" s="51">
        <f>_xlfn.XLOOKUP($A11,Inputs!$A:$A,Inputs!B:B,,0)</f>
        <v>5031</v>
      </c>
      <c r="C11" s="51">
        <f>_xlfn.XLOOKUP($A11,Inputs!$A:$A,Inputs!C:C,,0)</f>
        <v>3753</v>
      </c>
      <c r="D11" s="51">
        <f>_xlfn.XLOOKUP($A11,Inputs!$A:$A,Inputs!D:D,,0)</f>
        <v>1478</v>
      </c>
      <c r="E11" s="51">
        <f>_xlfn.XLOOKUP($A11,Inputs!$A:$A,Inputs!E:E,,0)</f>
        <v>1518</v>
      </c>
      <c r="F11" s="51">
        <f>_xlfn.XLOOKUP($A11,Inputs!$A:$A,Inputs!F:F,,0)</f>
        <v>1943</v>
      </c>
      <c r="G11" s="51">
        <f>_xlfn.XLOOKUP($A11,Inputs!$A:$A,Inputs!G:G,,0)</f>
        <v>1844</v>
      </c>
      <c r="H11" s="51">
        <f>_xlfn.XLOOKUP($A11,Inputs!$A:$A,Inputs!H:H,,0)</f>
        <v>1764</v>
      </c>
      <c r="I11" s="51">
        <f>_xlfn.XLOOKUP($A11,Inputs!$A:$A,Inputs!I:I,,0)</f>
        <v>2061</v>
      </c>
      <c r="J11" s="51">
        <f>_xlfn.XLOOKUP($A11,Inputs!$A:$A,Inputs!J:J,,0)</f>
        <v>2670</v>
      </c>
      <c r="K11" s="51">
        <f>_xlfn.XLOOKUP($A11,Inputs!$A:$A,Inputs!K:K,,0)</f>
        <v>2427</v>
      </c>
    </row>
    <row r="12" spans="1:23">
      <c r="A12" s="108" t="s">
        <v>145</v>
      </c>
      <c r="B12" s="52">
        <f>IFERROR(B11/B$5,"-")</f>
        <v>0.25214253495714928</v>
      </c>
      <c r="C12" s="52">
        <f t="shared" ref="C12:K12" si="5">IFERROR(C11/C$5,"-")</f>
        <v>0.22408645808454741</v>
      </c>
      <c r="D12" s="52">
        <f t="shared" si="5"/>
        <v>0.11244674376141205</v>
      </c>
      <c r="E12" s="52">
        <f t="shared" si="5"/>
        <v>0.10661609776654024</v>
      </c>
      <c r="F12" s="52">
        <f t="shared" si="5"/>
        <v>0.13889484595038959</v>
      </c>
      <c r="G12" s="52">
        <f t="shared" si="5"/>
        <v>0.16743848179424317</v>
      </c>
      <c r="H12" s="52">
        <f t="shared" si="5"/>
        <v>0.16568047337278108</v>
      </c>
      <c r="I12" s="52">
        <f t="shared" si="5"/>
        <v>0.18607800650054171</v>
      </c>
      <c r="J12" s="52">
        <f t="shared" si="5"/>
        <v>0.25648414985590778</v>
      </c>
      <c r="K12" s="52">
        <f t="shared" si="5"/>
        <v>0.24214307093684526</v>
      </c>
    </row>
    <row r="13" spans="1:23">
      <c r="A13" s="107" t="s">
        <v>693</v>
      </c>
      <c r="B13" s="52">
        <f t="shared" ref="B13" si="6">IFERROR(B12/C12-1,"-")</f>
        <v>0.12520201850848278</v>
      </c>
      <c r="C13" s="52">
        <f t="shared" ref="C13" si="7">IFERROR(C12/D12-1,"-")</f>
        <v>0.99282300748531216</v>
      </c>
      <c r="D13" s="52">
        <f t="shared" ref="D13" si="8">IFERROR(D12/E12-1,"-")</f>
        <v>5.4688232987473606E-2</v>
      </c>
      <c r="E13" s="52">
        <f t="shared" ref="E13" si="9">IFERROR(E12/F12-1,"-")</f>
        <v>-0.23239701921969558</v>
      </c>
      <c r="F13" s="52">
        <f t="shared" ref="F13" si="10">IFERROR(F12/G12-1,"-")</f>
        <v>-0.170472376110824</v>
      </c>
      <c r="G13" s="52">
        <f t="shared" ref="G13" si="11">IFERROR(G12/H12-1,"-")</f>
        <v>1.0610836543824664E-2</v>
      </c>
      <c r="H13" s="52">
        <f t="shared" ref="H13" si="12">IFERROR(H12/I12-1,"-")</f>
        <v>-0.10961818385399158</v>
      </c>
      <c r="I13" s="52">
        <f t="shared" ref="I13" si="13">IFERROR(I12/J12-1,"-")</f>
        <v>-0.27450485105968569</v>
      </c>
      <c r="J13" s="52">
        <f t="shared" ref="J13" si="14">IFERROR(J12/K12-1,"-")</f>
        <v>5.922564235919392E-2</v>
      </c>
      <c r="K13" s="52" t="str">
        <f>IFERROR(K12/#REF!-1,"-")</f>
        <v>-</v>
      </c>
    </row>
    <row r="14" spans="1:23">
      <c r="A14" s="109" t="s">
        <v>322</v>
      </c>
      <c r="B14" s="51">
        <f>_xlfn.XLOOKUP($A14,Inputs!$A:$A,Inputs!B:B,,0)</f>
        <v>-258</v>
      </c>
      <c r="C14" s="51">
        <f>_xlfn.XLOOKUP($A14,Inputs!$A:$A,Inputs!C:C,,0)</f>
        <v>-777</v>
      </c>
      <c r="D14" s="51">
        <f>_xlfn.XLOOKUP($A14,Inputs!$A:$A,Inputs!D:D,,0)</f>
        <v>71</v>
      </c>
      <c r="E14" s="51">
        <f>_xlfn.XLOOKUP($A14,Inputs!$A:$A,Inputs!E:E,,0)</f>
        <v>-300</v>
      </c>
      <c r="F14" s="51">
        <f>_xlfn.XLOOKUP($A14,Inputs!$A:$A,Inputs!F:F,,0)</f>
        <v>1258</v>
      </c>
      <c r="G14" s="51">
        <f>_xlfn.XLOOKUP($A14,Inputs!$A:$A,Inputs!G:G,,0)</f>
        <v>-156</v>
      </c>
      <c r="H14" s="51">
        <f>_xlfn.XLOOKUP($A14,Inputs!$A:$A,Inputs!H:H,,0)</f>
        <v>-164</v>
      </c>
      <c r="I14" s="51">
        <f>_xlfn.XLOOKUP($A14,Inputs!$A:$A,Inputs!I:I,,0)</f>
        <v>21</v>
      </c>
      <c r="J14" s="51">
        <f>_xlfn.XLOOKUP($A14,Inputs!$A:$A,Inputs!J:J,,0)</f>
        <v>-957</v>
      </c>
      <c r="K14" s="51">
        <f>_xlfn.XLOOKUP($A14,Inputs!$A:$A,Inputs!K:K,,0)</f>
        <v>78</v>
      </c>
    </row>
    <row r="15" spans="1:23">
      <c r="A15" s="107" t="s">
        <v>694</v>
      </c>
      <c r="B15" s="51">
        <f>_xlfn.XLOOKUP($A15,Inputs!$A:$A,Inputs!B:B,,0)</f>
        <v>-3</v>
      </c>
      <c r="C15" s="51">
        <f>_xlfn.XLOOKUP($A15,Inputs!$A:$A,Inputs!C:C,,0)</f>
        <v>-38</v>
      </c>
      <c r="D15" s="51">
        <f>_xlfn.XLOOKUP($A15,Inputs!$A:$A,Inputs!D:D,,0)</f>
        <v>-22</v>
      </c>
      <c r="E15" s="51">
        <f>_xlfn.XLOOKUP($A15,Inputs!$A:$A,Inputs!E:E,,0)</f>
        <v>-18</v>
      </c>
      <c r="F15" s="51">
        <f>_xlfn.XLOOKUP($A15,Inputs!$A:$A,Inputs!F:F,,0)</f>
        <v>-36</v>
      </c>
      <c r="G15" s="51">
        <f>_xlfn.XLOOKUP($A15,Inputs!$A:$A,Inputs!G:G,,0)</f>
        <v>-35</v>
      </c>
      <c r="H15" s="51">
        <f>_xlfn.XLOOKUP($A15,Inputs!$A:$A,Inputs!H:H,,0)</f>
        <v>-30</v>
      </c>
      <c r="I15" s="51">
        <f>_xlfn.XLOOKUP($A15,Inputs!$A:$A,Inputs!I:I,,0)</f>
        <v>-24</v>
      </c>
      <c r="J15" s="51">
        <f>_xlfn.XLOOKUP($A15,Inputs!$A:$A,Inputs!J:J,,0)</f>
        <v>-8</v>
      </c>
      <c r="K15" s="51">
        <f>_xlfn.XLOOKUP($A15,Inputs!$A:$A,Inputs!K:K,,0)</f>
        <v>-6</v>
      </c>
    </row>
    <row r="16" spans="1:23">
      <c r="A16" s="109" t="s">
        <v>83</v>
      </c>
      <c r="B16" s="51">
        <f>B11-B15</f>
        <v>5034</v>
      </c>
      <c r="C16" s="51">
        <f t="shared" ref="C16:K16" si="15">C11-C15</f>
        <v>3791</v>
      </c>
      <c r="D16" s="51">
        <f t="shared" si="15"/>
        <v>1500</v>
      </c>
      <c r="E16" s="51">
        <f t="shared" si="15"/>
        <v>1536</v>
      </c>
      <c r="F16" s="51">
        <f t="shared" si="15"/>
        <v>1979</v>
      </c>
      <c r="G16" s="51">
        <f t="shared" si="15"/>
        <v>1879</v>
      </c>
      <c r="H16" s="51">
        <f t="shared" si="15"/>
        <v>1794</v>
      </c>
      <c r="I16" s="51">
        <f t="shared" si="15"/>
        <v>2085</v>
      </c>
      <c r="J16" s="51">
        <f t="shared" si="15"/>
        <v>2678</v>
      </c>
      <c r="K16" s="51">
        <f t="shared" si="15"/>
        <v>2433</v>
      </c>
      <c r="L16" s="50"/>
      <c r="M16" s="50"/>
      <c r="N16" s="50"/>
      <c r="O16" s="50"/>
      <c r="P16" s="50"/>
      <c r="Q16" s="50"/>
      <c r="R16" s="50"/>
      <c r="S16" s="50"/>
      <c r="T16" s="50"/>
      <c r="U16" s="50"/>
      <c r="V16" s="50"/>
      <c r="W16" s="50"/>
    </row>
    <row r="17" spans="1:16">
      <c r="A17" s="107" t="s">
        <v>78</v>
      </c>
      <c r="B17" s="51">
        <f>_xlfn.XLOOKUP($A17,Inputs!$A:$A,Inputs!B:B,,0)</f>
        <v>1472</v>
      </c>
      <c r="C17" s="51">
        <f>_xlfn.XLOOKUP($A17,Inputs!$A:$A,Inputs!C:C,,0)</f>
        <v>1550</v>
      </c>
      <c r="D17" s="51">
        <f>_xlfn.XLOOKUP($A17,Inputs!$A:$A,Inputs!D:D,,0)</f>
        <v>1518</v>
      </c>
      <c r="E17" s="51">
        <f>_xlfn.XLOOKUP($A17,Inputs!$A:$A,Inputs!E:E,,0)</f>
        <v>1488</v>
      </c>
      <c r="F17" s="51">
        <f>_xlfn.XLOOKUP($A17,Inputs!$A:$A,Inputs!F:F,,0)</f>
        <v>808</v>
      </c>
      <c r="G17" s="51">
        <f>_xlfn.XLOOKUP($A17,Inputs!$A:$A,Inputs!G:G,,0)</f>
        <v>537</v>
      </c>
      <c r="H17" s="51">
        <f>_xlfn.XLOOKUP($A17,Inputs!$A:$A,Inputs!H:H,,0)</f>
        <v>561</v>
      </c>
      <c r="I17" s="51">
        <f>_xlfn.XLOOKUP($A17,Inputs!$A:$A,Inputs!I:I,,0)</f>
        <v>550</v>
      </c>
      <c r="J17" s="51">
        <f>_xlfn.XLOOKUP($A17,Inputs!$A:$A,Inputs!J:J,,0)</f>
        <v>501</v>
      </c>
      <c r="K17" s="51">
        <f>_xlfn.XLOOKUP($A17,Inputs!$A:$A,Inputs!K:K,,0)</f>
        <v>429</v>
      </c>
      <c r="L17" s="242"/>
    </row>
    <row r="18" spans="1:16">
      <c r="A18" s="109" t="s">
        <v>695</v>
      </c>
      <c r="B18" s="992">
        <f>_xlfn.XLOOKUP($A18,Inputs!$A:$A,Inputs!B:B,,0)</f>
        <v>-1993</v>
      </c>
      <c r="C18" s="51">
        <f>_xlfn.XLOOKUP($A18,Inputs!$A:$A,Inputs!C:C,,0)</f>
        <v>-455</v>
      </c>
      <c r="D18" s="51">
        <f>_xlfn.XLOOKUP($A18,Inputs!$A:$A,Inputs!D:D,,0)</f>
        <v>187</v>
      </c>
      <c r="E18" s="51">
        <f>_xlfn.XLOOKUP($A18,Inputs!$A:$A,Inputs!E:E,,0)</f>
        <v>-754</v>
      </c>
      <c r="F18" s="51">
        <f>_xlfn.XLOOKUP($A18,Inputs!$A:$A,Inputs!F:F,,0)</f>
        <v>-764</v>
      </c>
      <c r="G18" s="51">
        <f>_xlfn.XLOOKUP($A18,Inputs!$A:$A,Inputs!G:G,,0)</f>
        <v>-37</v>
      </c>
      <c r="H18" s="51">
        <f>_xlfn.XLOOKUP($A18,Inputs!$A:$A,Inputs!H:H,,0)</f>
        <v>-306</v>
      </c>
      <c r="I18" s="51">
        <f>_xlfn.XLOOKUP($A18,Inputs!$A:$A,Inputs!I:I,,0)</f>
        <v>-626</v>
      </c>
      <c r="J18" s="51">
        <f>_xlfn.XLOOKUP($A18,Inputs!$A:$A,Inputs!J:J,,0)</f>
        <v>-1261</v>
      </c>
      <c r="K18" s="51">
        <f>_xlfn.XLOOKUP($A18,Inputs!$A:$A,Inputs!K:K,,0)</f>
        <v>-415</v>
      </c>
    </row>
    <row r="19" spans="1:16">
      <c r="A19" s="107" t="s">
        <v>74</v>
      </c>
      <c r="B19" s="51">
        <f>B11-B15+B17</f>
        <v>6506</v>
      </c>
      <c r="C19" s="51">
        <f t="shared" ref="C19:K19" si="16">C11-C15+C17</f>
        <v>5341</v>
      </c>
      <c r="D19" s="51">
        <f t="shared" si="16"/>
        <v>3018</v>
      </c>
      <c r="E19" s="51">
        <f t="shared" si="16"/>
        <v>3024</v>
      </c>
      <c r="F19" s="51">
        <f t="shared" si="16"/>
        <v>2787</v>
      </c>
      <c r="G19" s="51">
        <f t="shared" si="16"/>
        <v>2416</v>
      </c>
      <c r="H19" s="51">
        <f t="shared" si="16"/>
        <v>2355</v>
      </c>
      <c r="I19" s="51">
        <f t="shared" si="16"/>
        <v>2635</v>
      </c>
      <c r="J19" s="51">
        <f t="shared" si="16"/>
        <v>3179</v>
      </c>
      <c r="K19" s="51">
        <f t="shared" si="16"/>
        <v>2862</v>
      </c>
    </row>
    <row r="20" spans="1:16">
      <c r="A20" s="108" t="s">
        <v>696</v>
      </c>
      <c r="B20" s="994">
        <f t="shared" ref="B20" si="17">IFERROR(B19/B$5,"-")</f>
        <v>0.32606625570089709</v>
      </c>
      <c r="C20" s="994">
        <f t="shared" ref="C20" si="18">IFERROR(C19/C$5,"-")</f>
        <v>0.31890374970145691</v>
      </c>
      <c r="D20" s="52">
        <f t="shared" ref="D20" si="19">IFERROR(D19/D$5,"-")</f>
        <v>0.22961046865489956</v>
      </c>
      <c r="E20" s="52">
        <f t="shared" ref="E20" si="20">IFERROR(E19/E$5,"-")</f>
        <v>0.21238938053097345</v>
      </c>
      <c r="F20" s="52">
        <f t="shared" ref="F20" si="21">IFERROR(F19/F$5,"-")</f>
        <v>0.19922796482950891</v>
      </c>
      <c r="G20" s="52">
        <f t="shared" ref="G20" si="22">IFERROR(G19/G$5,"-")</f>
        <v>0.21937709979115591</v>
      </c>
      <c r="H20" s="52">
        <f t="shared" ref="H20" si="23">IFERROR(H19/H$5,"-")</f>
        <v>0.22118906734291349</v>
      </c>
      <c r="I20" s="52">
        <f t="shared" ref="I20" si="24">IFERROR(I19/I$5,"-")</f>
        <v>0.23790176959191045</v>
      </c>
      <c r="J20" s="52">
        <f t="shared" ref="J20" si="25">IFERROR(J19/J$5,"-")</f>
        <v>0.30537944284341978</v>
      </c>
      <c r="K20" s="52">
        <f t="shared" ref="K20" si="26">IFERROR(K19/K$5,"-")</f>
        <v>0.28554325052379526</v>
      </c>
      <c r="N20" s="242"/>
      <c r="O20" s="242"/>
      <c r="P20" s="242"/>
    </row>
    <row r="21" spans="1:16">
      <c r="A21" s="107" t="s">
        <v>323</v>
      </c>
      <c r="B21" s="51">
        <f>_xlfn.XLOOKUP($A21,Inputs!$A:$A,Inputs!B:B,,0)</f>
        <v>-847</v>
      </c>
      <c r="C21" s="51">
        <f>_xlfn.XLOOKUP($A21,Inputs!$A:$A,Inputs!C:C,,0)</f>
        <v>-494</v>
      </c>
      <c r="D21" s="51">
        <f>_xlfn.XLOOKUP($A21,Inputs!$A:$A,Inputs!D:D,,0)</f>
        <v>-226</v>
      </c>
      <c r="E21" s="51">
        <f>_xlfn.XLOOKUP($A21,Inputs!$A:$A,Inputs!E:E,,0)</f>
        <v>-267</v>
      </c>
      <c r="F21" s="51">
        <f>_xlfn.XLOOKUP($A21,Inputs!$A:$A,Inputs!F:F,,0)</f>
        <v>-381</v>
      </c>
      <c r="G21" s="51">
        <f>_xlfn.XLOOKUP($A21,Inputs!$A:$A,Inputs!G:G,,0)</f>
        <v>-432</v>
      </c>
      <c r="H21" s="51">
        <f>_xlfn.XLOOKUP($A21,Inputs!$A:$A,Inputs!H:H,,0)</f>
        <v>-360</v>
      </c>
      <c r="I21" s="51">
        <f>_xlfn.XLOOKUP($A21,Inputs!$A:$A,Inputs!I:I,,0)</f>
        <v>-370</v>
      </c>
      <c r="J21" s="51">
        <f>_xlfn.XLOOKUP($A21,Inputs!$A:$A,Inputs!J:J,,0)</f>
        <v>-369</v>
      </c>
      <c r="K21" s="51">
        <f>_xlfn.XLOOKUP($A21,Inputs!$A:$A,Inputs!K:K,,0)</f>
        <v>-415</v>
      </c>
    </row>
    <row r="22" spans="1:16">
      <c r="A22" s="108" t="s">
        <v>697</v>
      </c>
      <c r="B22" s="52">
        <f t="shared" ref="B22" si="27">IFERROR(B21/B$5,"-")</f>
        <v>-4.2449756928782639E-2</v>
      </c>
      <c r="C22" s="52">
        <f t="shared" ref="C22" si="28">IFERROR(C21/C$5,"-")</f>
        <v>-2.9496059230952949E-2</v>
      </c>
      <c r="D22" s="52">
        <f t="shared" ref="D22" si="29">IFERROR(D21/D$5,"-")</f>
        <v>-1.7194157029823492E-2</v>
      </c>
      <c r="E22" s="52">
        <f t="shared" ref="E22" si="30">IFERROR(E21/E$5,"-")</f>
        <v>-1.8752633796881586E-2</v>
      </c>
      <c r="F22" s="52">
        <f t="shared" ref="F22" si="31">IFERROR(F21/F$5,"-")</f>
        <v>-2.723568518121381E-2</v>
      </c>
      <c r="G22" s="52">
        <f t="shared" ref="G22" si="32">IFERROR(G21/G$5,"-")</f>
        <v>-3.9226368836829201E-2</v>
      </c>
      <c r="H22" s="52">
        <f t="shared" ref="H22" si="33">IFERROR(H21/H$5,"-")</f>
        <v>-3.38123415046492E-2</v>
      </c>
      <c r="I22" s="52">
        <f t="shared" ref="I22" si="34">IFERROR(I21/I$5,"-")</f>
        <v>-3.3405561574575658E-2</v>
      </c>
      <c r="J22" s="52">
        <f t="shared" ref="J22" si="35">IFERROR(J21/J$5,"-")</f>
        <v>-3.5446685878962533E-2</v>
      </c>
      <c r="K22" s="52">
        <f t="shared" ref="K22" si="36">IFERROR(K21/K$5,"-")</f>
        <v>-4.1404769031228174E-2</v>
      </c>
    </row>
    <row r="23" spans="1:16">
      <c r="A23" s="107" t="s">
        <v>87</v>
      </c>
      <c r="B23" s="51">
        <f>_xlfn.XLOOKUP($A23,Inputs!$A:$A,Inputs!B:B,,0)</f>
        <v>3923</v>
      </c>
      <c r="C23" s="51">
        <f>_xlfn.XLOOKUP($A23,Inputs!$A:$A,Inputs!C:C,,0)</f>
        <v>2444</v>
      </c>
      <c r="D23" s="51">
        <f>_xlfn.XLOOKUP($A23,Inputs!$A:$A,Inputs!D:D,,0)</f>
        <v>1301</v>
      </c>
      <c r="E23" s="51">
        <f>_xlfn.XLOOKUP($A23,Inputs!$A:$A,Inputs!E:E,,0)</f>
        <v>933</v>
      </c>
      <c r="F23" s="51">
        <f>_xlfn.XLOOKUP($A23,Inputs!$A:$A,Inputs!F:F,,0)</f>
        <v>2784</v>
      </c>
      <c r="G23" s="51">
        <f>_xlfn.XLOOKUP($A23,Inputs!$A:$A,Inputs!G:G,,0)</f>
        <v>1221</v>
      </c>
      <c r="H23" s="51">
        <f>_xlfn.XLOOKUP($A23,Inputs!$A:$A,Inputs!H:H,,0)</f>
        <v>1210</v>
      </c>
      <c r="I23" s="51">
        <f>_xlfn.XLOOKUP($A23,Inputs!$A:$A,Inputs!I:I,,0)</f>
        <v>1688</v>
      </c>
      <c r="J23" s="51">
        <f>_xlfn.XLOOKUP($A23,Inputs!$A:$A,Inputs!J:J,,0)</f>
        <v>1336</v>
      </c>
      <c r="K23" s="51">
        <f>_xlfn.XLOOKUP($A23,Inputs!$A:$A,Inputs!K:K,,0)</f>
        <v>2084</v>
      </c>
    </row>
    <row r="24" spans="1:16">
      <c r="A24" s="108" t="s">
        <v>281</v>
      </c>
      <c r="B24" s="994">
        <f t="shared" ref="B24" si="37">IFERROR(B23/B$5,"-")</f>
        <v>0.19661203828998144</v>
      </c>
      <c r="C24" s="994">
        <f t="shared" ref="C24" si="38">IFERROR(C23/C$5,"-")</f>
        <v>0.1459278719847146</v>
      </c>
      <c r="D24" s="52">
        <f t="shared" ref="D24" si="39">IFERROR(D23/D$5,"-")</f>
        <v>9.898052343274498E-2</v>
      </c>
      <c r="E24" s="52">
        <f t="shared" ref="E24" si="40">IFERROR(E23/E$5,"-")</f>
        <v>6.5528866413822162E-2</v>
      </c>
      <c r="F24" s="994">
        <f t="shared" ref="F24" si="41">IFERROR(F23/F$5,"-")</f>
        <v>0.19901351061548359</v>
      </c>
      <c r="G24" s="52">
        <f t="shared" ref="G24" si="42">IFERROR(G23/G$5,"-")</f>
        <v>0.11086897303187142</v>
      </c>
      <c r="H24" s="52">
        <f t="shared" ref="H24" si="43">IFERROR(H23/H$5,"-")</f>
        <v>0.1136470367239598</v>
      </c>
      <c r="I24" s="52">
        <f t="shared" ref="I24" si="44">IFERROR(I23/I$5,"-")</f>
        <v>0.15240158902130732</v>
      </c>
      <c r="J24" s="52">
        <f t="shared" ref="J24" si="45">IFERROR(J23/J$5,"-")</f>
        <v>0.12833813640730068</v>
      </c>
      <c r="K24" s="52">
        <f t="shared" ref="K24" si="46">IFERROR(K23/K$5,"-")</f>
        <v>0.20792177990621571</v>
      </c>
    </row>
    <row r="25" spans="1:16">
      <c r="A25" s="107" t="s">
        <v>689</v>
      </c>
      <c r="B25" s="52">
        <f t="shared" ref="B25" si="47">IFERROR(B24/C24-1,"-")</f>
        <v>0.34732341132594469</v>
      </c>
      <c r="C25" s="52">
        <f t="shared" ref="C25" si="48">IFERROR(C24/D24-1,"-")</f>
        <v>0.47430895416378838</v>
      </c>
      <c r="D25" s="52">
        <f t="shared" ref="D25" si="49">IFERROR(D24/E24-1,"-")</f>
        <v>0.51048734473250068</v>
      </c>
      <c r="E25" s="52">
        <f t="shared" ref="E25" si="50">IFERROR(E24/F24-1,"-")</f>
        <v>-0.67073156887106378</v>
      </c>
      <c r="F25" s="52">
        <f t="shared" ref="F25" si="51">IFERROR(F24/G24-1,"-")</f>
        <v>0.79503340901582376</v>
      </c>
      <c r="G25" s="52">
        <f t="shared" ref="G25" si="52">IFERROR(G24/H24-1,"-")</f>
        <v>-2.4444664569971075E-2</v>
      </c>
      <c r="H25" s="52">
        <f t="shared" ref="H25" si="53">IFERROR(H24/I24-1,"-")</f>
        <v>-0.25429231116434903</v>
      </c>
      <c r="I25" s="52">
        <f t="shared" ref="I25" si="54">IFERROR(I24/J24-1,"-")</f>
        <v>0.18750040547291102</v>
      </c>
      <c r="J25" s="52">
        <f t="shared" ref="J25" si="55">IFERROR(J24/K24-1,"-")</f>
        <v>-0.38275760978388929</v>
      </c>
      <c r="K25" s="52" t="str">
        <f>IFERROR(K24/#REF!-1,"-")</f>
        <v>-</v>
      </c>
    </row>
    <row r="26" spans="1:16">
      <c r="A26" s="108" t="s">
        <v>698</v>
      </c>
      <c r="B26" s="53">
        <f>B39-C39</f>
        <v>1828</v>
      </c>
      <c r="C26" s="53">
        <f t="shared" ref="C26:K26" si="56">C39-D39</f>
        <v>3082</v>
      </c>
      <c r="D26" s="53">
        <f t="shared" si="56"/>
        <v>4603</v>
      </c>
      <c r="E26" s="53">
        <f t="shared" si="56"/>
        <v>-764</v>
      </c>
      <c r="F26" s="53">
        <f t="shared" si="56"/>
        <v>-3870</v>
      </c>
      <c r="G26" s="53">
        <f t="shared" si="56"/>
        <v>5527</v>
      </c>
      <c r="H26" s="53">
        <f t="shared" si="56"/>
        <v>115</v>
      </c>
      <c r="I26" s="53">
        <f t="shared" si="56"/>
        <v>-696</v>
      </c>
      <c r="J26" s="53">
        <f t="shared" si="56"/>
        <v>2284</v>
      </c>
      <c r="K26" s="53">
        <f t="shared" si="56"/>
        <v>6228</v>
      </c>
    </row>
    <row r="27" spans="1:16">
      <c r="A27" s="107" t="s">
        <v>155</v>
      </c>
      <c r="B27" s="51">
        <f>_xlfn.XLOOKUP($A27,Inputs!$A:$A,Inputs!B:B,,0)</f>
        <v>-1851</v>
      </c>
      <c r="C27" s="51">
        <f>_xlfn.XLOOKUP($A27,Inputs!$A:$A,Inputs!C:C,,0)</f>
        <v>-1041</v>
      </c>
      <c r="D27" s="51">
        <f>_xlfn.XLOOKUP($A27,Inputs!$A:$A,Inputs!D:D,,0)</f>
        <v>-529</v>
      </c>
      <c r="E27" s="51">
        <f>_xlfn.XLOOKUP($A27,Inputs!$A:$A,Inputs!E:E,,0)</f>
        <v>-1017</v>
      </c>
      <c r="F27" s="51">
        <f>_xlfn.XLOOKUP($A27,Inputs!$A:$A,Inputs!F:F,,0)</f>
        <v>-926</v>
      </c>
      <c r="G27" s="51">
        <f>_xlfn.XLOOKUP($A27,Inputs!$A:$A,Inputs!G:G,,0)</f>
        <v>-918</v>
      </c>
      <c r="H27" s="51">
        <f>_xlfn.XLOOKUP($A27,Inputs!$A:$A,Inputs!H:H,,0)</f>
        <v>-878</v>
      </c>
      <c r="I27" s="51">
        <f>_xlfn.XLOOKUP($A27,Inputs!$A:$A,Inputs!I:I,,0)</f>
        <v>-854</v>
      </c>
      <c r="J27" s="51">
        <f>_xlfn.XLOOKUP($A27,Inputs!$A:$A,Inputs!J:J,,0)</f>
        <v>-650</v>
      </c>
      <c r="K27" s="51">
        <f>_xlfn.XLOOKUP($A27,Inputs!$A:$A,Inputs!K:K,,0)</f>
        <v>-452</v>
      </c>
    </row>
    <row r="28" spans="1:16">
      <c r="A28" s="109" t="s">
        <v>677</v>
      </c>
      <c r="B28" s="51">
        <f>_xlfn.XLOOKUP($A28,Inputs!$A:$A,Inputs!B:B,,0)</f>
        <v>198</v>
      </c>
      <c r="C28" s="51">
        <f>_xlfn.XLOOKUP($A28,Inputs!$A:$A,Inputs!C:C,,0)</f>
        <v>-8</v>
      </c>
      <c r="D28" s="51">
        <f>_xlfn.XLOOKUP($A28,Inputs!$A:$A,Inputs!D:D,,0)</f>
        <v>32</v>
      </c>
      <c r="E28" s="51">
        <f>_xlfn.XLOOKUP($A28,Inputs!$A:$A,Inputs!E:E,,0)</f>
        <v>13</v>
      </c>
      <c r="F28" s="51">
        <f>_xlfn.XLOOKUP($A28,Inputs!$A:$A,Inputs!F:F,,0)</f>
        <v>-74</v>
      </c>
      <c r="G28" s="51">
        <f>_xlfn.XLOOKUP($A28,Inputs!$A:$A,Inputs!G:G,,0)</f>
        <v>-71</v>
      </c>
      <c r="H28" s="51">
        <f>_xlfn.XLOOKUP($A28,Inputs!$A:$A,Inputs!H:H,,0)</f>
        <v>-48</v>
      </c>
      <c r="I28" s="51">
        <f>_xlfn.XLOOKUP($A28,Inputs!$A:$A,Inputs!I:I,,0)</f>
        <v>-94</v>
      </c>
      <c r="J28" s="51">
        <f>_xlfn.XLOOKUP($A28,Inputs!$A:$A,Inputs!J:J,,0)</f>
        <v>-65</v>
      </c>
      <c r="K28" s="51">
        <f>_xlfn.XLOOKUP($A28,Inputs!$A:$A,Inputs!K:K,,0)</f>
        <v>91</v>
      </c>
    </row>
    <row r="29" spans="1:16">
      <c r="A29" s="107" t="s">
        <v>147</v>
      </c>
      <c r="B29" s="53">
        <f>SUM(B26:B28)</f>
        <v>175</v>
      </c>
      <c r="C29" s="53">
        <f t="shared" ref="C29:K29" si="57">SUM(C26:C28)</f>
        <v>2033</v>
      </c>
      <c r="D29" s="53">
        <f t="shared" si="57"/>
        <v>4106</v>
      </c>
      <c r="E29" s="53">
        <f t="shared" si="57"/>
        <v>-1768</v>
      </c>
      <c r="F29" s="53">
        <f t="shared" si="57"/>
        <v>-4870</v>
      </c>
      <c r="G29" s="53">
        <f t="shared" si="57"/>
        <v>4538</v>
      </c>
      <c r="H29" s="53">
        <f t="shared" si="57"/>
        <v>-811</v>
      </c>
      <c r="I29" s="53">
        <f t="shared" si="57"/>
        <v>-1644</v>
      </c>
      <c r="J29" s="53">
        <f t="shared" si="57"/>
        <v>1569</v>
      </c>
      <c r="K29" s="53">
        <f t="shared" si="57"/>
        <v>5867</v>
      </c>
    </row>
    <row r="30" spans="1:16">
      <c r="A30" s="109" t="s">
        <v>699</v>
      </c>
      <c r="B30" s="53">
        <f>+B29-(B58-C29)</f>
        <v>-13463</v>
      </c>
      <c r="C30" s="53">
        <f t="shared" ref="C30:K30" si="58">+C29-(C58-D29)</f>
        <v>-8867</v>
      </c>
      <c r="D30" s="53">
        <f t="shared" si="58"/>
        <v>-11213</v>
      </c>
      <c r="E30" s="53">
        <f t="shared" si="58"/>
        <v>-16381</v>
      </c>
      <c r="F30" s="53">
        <f t="shared" si="58"/>
        <v>-7392</v>
      </c>
      <c r="G30" s="53">
        <f t="shared" si="58"/>
        <v>-4462</v>
      </c>
      <c r="H30" s="53">
        <f t="shared" si="58"/>
        <v>-4595</v>
      </c>
      <c r="I30" s="53">
        <f t="shared" si="58"/>
        <v>-2552</v>
      </c>
      <c r="J30" s="53">
        <f t="shared" si="58"/>
        <v>4343</v>
      </c>
      <c r="K30" s="53">
        <f t="shared" si="58"/>
        <v>4298</v>
      </c>
    </row>
    <row r="31" spans="1:16">
      <c r="A31" s="107" t="s">
        <v>700</v>
      </c>
      <c r="B31" s="53">
        <f>+B30+B33</f>
        <v>-14508</v>
      </c>
      <c r="C31" s="53">
        <f t="shared" ref="C31:K31" si="59">+C30+C33</f>
        <v>-10042</v>
      </c>
      <c r="D31" s="53">
        <f t="shared" si="59"/>
        <v>-12528</v>
      </c>
      <c r="E31" s="53">
        <f t="shared" si="59"/>
        <v>-16451</v>
      </c>
      <c r="F31" s="53">
        <f t="shared" si="59"/>
        <v>-9385</v>
      </c>
      <c r="G31" s="53">
        <f t="shared" si="59"/>
        <v>-6663</v>
      </c>
      <c r="H31" s="53">
        <f t="shared" si="59"/>
        <v>-4449</v>
      </c>
      <c r="I31" s="53">
        <f t="shared" si="59"/>
        <v>-3102</v>
      </c>
      <c r="J31" s="53">
        <f t="shared" si="59"/>
        <v>4757</v>
      </c>
      <c r="K31" s="53">
        <f t="shared" si="59"/>
        <v>4162</v>
      </c>
    </row>
    <row r="32" spans="1:16">
      <c r="A32" s="109" t="s">
        <v>152</v>
      </c>
      <c r="B32" s="51">
        <f>_xlfn.XLOOKUP($A32,Inputs!$A:$A,Inputs!B:B,,0)</f>
        <v>-984</v>
      </c>
      <c r="C32" s="51">
        <f>_xlfn.XLOOKUP($A32,Inputs!$A:$A,Inputs!C:C,,0)</f>
        <v>-875</v>
      </c>
      <c r="D32" s="51">
        <f>_xlfn.XLOOKUP($A32,Inputs!$A:$A,Inputs!D:D,,0)</f>
        <v>-513</v>
      </c>
      <c r="E32" s="51">
        <f>_xlfn.XLOOKUP($A32,Inputs!$A:$A,Inputs!E:E,,0)</f>
        <v>-737</v>
      </c>
      <c r="F32" s="992">
        <f>_xlfn.XLOOKUP($A32,Inputs!$A:$A,Inputs!F:F,,0)</f>
        <v>-826</v>
      </c>
      <c r="G32" s="51">
        <f>_xlfn.XLOOKUP($A32,Inputs!$A:$A,Inputs!G:G,,0)</f>
        <v>-487</v>
      </c>
      <c r="H32" s="51">
        <f>_xlfn.XLOOKUP($A32,Inputs!$A:$A,Inputs!H:H,,0)</f>
        <v>-599</v>
      </c>
      <c r="I32" s="51">
        <f>_xlfn.XLOOKUP($A32,Inputs!$A:$A,Inputs!I:I,,0)</f>
        <v>-710</v>
      </c>
      <c r="J32" s="51">
        <f>_xlfn.XLOOKUP($A32,Inputs!$A:$A,Inputs!J:J,,0)</f>
        <v>-708</v>
      </c>
      <c r="K32" s="51">
        <f>_xlfn.XLOOKUP($A32,Inputs!$A:$A,Inputs!K:K,,0)</f>
        <v>-675</v>
      </c>
    </row>
    <row r="33" spans="1:11">
      <c r="A33" s="107" t="s">
        <v>153</v>
      </c>
      <c r="B33" s="992">
        <f>_xlfn.XLOOKUP($A33,Inputs!$A:$A,Inputs!B:B,,0)</f>
        <v>-1045</v>
      </c>
      <c r="C33" s="992">
        <f>_xlfn.XLOOKUP($A33,Inputs!$A:$A,Inputs!C:C,,0)</f>
        <v>-1175</v>
      </c>
      <c r="D33" s="992">
        <f>_xlfn.XLOOKUP($A33,Inputs!$A:$A,Inputs!D:D,,0)</f>
        <v>-1315</v>
      </c>
      <c r="E33" s="51">
        <f>_xlfn.XLOOKUP($A33,Inputs!$A:$A,Inputs!E:E,,0)</f>
        <v>-70</v>
      </c>
      <c r="F33" s="992">
        <f>_xlfn.XLOOKUP($A33,Inputs!$A:$A,Inputs!F:F,,0)</f>
        <v>-1993</v>
      </c>
      <c r="G33" s="992">
        <f>_xlfn.XLOOKUP($A33,Inputs!$A:$A,Inputs!G:G,,0)</f>
        <v>-2201</v>
      </c>
      <c r="H33" s="51">
        <f>_xlfn.XLOOKUP($A33,Inputs!$A:$A,Inputs!H:H,,0)</f>
        <v>146</v>
      </c>
      <c r="I33" s="51">
        <f>_xlfn.XLOOKUP($A33,Inputs!$A:$A,Inputs!I:I,,0)</f>
        <v>-550</v>
      </c>
      <c r="J33" s="51">
        <f>_xlfn.XLOOKUP($A33,Inputs!$A:$A,Inputs!J:J,,0)</f>
        <v>414</v>
      </c>
      <c r="K33" s="51">
        <f>_xlfn.XLOOKUP($A33,Inputs!$A:$A,Inputs!K:K,,0)</f>
        <v>-136</v>
      </c>
    </row>
    <row r="34" spans="1:11">
      <c r="A34" s="108" t="s">
        <v>148</v>
      </c>
      <c r="B34" s="53">
        <f t="shared" ref="B34:K34" si="60">+B32+B33</f>
        <v>-2029</v>
      </c>
      <c r="C34" s="53">
        <f t="shared" si="60"/>
        <v>-2050</v>
      </c>
      <c r="D34" s="53">
        <f t="shared" si="60"/>
        <v>-1828</v>
      </c>
      <c r="E34" s="53">
        <f t="shared" si="60"/>
        <v>-807</v>
      </c>
      <c r="F34" s="53">
        <f t="shared" si="60"/>
        <v>-2819</v>
      </c>
      <c r="G34" s="53">
        <f t="shared" si="60"/>
        <v>-2688</v>
      </c>
      <c r="H34" s="53">
        <f t="shared" si="60"/>
        <v>-453</v>
      </c>
      <c r="I34" s="53">
        <f t="shared" si="60"/>
        <v>-1260</v>
      </c>
      <c r="J34" s="53">
        <f t="shared" si="60"/>
        <v>-294</v>
      </c>
      <c r="K34" s="53">
        <f t="shared" si="60"/>
        <v>-811</v>
      </c>
    </row>
    <row r="35" spans="1:11">
      <c r="A35" s="107" t="s">
        <v>146</v>
      </c>
      <c r="B35" s="53">
        <f t="shared" ref="B35:K35" si="61">+B27+B28</f>
        <v>-1653</v>
      </c>
      <c r="C35" s="53">
        <f t="shared" si="61"/>
        <v>-1049</v>
      </c>
      <c r="D35" s="53">
        <f t="shared" si="61"/>
        <v>-497</v>
      </c>
      <c r="E35" s="53">
        <f t="shared" si="61"/>
        <v>-1004</v>
      </c>
      <c r="F35" s="53">
        <f t="shared" si="61"/>
        <v>-1000</v>
      </c>
      <c r="G35" s="53">
        <f t="shared" si="61"/>
        <v>-989</v>
      </c>
      <c r="H35" s="53">
        <f t="shared" si="61"/>
        <v>-926</v>
      </c>
      <c r="I35" s="53">
        <f t="shared" si="61"/>
        <v>-948</v>
      </c>
      <c r="J35" s="53">
        <f t="shared" si="61"/>
        <v>-715</v>
      </c>
      <c r="K35" s="53">
        <f t="shared" si="61"/>
        <v>-361</v>
      </c>
    </row>
    <row r="36" spans="1:11">
      <c r="A36" s="109" t="s">
        <v>701</v>
      </c>
      <c r="B36" s="52">
        <f>IFERROR(B35/B23,"-")</f>
        <v>-0.4213612031608463</v>
      </c>
      <c r="C36" s="52">
        <f t="shared" ref="C36:K36" si="62">IFERROR(C35/C23,"-")</f>
        <v>-0.42921440261865795</v>
      </c>
      <c r="D36" s="52">
        <f t="shared" si="62"/>
        <v>-0.38201383551114526</v>
      </c>
      <c r="E36" s="52">
        <f t="shared" si="62"/>
        <v>-1.0760986066452305</v>
      </c>
      <c r="F36" s="52">
        <f t="shared" si="62"/>
        <v>-0.35919540229885055</v>
      </c>
      <c r="G36" s="52">
        <f t="shared" si="62"/>
        <v>-0.80999180999180997</v>
      </c>
      <c r="H36" s="52">
        <f t="shared" si="62"/>
        <v>-0.76528925619834709</v>
      </c>
      <c r="I36" s="52">
        <f t="shared" si="62"/>
        <v>-0.56161137440758291</v>
      </c>
      <c r="J36" s="52">
        <f t="shared" si="62"/>
        <v>-0.53517964071856283</v>
      </c>
      <c r="K36" s="52">
        <f t="shared" si="62"/>
        <v>-0.17322456813819578</v>
      </c>
    </row>
    <row r="37" spans="1:11">
      <c r="A37" s="7"/>
      <c r="B37" s="45"/>
      <c r="C37" s="45"/>
      <c r="D37" s="45"/>
      <c r="E37" s="45"/>
      <c r="F37" s="45"/>
      <c r="G37" s="45"/>
      <c r="H37" s="45"/>
      <c r="I37" s="45"/>
      <c r="J37" s="45"/>
      <c r="K37" s="45"/>
    </row>
    <row r="38" spans="1:11" ht="20.25">
      <c r="A38" s="1353" t="s">
        <v>702</v>
      </c>
      <c r="B38" s="1353"/>
      <c r="C38" s="1353"/>
      <c r="D38" s="1353"/>
      <c r="E38" s="1353"/>
      <c r="F38" s="1353"/>
      <c r="G38" s="1353"/>
      <c r="H38" s="1353"/>
      <c r="I38" s="1353"/>
      <c r="J38" s="1353"/>
      <c r="K38" s="1353"/>
    </row>
    <row r="39" spans="1:11">
      <c r="A39" s="110" t="s">
        <v>326</v>
      </c>
      <c r="B39" s="1025">
        <f>_xlfn.XLOOKUP($A39,Inputs!$A:$A,Inputs!B:B,,0)</f>
        <v>18337</v>
      </c>
      <c r="C39" s="1025">
        <f>_xlfn.XLOOKUP($A39,Inputs!$A:$A,Inputs!C:C,,0)</f>
        <v>16509</v>
      </c>
      <c r="D39" s="1025">
        <f>_xlfn.XLOOKUP($A39,Inputs!$A:$A,Inputs!D:D,,0)</f>
        <v>13427</v>
      </c>
      <c r="E39" s="51">
        <f>_xlfn.XLOOKUP($A39,Inputs!$A:$A,Inputs!E:E,,0)</f>
        <v>8824</v>
      </c>
      <c r="F39" s="51">
        <f>_xlfn.XLOOKUP($A39,Inputs!$A:$A,Inputs!F:F,,0)</f>
        <v>9588</v>
      </c>
      <c r="G39" s="51">
        <f>_xlfn.XLOOKUP($A39,Inputs!$A:$A,Inputs!G:G,,0)</f>
        <v>13458</v>
      </c>
      <c r="H39" s="51">
        <f>_xlfn.XLOOKUP($A39,Inputs!$A:$A,Inputs!H:H,,0)</f>
        <v>7931</v>
      </c>
      <c r="I39" s="51">
        <f>_xlfn.XLOOKUP($A39,Inputs!$A:$A,Inputs!I:I,,0)</f>
        <v>7816</v>
      </c>
      <c r="J39" s="51">
        <f>_xlfn.XLOOKUP($A39,Inputs!$A:$A,Inputs!J:J,,0)</f>
        <v>8512</v>
      </c>
      <c r="K39" s="51">
        <f>_xlfn.XLOOKUP($A39,Inputs!$A:$A,Inputs!K:K,,0)</f>
        <v>6228</v>
      </c>
    </row>
    <row r="40" spans="1:11">
      <c r="A40" s="108" t="s">
        <v>703</v>
      </c>
      <c r="B40" s="51">
        <f>_xlfn.XLOOKUP($A40,Inputs!$A:$A,Inputs!B:B,,0)</f>
        <v>852</v>
      </c>
      <c r="C40" s="51">
        <f>_xlfn.XLOOKUP($A40,Inputs!$A:$A,Inputs!C:C,,0)</f>
        <v>733</v>
      </c>
      <c r="D40" s="51">
        <f>_xlfn.XLOOKUP($A40,Inputs!$A:$A,Inputs!D:D,,0)</f>
        <v>638</v>
      </c>
      <c r="E40" s="51">
        <f>_xlfn.XLOOKUP($A40,Inputs!$A:$A,Inputs!E:E,,0)</f>
        <v>803</v>
      </c>
      <c r="F40" s="51">
        <f>_xlfn.XLOOKUP($A40,Inputs!$A:$A,Inputs!F:F,,0)</f>
        <v>685</v>
      </c>
      <c r="G40" s="51">
        <f>_xlfn.XLOOKUP($A40,Inputs!$A:$A,Inputs!G:G,,0)</f>
        <v>582</v>
      </c>
      <c r="H40" s="51">
        <f>_xlfn.XLOOKUP($A40,Inputs!$A:$A,Inputs!H:H,,0)</f>
        <v>630</v>
      </c>
      <c r="I40" s="51">
        <f>_xlfn.XLOOKUP($A40,Inputs!$A:$A,Inputs!I:I,,0)</f>
        <v>649</v>
      </c>
      <c r="J40" s="51">
        <f>_xlfn.XLOOKUP($A40,Inputs!$A:$A,Inputs!J:J,,0)</f>
        <v>680</v>
      </c>
      <c r="K40" s="51">
        <f>_xlfn.XLOOKUP($A40,Inputs!$A:$A,Inputs!K:K,,0)</f>
        <v>600</v>
      </c>
    </row>
    <row r="41" spans="1:11">
      <c r="A41" s="110" t="s">
        <v>328</v>
      </c>
      <c r="B41" s="51">
        <f>_xlfn.XLOOKUP($A41,Inputs!$A:$A,Inputs!B:B,,0)</f>
        <v>7096</v>
      </c>
      <c r="C41" s="51">
        <f>_xlfn.XLOOKUP($A41,Inputs!$A:$A,Inputs!C:C,,0)</f>
        <v>7099</v>
      </c>
      <c r="D41" s="51">
        <f>_xlfn.XLOOKUP($A41,Inputs!$A:$A,Inputs!D:D,,0)</f>
        <v>6319</v>
      </c>
      <c r="E41" s="51">
        <f>_xlfn.XLOOKUP($A41,Inputs!$A:$A,Inputs!E:E,,0)</f>
        <v>6658</v>
      </c>
      <c r="F41" s="51">
        <f>_xlfn.XLOOKUP($A41,Inputs!$A:$A,Inputs!F:F,,0)</f>
        <v>6186</v>
      </c>
      <c r="G41" s="51">
        <f>_xlfn.XLOOKUP($A41,Inputs!$A:$A,Inputs!G:G,,0)</f>
        <v>4943</v>
      </c>
      <c r="H41" s="51">
        <f>_xlfn.XLOOKUP($A41,Inputs!$A:$A,Inputs!H:H,,0)</f>
        <v>5302</v>
      </c>
      <c r="I41" s="51">
        <f>_xlfn.XLOOKUP($A41,Inputs!$A:$A,Inputs!I:I,,0)</f>
        <v>5345</v>
      </c>
      <c r="J41" s="51">
        <f>_xlfn.XLOOKUP($A41,Inputs!$A:$A,Inputs!J:J,,0)</f>
        <v>5438</v>
      </c>
      <c r="K41" s="51">
        <f>_xlfn.XLOOKUP($A41,Inputs!$A:$A,Inputs!K:K,,0)</f>
        <v>4455</v>
      </c>
    </row>
    <row r="42" spans="1:11">
      <c r="A42" s="108" t="s">
        <v>704</v>
      </c>
      <c r="B42" s="51">
        <f>_xlfn.XLOOKUP($A42,Inputs!$A:$A,Inputs!B:B,,0)</f>
        <v>6908</v>
      </c>
      <c r="C42" s="51">
        <f>_xlfn.XLOOKUP($A42,Inputs!$A:$A,Inputs!C:C,,0)</f>
        <v>6590</v>
      </c>
      <c r="D42" s="51">
        <f>_xlfn.XLOOKUP($A42,Inputs!$A:$A,Inputs!D:D,,0)</f>
        <v>5922</v>
      </c>
      <c r="E42" s="1025">
        <f>_xlfn.XLOOKUP($A42,Inputs!$A:$A,Inputs!E:E,,0)</f>
        <v>5938</v>
      </c>
      <c r="F42" s="51">
        <f>_xlfn.XLOOKUP($A42,Inputs!$A:$A,Inputs!F:F,,0)</f>
        <v>2728</v>
      </c>
      <c r="G42" s="51">
        <f>_xlfn.XLOOKUP($A42,Inputs!$A:$A,Inputs!G:G,,0)</f>
        <v>2325</v>
      </c>
      <c r="H42" s="51">
        <f>_xlfn.XLOOKUP($A42,Inputs!$A:$A,Inputs!H:H,,0)</f>
        <v>2558</v>
      </c>
      <c r="I42" s="51">
        <f>_xlfn.XLOOKUP($A42,Inputs!$A:$A,Inputs!I:I,,0)</f>
        <v>2476</v>
      </c>
      <c r="J42" s="51">
        <f>_xlfn.XLOOKUP($A42,Inputs!$A:$A,Inputs!J:J,,0)</f>
        <v>2446</v>
      </c>
      <c r="K42" s="51">
        <f>_xlfn.XLOOKUP($A42,Inputs!$A:$A,Inputs!K:K,,0)</f>
        <v>1966</v>
      </c>
    </row>
    <row r="43" spans="1:11">
      <c r="A43" s="110" t="s">
        <v>705</v>
      </c>
      <c r="B43" s="51">
        <f>_xlfn.XLOOKUP($A43,Inputs!$A:$A,Inputs!B:B,,0)</f>
        <v>6486</v>
      </c>
      <c r="C43" s="51">
        <f>_xlfn.XLOOKUP($A43,Inputs!$A:$A,Inputs!C:C,,0)</f>
        <v>8245</v>
      </c>
      <c r="D43" s="51">
        <f>_xlfn.XLOOKUP($A43,Inputs!$A:$A,Inputs!D:D,,0)</f>
        <v>7638</v>
      </c>
      <c r="E43" s="51">
        <f>_xlfn.XLOOKUP($A43,Inputs!$A:$A,Inputs!E:E,,0)</f>
        <v>7518</v>
      </c>
      <c r="F43" s="51">
        <f>_xlfn.XLOOKUP($A43,Inputs!$A:$A,Inputs!F:F,,0)</f>
        <v>7835</v>
      </c>
      <c r="G43" s="51">
        <f>_xlfn.XLOOKUP($A43,Inputs!$A:$A,Inputs!G:G,,0)</f>
        <v>2242</v>
      </c>
      <c r="H43" s="51">
        <f>_xlfn.XLOOKUP($A43,Inputs!$A:$A,Inputs!H:H,,0)</f>
        <v>2270</v>
      </c>
      <c r="I43" s="51">
        <f>_xlfn.XLOOKUP($A43,Inputs!$A:$A,Inputs!I:I,,0)</f>
        <v>2358</v>
      </c>
      <c r="J43" s="51">
        <f>_xlfn.XLOOKUP($A43,Inputs!$A:$A,Inputs!J:J,,0)</f>
        <v>3178</v>
      </c>
      <c r="K43" s="51">
        <f>_xlfn.XLOOKUP($A43,Inputs!$A:$A,Inputs!K:K,,0)</f>
        <v>2302</v>
      </c>
    </row>
    <row r="44" spans="1:11">
      <c r="A44" s="111" t="s">
        <v>62</v>
      </c>
      <c r="B44" s="55">
        <f>_xlfn.XLOOKUP($A44,Inputs!$A:$A,Inputs!B:B,,0)</f>
        <v>40887</v>
      </c>
      <c r="C44" s="55">
        <f>_xlfn.XLOOKUP($A44,Inputs!$A:$A,Inputs!C:C,,0)</f>
        <v>39986</v>
      </c>
      <c r="D44" s="55">
        <f>_xlfn.XLOOKUP($A44,Inputs!$A:$A,Inputs!D:D,,0)</f>
        <v>35359</v>
      </c>
      <c r="E44" s="55">
        <f>_xlfn.XLOOKUP($A44,Inputs!$A:$A,Inputs!E:E,,0)</f>
        <v>30461</v>
      </c>
      <c r="F44" s="55">
        <f>_xlfn.XLOOKUP($A44,Inputs!$A:$A,Inputs!F:F,,0)</f>
        <v>28039</v>
      </c>
      <c r="G44" s="55">
        <f>_xlfn.XLOOKUP($A44,Inputs!$A:$A,Inputs!G:G,,0)</f>
        <v>25652</v>
      </c>
      <c r="H44" s="55">
        <f>_xlfn.XLOOKUP($A44,Inputs!$A:$A,Inputs!H:H,,0)</f>
        <v>20160</v>
      </c>
      <c r="I44" s="55">
        <f>_xlfn.XLOOKUP($A44,Inputs!$A:$A,Inputs!I:I,,0)</f>
        <v>20125</v>
      </c>
      <c r="J44" s="55">
        <f>_xlfn.XLOOKUP($A44,Inputs!$A:$A,Inputs!J:J,,0)</f>
        <v>20450</v>
      </c>
      <c r="K44" s="55">
        <f>_xlfn.XLOOKUP($A44,Inputs!$A:$A,Inputs!K:K,,0)</f>
        <v>15918</v>
      </c>
    </row>
    <row r="45" spans="1:11">
      <c r="B45"/>
      <c r="C45"/>
      <c r="D45"/>
      <c r="E45"/>
      <c r="F45"/>
      <c r="G45"/>
      <c r="H45"/>
      <c r="I45"/>
      <c r="J45"/>
      <c r="K45"/>
    </row>
    <row r="46" spans="1:11">
      <c r="B46"/>
      <c r="C46"/>
      <c r="D46"/>
      <c r="E46"/>
      <c r="F46"/>
      <c r="G46"/>
      <c r="H46"/>
      <c r="I46"/>
      <c r="J46"/>
      <c r="K46"/>
    </row>
    <row r="47" spans="1:11" ht="20.25">
      <c r="A47" s="1353" t="s">
        <v>706</v>
      </c>
      <c r="B47" s="1353"/>
      <c r="C47" s="1353"/>
      <c r="D47" s="1353"/>
      <c r="E47" s="1353"/>
      <c r="F47" s="1353"/>
      <c r="G47" s="1353"/>
      <c r="H47" s="1353"/>
      <c r="I47" s="1353"/>
      <c r="J47" s="1353"/>
      <c r="K47" s="1353"/>
    </row>
    <row r="48" spans="1:11">
      <c r="A48" s="112" t="s">
        <v>332</v>
      </c>
      <c r="B48" s="55">
        <f>_xlfn.XLOOKUP($A48,Inputs!$A:$A,Inputs!B:B,,0)</f>
        <v>12308</v>
      </c>
      <c r="C48" s="55">
        <f>_xlfn.XLOOKUP($A48,Inputs!$A:$A,Inputs!C:C,,0)</f>
        <v>10507</v>
      </c>
      <c r="D48" s="55">
        <f>_xlfn.XLOOKUP($A48,Inputs!$A:$A,Inputs!D:D,,0)</f>
        <v>8136</v>
      </c>
      <c r="E48" s="55">
        <f>_xlfn.XLOOKUP($A48,Inputs!$A:$A,Inputs!E:E,,0)</f>
        <v>5875</v>
      </c>
      <c r="F48" s="55">
        <f>_xlfn.XLOOKUP($A48,Inputs!$A:$A,Inputs!F:F,,0)</f>
        <v>6303</v>
      </c>
      <c r="G48" s="55">
        <f>_xlfn.XLOOKUP($A48,Inputs!$A:$A,Inputs!G:G,,0)</f>
        <v>6409</v>
      </c>
      <c r="H48" s="55">
        <f>_xlfn.XLOOKUP($A48,Inputs!$A:$A,Inputs!H:H,,0)</f>
        <v>3900</v>
      </c>
      <c r="I48" s="55">
        <f>_xlfn.XLOOKUP($A48,Inputs!$A:$A,Inputs!I:I,,0)</f>
        <v>4196</v>
      </c>
      <c r="J48" s="55">
        <f>_xlfn.XLOOKUP($A48,Inputs!$A:$A,Inputs!J:J,,0)</f>
        <v>5088</v>
      </c>
      <c r="K48" s="55">
        <f>_xlfn.XLOOKUP($A48,Inputs!$A:$A,Inputs!K:K,,0)</f>
        <v>3113</v>
      </c>
    </row>
    <row r="49" spans="1:11">
      <c r="A49" s="113" t="s">
        <v>707</v>
      </c>
      <c r="B49" s="51">
        <f>_xlfn.XLOOKUP($A49,Inputs!$A:$A,Inputs!B:B,,0)</f>
        <v>5833</v>
      </c>
      <c r="C49" s="51">
        <f>_xlfn.XLOOKUP($A49,Inputs!$A:$A,Inputs!C:C,,0)</f>
        <v>5309</v>
      </c>
      <c r="D49" s="51">
        <f>_xlfn.XLOOKUP($A49,Inputs!$A:$A,Inputs!D:D,,0)</f>
        <v>4097</v>
      </c>
      <c r="E49" s="51">
        <f>_xlfn.XLOOKUP($A49,Inputs!$A:$A,Inputs!E:E,,0)</f>
        <v>2477</v>
      </c>
      <c r="F49" s="51">
        <f>_xlfn.XLOOKUP($A49,Inputs!$A:$A,Inputs!F:F,,0)</f>
        <v>2713</v>
      </c>
      <c r="G49" s="51">
        <f>_xlfn.XLOOKUP($A49,Inputs!$A:$A,Inputs!G:G,,0)</f>
        <v>3897</v>
      </c>
      <c r="H49" s="51">
        <f>_xlfn.XLOOKUP($A49,Inputs!$A:$A,Inputs!H:H,,0)</f>
        <v>1685</v>
      </c>
      <c r="I49" s="51">
        <f>_xlfn.XLOOKUP($A49,Inputs!$A:$A,Inputs!I:I,,0)</f>
        <v>2021</v>
      </c>
      <c r="J49" s="51">
        <f>_xlfn.XLOOKUP($A49,Inputs!$A:$A,Inputs!J:J,,0)</f>
        <v>2502</v>
      </c>
      <c r="K49" s="51">
        <f>_xlfn.XLOOKUP($A49,Inputs!$A:$A,Inputs!K:K,,0)</f>
        <v>1175</v>
      </c>
    </row>
    <row r="50" spans="1:11">
      <c r="A50" s="107" t="s">
        <v>708</v>
      </c>
      <c r="B50" s="51">
        <f>_xlfn.XLOOKUP($A50,Inputs!$A:$A,Inputs!B:B,,0)</f>
        <v>645</v>
      </c>
      <c r="C50" s="51">
        <f>_xlfn.XLOOKUP($A50,Inputs!$A:$A,Inputs!C:C,,0)</f>
        <v>648</v>
      </c>
      <c r="D50" s="51">
        <f>_xlfn.XLOOKUP($A50,Inputs!$A:$A,Inputs!D:D,,0)</f>
        <v>590</v>
      </c>
      <c r="E50" s="51">
        <f>_xlfn.XLOOKUP($A50,Inputs!$A:$A,Inputs!E:E,,0)</f>
        <v>613</v>
      </c>
      <c r="F50" s="51">
        <f>_xlfn.XLOOKUP($A50,Inputs!$A:$A,Inputs!F:F,,0)</f>
        <v>363</v>
      </c>
      <c r="G50" s="51">
        <f>_xlfn.XLOOKUP($A50,Inputs!$A:$A,Inputs!G:G,,0)</f>
        <v>4</v>
      </c>
      <c r="H50" s="51">
        <f>_xlfn.XLOOKUP($A50,Inputs!$A:$A,Inputs!H:H,,0)</f>
        <v>53</v>
      </c>
      <c r="I50" s="51">
        <f>_xlfn.XLOOKUP($A50,Inputs!$A:$A,Inputs!I:I,,0)</f>
        <v>77</v>
      </c>
      <c r="J50" s="51">
        <f>_xlfn.XLOOKUP($A50,Inputs!$A:$A,Inputs!J:J,,0)</f>
        <v>186</v>
      </c>
      <c r="K50" s="51">
        <f>_xlfn.XLOOKUP($A50,Inputs!$A:$A,Inputs!K:K,,0)</f>
        <v>76</v>
      </c>
    </row>
    <row r="51" spans="1:11">
      <c r="A51" s="108" t="s">
        <v>709</v>
      </c>
      <c r="B51" s="51">
        <f>_xlfn.XLOOKUP($A51,Inputs!$A:$A,Inputs!B:B,,0)</f>
        <v>4213</v>
      </c>
      <c r="C51" s="51">
        <f>_xlfn.XLOOKUP($A51,Inputs!$A:$A,Inputs!C:C,,0)</f>
        <v>2537</v>
      </c>
      <c r="D51" s="51">
        <f>_xlfn.XLOOKUP($A51,Inputs!$A:$A,Inputs!D:D,,0)</f>
        <v>1999</v>
      </c>
      <c r="E51" s="51">
        <f>_xlfn.XLOOKUP($A51,Inputs!$A:$A,Inputs!E:E,,0)</f>
        <v>1597</v>
      </c>
      <c r="F51" s="51">
        <f>_xlfn.XLOOKUP($A51,Inputs!$A:$A,Inputs!F:F,,0)</f>
        <v>1769</v>
      </c>
      <c r="G51" s="51">
        <f>_xlfn.XLOOKUP($A51,Inputs!$A:$A,Inputs!G:G,,0)</f>
        <v>1620</v>
      </c>
      <c r="H51" s="51">
        <f>_xlfn.XLOOKUP($A51,Inputs!$A:$A,Inputs!H:H,,0)</f>
        <v>1696</v>
      </c>
      <c r="I51" s="51">
        <f>_xlfn.XLOOKUP($A51,Inputs!$A:$A,Inputs!I:I,,0)</f>
        <v>1611</v>
      </c>
      <c r="J51" s="51">
        <f>_xlfn.XLOOKUP($A51,Inputs!$A:$A,Inputs!J:J,,0)</f>
        <v>1943</v>
      </c>
      <c r="K51" s="51">
        <f>_xlfn.XLOOKUP($A51,Inputs!$A:$A,Inputs!K:K,,0)</f>
        <v>1336</v>
      </c>
    </row>
    <row r="52" spans="1:11">
      <c r="A52" s="112" t="s">
        <v>710</v>
      </c>
      <c r="B52" s="55">
        <f>_xlfn.XLOOKUP($A52,Inputs!$A:$A,Inputs!B:B,,0)</f>
        <v>9620</v>
      </c>
      <c r="C52" s="55">
        <f>_xlfn.XLOOKUP($A52,Inputs!$A:$A,Inputs!C:C,,0)</f>
        <v>9665</v>
      </c>
      <c r="D52" s="55">
        <f>_xlfn.XLOOKUP($A52,Inputs!$A:$A,Inputs!D:D,,0)</f>
        <v>9449</v>
      </c>
      <c r="E52" s="55">
        <f>_xlfn.XLOOKUP($A52,Inputs!$A:$A,Inputs!E:E,,0)</f>
        <v>7450</v>
      </c>
      <c r="F52" s="55">
        <f>_xlfn.XLOOKUP($A52,Inputs!$A:$A,Inputs!F:F,,0)</f>
        <v>4785</v>
      </c>
      <c r="G52" s="55">
        <f>_xlfn.XLOOKUP($A52,Inputs!$A:$A,Inputs!G:G,,0)</f>
        <v>4612</v>
      </c>
      <c r="H52" s="55">
        <f>_xlfn.XLOOKUP($A52,Inputs!$A:$A,Inputs!H:H,,0)</f>
        <v>731</v>
      </c>
      <c r="I52" s="55">
        <f>_xlfn.XLOOKUP($A52,Inputs!$A:$A,Inputs!I:I,,0)</f>
        <v>882</v>
      </c>
      <c r="J52" s="55">
        <f>_xlfn.XLOOKUP($A52,Inputs!$A:$A,Inputs!J:J,,0)</f>
        <v>941</v>
      </c>
      <c r="K52" s="55">
        <f>_xlfn.XLOOKUP($A52,Inputs!$A:$A,Inputs!K:K,,0)</f>
        <v>841</v>
      </c>
    </row>
    <row r="53" spans="1:11">
      <c r="A53" s="113" t="s">
        <v>711</v>
      </c>
      <c r="B53" s="51">
        <f>_xlfn.XLOOKUP($A53,Inputs!$A:$A,Inputs!B:B,,0)</f>
        <v>5954</v>
      </c>
      <c r="C53" s="51">
        <f>_xlfn.XLOOKUP($A53,Inputs!$A:$A,Inputs!C:C,,0)</f>
        <v>5948</v>
      </c>
      <c r="D53" s="51">
        <f>_xlfn.XLOOKUP($A53,Inputs!$A:$A,Inputs!D:D,,0)</f>
        <v>5937</v>
      </c>
      <c r="E53" s="51">
        <f>_xlfn.XLOOKUP($A53,Inputs!$A:$A,Inputs!E:E,,0)</f>
        <v>3951</v>
      </c>
      <c r="F53" s="51">
        <f>_xlfn.XLOOKUP($A53,Inputs!$A:$A,Inputs!F:F,,0)</f>
        <v>3948</v>
      </c>
      <c r="G53" s="51">
        <f>_xlfn.XLOOKUP($A53,Inputs!$A:$A,Inputs!G:G,,0)</f>
        <v>4263</v>
      </c>
      <c r="H53" s="51">
        <f>_xlfn.XLOOKUP($A53,Inputs!$A:$A,Inputs!H:H,,0)</f>
        <v>374</v>
      </c>
      <c r="I53" s="51">
        <f>_xlfn.XLOOKUP($A53,Inputs!$A:$A,Inputs!I:I,,0)</f>
        <v>351</v>
      </c>
      <c r="J53" s="51">
        <f>_xlfn.XLOOKUP($A53,Inputs!$A:$A,Inputs!J:J,,0)</f>
        <v>376</v>
      </c>
      <c r="K53" s="51">
        <f>_xlfn.XLOOKUP($A53,Inputs!$A:$A,Inputs!K:K,,0)</f>
        <v>294</v>
      </c>
    </row>
    <row r="54" spans="1:11">
      <c r="A54" s="107" t="s">
        <v>712</v>
      </c>
      <c r="B54" s="51">
        <f>_xlfn.XLOOKUP($A54,Inputs!$A:$A,Inputs!B:B,,0)</f>
        <v>3239</v>
      </c>
      <c r="C54" s="51">
        <f>_xlfn.XLOOKUP($A54,Inputs!$A:$A,Inputs!C:C,,0)</f>
        <v>3101</v>
      </c>
      <c r="D54" s="51">
        <f>_xlfn.XLOOKUP($A54,Inputs!$A:$A,Inputs!D:D,,0)</f>
        <v>2927</v>
      </c>
      <c r="E54" s="51">
        <f>_xlfn.XLOOKUP($A54,Inputs!$A:$A,Inputs!E:E,,0)</f>
        <v>2702</v>
      </c>
      <c r="F54" s="51">
        <f>_xlfn.XLOOKUP($A54,Inputs!$A:$A,Inputs!F:F,,0)</f>
        <v>36</v>
      </c>
      <c r="G54" s="51">
        <f>_xlfn.XLOOKUP($A54,Inputs!$A:$A,Inputs!G:G,,0)</f>
        <v>25</v>
      </c>
      <c r="H54" s="51">
        <f>_xlfn.XLOOKUP($A54,Inputs!$A:$A,Inputs!H:H,,0)</f>
        <v>28</v>
      </c>
      <c r="I54" s="51">
        <f>_xlfn.XLOOKUP($A54,Inputs!$A:$A,Inputs!I:I,,0)</f>
        <v>28</v>
      </c>
      <c r="J54" s="51">
        <f>_xlfn.XLOOKUP($A54,Inputs!$A:$A,Inputs!J:J,,0)</f>
        <v>29</v>
      </c>
      <c r="K54" s="51">
        <f>_xlfn.XLOOKUP($A54,Inputs!$A:$A,Inputs!K:K,,0)</f>
        <v>24</v>
      </c>
    </row>
    <row r="55" spans="1:11">
      <c r="A55" s="108" t="s">
        <v>713</v>
      </c>
      <c r="B55" s="51">
        <f>_xlfn.XLOOKUP($A55,Inputs!$A:$A,Inputs!B:B,,0)</f>
        <v>427</v>
      </c>
      <c r="C55" s="51">
        <f>_xlfn.XLOOKUP($A55,Inputs!$A:$A,Inputs!C:C,,0)</f>
        <v>616</v>
      </c>
      <c r="D55" s="51">
        <f>_xlfn.XLOOKUP($A55,Inputs!$A:$A,Inputs!D:D,,0)</f>
        <v>585</v>
      </c>
      <c r="E55" s="51">
        <f>_xlfn.XLOOKUP($A55,Inputs!$A:$A,Inputs!E:E,,0)</f>
        <v>797</v>
      </c>
      <c r="F55" s="51">
        <f>_xlfn.XLOOKUP($A55,Inputs!$A:$A,Inputs!F:F,,0)</f>
        <v>801</v>
      </c>
      <c r="G55" s="51">
        <f>_xlfn.XLOOKUP($A55,Inputs!$A:$A,Inputs!G:G,,0)</f>
        <v>324</v>
      </c>
      <c r="H55" s="51">
        <f>_xlfn.XLOOKUP($A55,Inputs!$A:$A,Inputs!H:H,,0)</f>
        <v>329</v>
      </c>
      <c r="I55" s="51">
        <f>_xlfn.XLOOKUP($A55,Inputs!$A:$A,Inputs!I:I,,0)</f>
        <v>503</v>
      </c>
      <c r="J55" s="51">
        <f>_xlfn.XLOOKUP($A55,Inputs!$A:$A,Inputs!J:J,,0)</f>
        <v>536</v>
      </c>
      <c r="K55" s="51">
        <f>_xlfn.XLOOKUP($A55,Inputs!$A:$A,Inputs!K:K,,0)</f>
        <v>523</v>
      </c>
    </row>
    <row r="56" spans="1:11">
      <c r="A56" s="112" t="s">
        <v>68</v>
      </c>
      <c r="B56" s="55">
        <f>_xlfn.XLOOKUP($A56,Inputs!$A:$A,Inputs!B:B,,0)</f>
        <v>21928</v>
      </c>
      <c r="C56" s="55">
        <f>_xlfn.XLOOKUP($A56,Inputs!$A:$A,Inputs!C:C,,0)</f>
        <v>20172</v>
      </c>
      <c r="D56" s="55">
        <f>_xlfn.XLOOKUP($A56,Inputs!$A:$A,Inputs!D:D,,0)</f>
        <v>17585</v>
      </c>
      <c r="E56" s="55">
        <f>_xlfn.XLOOKUP($A56,Inputs!$A:$A,Inputs!E:E,,0)</f>
        <v>13325</v>
      </c>
      <c r="F56" s="55">
        <f>_xlfn.XLOOKUP($A56,Inputs!$A:$A,Inputs!F:F,,0)</f>
        <v>11088</v>
      </c>
      <c r="G56" s="55">
        <f>_xlfn.XLOOKUP($A56,Inputs!$A:$A,Inputs!G:G,,0)</f>
        <v>11021</v>
      </c>
      <c r="H56" s="55">
        <f>_xlfn.XLOOKUP($A56,Inputs!$A:$A,Inputs!H:H,,0)</f>
        <v>4631</v>
      </c>
      <c r="I56" s="55">
        <f>_xlfn.XLOOKUP($A56,Inputs!$A:$A,Inputs!I:I,,0)</f>
        <v>5078</v>
      </c>
      <c r="J56" s="55">
        <f>_xlfn.XLOOKUP($A56,Inputs!$A:$A,Inputs!J:J,,0)</f>
        <v>6029</v>
      </c>
      <c r="K56" s="55">
        <f>_xlfn.XLOOKUP($A56,Inputs!$A:$A,Inputs!K:K,,0)</f>
        <v>3954</v>
      </c>
    </row>
    <row r="57" spans="1:11">
      <c r="B57"/>
      <c r="C57"/>
      <c r="D57"/>
      <c r="E57"/>
      <c r="F57"/>
      <c r="G57"/>
      <c r="H57"/>
      <c r="I57"/>
      <c r="J57"/>
      <c r="K57"/>
    </row>
    <row r="58" spans="1:11">
      <c r="A58" s="112" t="s">
        <v>333</v>
      </c>
      <c r="B58" s="55">
        <f>B49+B53+B50+B54</f>
        <v>15671</v>
      </c>
      <c r="C58" s="55">
        <f t="shared" ref="C58:K58" si="63">C49+C53+C50+C54</f>
        <v>15006</v>
      </c>
      <c r="D58" s="55">
        <f t="shared" si="63"/>
        <v>13551</v>
      </c>
      <c r="E58" s="55">
        <f t="shared" si="63"/>
        <v>9743</v>
      </c>
      <c r="F58" s="55">
        <f t="shared" si="63"/>
        <v>7060</v>
      </c>
      <c r="G58" s="993">
        <f t="shared" si="63"/>
        <v>8189</v>
      </c>
      <c r="H58" s="55">
        <f t="shared" si="63"/>
        <v>2140</v>
      </c>
      <c r="I58" s="55">
        <f t="shared" si="63"/>
        <v>2477</v>
      </c>
      <c r="J58" s="55">
        <f t="shared" si="63"/>
        <v>3093</v>
      </c>
      <c r="K58" s="55">
        <f t="shared" si="63"/>
        <v>1569</v>
      </c>
    </row>
    <row r="59" spans="1:11">
      <c r="A59" s="113" t="s">
        <v>90</v>
      </c>
      <c r="B59" s="52">
        <f>IFERROR(B58/B44,"-")</f>
        <v>0.38327585785212903</v>
      </c>
      <c r="C59" s="52">
        <f t="shared" ref="C59:K59" si="64">IFERROR(C58/C44,"-")</f>
        <v>0.3752813484719652</v>
      </c>
      <c r="D59" s="52">
        <f t="shared" si="64"/>
        <v>0.38324047625781271</v>
      </c>
      <c r="E59" s="52">
        <f t="shared" si="64"/>
        <v>0.31985161353862318</v>
      </c>
      <c r="F59" s="52">
        <f t="shared" si="64"/>
        <v>0.25179214665287636</v>
      </c>
      <c r="G59" s="994">
        <f t="shared" si="64"/>
        <v>0.31923436769062841</v>
      </c>
      <c r="H59" s="52">
        <f t="shared" si="64"/>
        <v>0.10615079365079365</v>
      </c>
      <c r="I59" s="52">
        <f t="shared" si="64"/>
        <v>0.12308074534161491</v>
      </c>
      <c r="J59" s="52">
        <f t="shared" si="64"/>
        <v>0.15124694376528117</v>
      </c>
      <c r="K59" s="52">
        <f t="shared" si="64"/>
        <v>9.8567659253675083E-2</v>
      </c>
    </row>
    <row r="60" spans="1:11">
      <c r="A60" s="112" t="s">
        <v>714</v>
      </c>
      <c r="B60" s="55">
        <f>B58-B39</f>
        <v>-2666</v>
      </c>
      <c r="C60" s="55">
        <f t="shared" ref="C60:K60" si="65">C58-C39</f>
        <v>-1503</v>
      </c>
      <c r="D60" s="55">
        <f t="shared" si="65"/>
        <v>124</v>
      </c>
      <c r="E60" s="55">
        <f t="shared" si="65"/>
        <v>919</v>
      </c>
      <c r="F60" s="55">
        <f t="shared" si="65"/>
        <v>-2528</v>
      </c>
      <c r="G60" s="55">
        <f t="shared" si="65"/>
        <v>-5269</v>
      </c>
      <c r="H60" s="55">
        <f t="shared" si="65"/>
        <v>-5791</v>
      </c>
      <c r="I60" s="55">
        <f t="shared" si="65"/>
        <v>-5339</v>
      </c>
      <c r="J60" s="55">
        <f t="shared" si="65"/>
        <v>-5419</v>
      </c>
      <c r="K60" s="55">
        <f t="shared" si="65"/>
        <v>-4659</v>
      </c>
    </row>
    <row r="61" spans="1:11">
      <c r="B61"/>
      <c r="C61"/>
      <c r="D61"/>
      <c r="E61"/>
      <c r="F61"/>
      <c r="G61"/>
      <c r="H61"/>
      <c r="I61"/>
      <c r="J61"/>
      <c r="K61"/>
    </row>
    <row r="62" spans="1:11" s="46" customFormat="1">
      <c r="A62" s="112" t="s">
        <v>715</v>
      </c>
      <c r="B62" s="55">
        <f>_xlfn.XLOOKUP($A62,Inputs!$A:$A,Inputs!B:B,,0)</f>
        <v>60</v>
      </c>
      <c r="C62" s="55">
        <f>_xlfn.XLOOKUP($A62,Inputs!$A:$A,Inputs!C:C,,0)</f>
        <v>49</v>
      </c>
      <c r="D62" s="55">
        <f>_xlfn.XLOOKUP($A62,Inputs!$A:$A,Inputs!D:D,,0)</f>
        <v>110</v>
      </c>
      <c r="E62" s="55">
        <f>_xlfn.XLOOKUP($A62,Inputs!$A:$A,Inputs!E:E,,0)</f>
        <v>123</v>
      </c>
      <c r="F62" s="55">
        <f>_xlfn.XLOOKUP($A62,Inputs!$A:$A,Inputs!F:F,,0)</f>
        <v>88</v>
      </c>
      <c r="G62" s="55">
        <f>_xlfn.XLOOKUP($A62,Inputs!$A:$A,Inputs!G:G,,0)</f>
        <v>7</v>
      </c>
      <c r="H62" s="55">
        <f>_xlfn.XLOOKUP($A62,Inputs!$A:$A,Inputs!H:H,,0)</f>
        <v>0</v>
      </c>
      <c r="I62" s="55">
        <f>_xlfn.XLOOKUP($A62,Inputs!$A:$A,Inputs!I:I,,0)</f>
        <v>0</v>
      </c>
      <c r="J62" s="55">
        <f>_xlfn.XLOOKUP($A62,Inputs!$A:$A,Inputs!J:J,,0)</f>
        <v>-1</v>
      </c>
      <c r="K62" s="55">
        <f>_xlfn.XLOOKUP($A62,Inputs!$A:$A,Inputs!K:K,,0)</f>
        <v>-6</v>
      </c>
    </row>
    <row r="63" spans="1:11">
      <c r="B63"/>
      <c r="C63"/>
      <c r="D63"/>
      <c r="E63"/>
      <c r="F63"/>
      <c r="G63"/>
      <c r="H63"/>
      <c r="I63"/>
      <c r="J63"/>
      <c r="K63"/>
    </row>
    <row r="64" spans="1:11">
      <c r="A64" s="112" t="s">
        <v>716</v>
      </c>
      <c r="B64" s="55">
        <f>_xlfn.XLOOKUP($A64,Inputs!$A:$A,Inputs!B:B,,0)</f>
        <v>18959</v>
      </c>
      <c r="C64" s="55">
        <f>_xlfn.XLOOKUP($A64,Inputs!$A:$A,Inputs!C:C,,0)</f>
        <v>19814</v>
      </c>
      <c r="D64" s="55">
        <f>_xlfn.XLOOKUP($A64,Inputs!$A:$A,Inputs!D:D,,0)</f>
        <v>17774</v>
      </c>
      <c r="E64" s="55">
        <f>_xlfn.XLOOKUP($A64,Inputs!$A:$A,Inputs!E:E,,0)</f>
        <v>17136</v>
      </c>
      <c r="F64" s="55">
        <f>_xlfn.XLOOKUP($A64,Inputs!$A:$A,Inputs!F:F,,0)</f>
        <v>16951</v>
      </c>
      <c r="G64" s="55">
        <f>_xlfn.XLOOKUP($A64,Inputs!$A:$A,Inputs!G:G,,0)</f>
        <v>14631</v>
      </c>
      <c r="H64" s="55">
        <f>_xlfn.XLOOKUP($A64,Inputs!$A:$A,Inputs!H:H,,0)</f>
        <v>15529</v>
      </c>
      <c r="I64" s="55">
        <f>_xlfn.XLOOKUP($A64,Inputs!$A:$A,Inputs!I:I,,0)</f>
        <v>15047</v>
      </c>
      <c r="J64" s="55">
        <f>_xlfn.XLOOKUP($A64,Inputs!$A:$A,Inputs!J:J,,0)</f>
        <v>14421</v>
      </c>
      <c r="K64" s="55">
        <f>_xlfn.XLOOKUP($A64,Inputs!$A:$A,Inputs!K:K,,0)</f>
        <v>11964</v>
      </c>
    </row>
    <row r="65" spans="1:233">
      <c r="K65" s="42"/>
    </row>
    <row r="66" spans="1:233" ht="20.25">
      <c r="A66" s="1353" t="s">
        <v>149</v>
      </c>
      <c r="B66" s="1353"/>
      <c r="C66" s="1353"/>
      <c r="D66" s="1353"/>
      <c r="E66" s="1353"/>
      <c r="F66" s="1353"/>
      <c r="G66" s="1353"/>
      <c r="H66" s="1353"/>
      <c r="I66" s="1353"/>
      <c r="J66" s="1353"/>
      <c r="K66" s="1353"/>
    </row>
    <row r="67" spans="1:233">
      <c r="A67" s="112" t="s">
        <v>150</v>
      </c>
      <c r="B67" s="55">
        <f>_xlfn.XLOOKUP($A67,Inputs!$A:$A,Inputs!B:B,,0)</f>
        <v>4491</v>
      </c>
      <c r="C67" s="55">
        <f>_xlfn.XLOOKUP($A67,Inputs!$A:$A,Inputs!C:C,,0)</f>
        <v>4638</v>
      </c>
      <c r="D67" s="55">
        <f>_xlfn.XLOOKUP($A67,Inputs!$A:$A,Inputs!D:D,,0)</f>
        <v>3218</v>
      </c>
      <c r="E67" s="55">
        <f>_xlfn.XLOOKUP($A67,Inputs!$A:$A,Inputs!E:E,,0)</f>
        <v>2370</v>
      </c>
      <c r="F67" s="55">
        <f>_xlfn.XLOOKUP($A67,Inputs!$A:$A,Inputs!F:F,,0)</f>
        <v>2026</v>
      </c>
      <c r="G67" s="55">
        <f>_xlfn.XLOOKUP($A67,Inputs!$A:$A,Inputs!G:G,,0)</f>
        <v>2384</v>
      </c>
      <c r="H67" s="55">
        <f>_xlfn.XLOOKUP($A67,Inputs!$A:$A,Inputs!H:H,,0)</f>
        <v>1619</v>
      </c>
      <c r="I67" s="55">
        <f>_xlfn.XLOOKUP($A67,Inputs!$A:$A,Inputs!I:I,,0)</f>
        <v>1964</v>
      </c>
      <c r="J67" s="55">
        <f>_xlfn.XLOOKUP($A67,Inputs!$A:$A,Inputs!J:J,,0)</f>
        <v>1704</v>
      </c>
      <c r="K67" s="55">
        <f>_xlfn.XLOOKUP($A67,Inputs!$A:$A,Inputs!K:K,,0)</f>
        <v>2494</v>
      </c>
    </row>
    <row r="68" spans="1:233">
      <c r="A68" s="112" t="s">
        <v>151</v>
      </c>
      <c r="B68" s="55">
        <f>_xlfn.XLOOKUP($A68,Inputs!$A:$A,Inputs!B:B,,0)</f>
        <v>-2073</v>
      </c>
      <c r="C68" s="55">
        <f>_xlfn.XLOOKUP($A68,Inputs!$A:$A,Inputs!C:C,,0)</f>
        <v>-2278</v>
      </c>
      <c r="D68" s="55">
        <f>_xlfn.XLOOKUP($A68,Inputs!$A:$A,Inputs!D:D,,0)</f>
        <v>-2195</v>
      </c>
      <c r="E68" s="55">
        <f>_xlfn.XLOOKUP($A68,Inputs!$A:$A,Inputs!E:E,,0)</f>
        <v>-826</v>
      </c>
      <c r="F68" s="55">
        <f>_xlfn.XLOOKUP($A68,Inputs!$A:$A,Inputs!F:F,,0)</f>
        <v>-2838</v>
      </c>
      <c r="G68" s="55">
        <f>_xlfn.XLOOKUP($A68,Inputs!$A:$A,Inputs!G:G,,0)</f>
        <v>-3299</v>
      </c>
      <c r="H68" s="55">
        <f>_xlfn.XLOOKUP($A68,Inputs!$A:$A,Inputs!H:H,,0)</f>
        <v>-475</v>
      </c>
      <c r="I68" s="55">
        <f>_xlfn.XLOOKUP($A68,Inputs!$A:$A,Inputs!I:I,,0)</f>
        <v>-1287</v>
      </c>
      <c r="J68" s="55">
        <f>_xlfn.XLOOKUP($A68,Inputs!$A:$A,Inputs!J:J,,0)</f>
        <v>-343</v>
      </c>
      <c r="K68" s="55">
        <f>_xlfn.XLOOKUP($A68,Inputs!$A:$A,Inputs!K:K,,0)</f>
        <v>-846</v>
      </c>
    </row>
    <row r="69" spans="1:233">
      <c r="A69" s="108" t="s">
        <v>152</v>
      </c>
      <c r="B69" s="51">
        <f>_xlfn.XLOOKUP($A69,Inputs!$A:$A,Inputs!B:B,,0)</f>
        <v>-984</v>
      </c>
      <c r="C69" s="51">
        <f>_xlfn.XLOOKUP($A69,Inputs!$A:$A,Inputs!C:C,,0)</f>
        <v>-875</v>
      </c>
      <c r="D69" s="51">
        <f>_xlfn.XLOOKUP($A69,Inputs!$A:$A,Inputs!D:D,,0)</f>
        <v>-513</v>
      </c>
      <c r="E69" s="51">
        <f>_xlfn.XLOOKUP($A69,Inputs!$A:$A,Inputs!E:E,,0)</f>
        <v>-737</v>
      </c>
      <c r="F69" s="51">
        <f>_xlfn.XLOOKUP($A69,Inputs!$A:$A,Inputs!F:F,,0)</f>
        <v>-826</v>
      </c>
      <c r="G69" s="51">
        <f>_xlfn.XLOOKUP($A69,Inputs!$A:$A,Inputs!G:G,,0)</f>
        <v>-487</v>
      </c>
      <c r="H69" s="51">
        <f>_xlfn.XLOOKUP($A69,Inputs!$A:$A,Inputs!H:H,,0)</f>
        <v>-599</v>
      </c>
      <c r="I69" s="51">
        <f>_xlfn.XLOOKUP($A69,Inputs!$A:$A,Inputs!I:I,,0)</f>
        <v>-710</v>
      </c>
      <c r="J69" s="51">
        <f>_xlfn.XLOOKUP($A69,Inputs!$A:$A,Inputs!J:J,,0)</f>
        <v>-708</v>
      </c>
      <c r="K69" s="51">
        <f>_xlfn.XLOOKUP($A69,Inputs!$A:$A,Inputs!K:K,,0)</f>
        <v>-675</v>
      </c>
    </row>
    <row r="70" spans="1:233">
      <c r="A70" s="108" t="s">
        <v>153</v>
      </c>
      <c r="B70" s="51">
        <f>_xlfn.XLOOKUP($A70,Inputs!$A:$A,Inputs!B:B,,0)</f>
        <v>-1045</v>
      </c>
      <c r="C70" s="51">
        <f>_xlfn.XLOOKUP($A70,Inputs!$A:$A,Inputs!C:C,,0)</f>
        <v>-1175</v>
      </c>
      <c r="D70" s="51">
        <f>_xlfn.XLOOKUP($A70,Inputs!$A:$A,Inputs!D:D,,0)</f>
        <v>-1315</v>
      </c>
      <c r="E70" s="51">
        <f>_xlfn.XLOOKUP($A70,Inputs!$A:$A,Inputs!E:E,,0)</f>
        <v>-70</v>
      </c>
      <c r="F70" s="51">
        <f>_xlfn.XLOOKUP($A70,Inputs!$A:$A,Inputs!F:F,,0)</f>
        <v>-1993</v>
      </c>
      <c r="G70" s="51">
        <f>_xlfn.XLOOKUP($A70,Inputs!$A:$A,Inputs!G:G,,0)</f>
        <v>-2201</v>
      </c>
      <c r="H70" s="51">
        <f>_xlfn.XLOOKUP($A70,Inputs!$A:$A,Inputs!H:H,,0)</f>
        <v>146</v>
      </c>
      <c r="I70" s="51">
        <f>_xlfn.XLOOKUP($A70,Inputs!$A:$A,Inputs!I:I,,0)</f>
        <v>-550</v>
      </c>
      <c r="J70" s="51">
        <f>_xlfn.XLOOKUP($A70,Inputs!$A:$A,Inputs!J:J,,0)</f>
        <v>414</v>
      </c>
      <c r="K70" s="51">
        <f>_xlfn.XLOOKUP($A70,Inputs!$A:$A,Inputs!K:K,,0)</f>
        <v>-136</v>
      </c>
      <c r="HY70" s="42"/>
    </row>
    <row r="71" spans="1:233">
      <c r="A71" s="112" t="s">
        <v>154</v>
      </c>
      <c r="B71" s="55">
        <f>_xlfn.XLOOKUP($A71,Inputs!$A:$A,Inputs!B:B,,0)</f>
        <v>-2318</v>
      </c>
      <c r="C71" s="55">
        <f>_xlfn.XLOOKUP($A71,Inputs!$A:$A,Inputs!C:C,,0)</f>
        <v>-1767</v>
      </c>
      <c r="D71" s="55">
        <f>_xlfn.XLOOKUP($A71,Inputs!$A:$A,Inputs!D:D,,0)</f>
        <v>906</v>
      </c>
      <c r="E71" s="55">
        <f>_xlfn.XLOOKUP($A71,Inputs!$A:$A,Inputs!E:E,,0)</f>
        <v>-1923</v>
      </c>
      <c r="F71" s="55">
        <f>_xlfn.XLOOKUP($A71,Inputs!$A:$A,Inputs!F:F,,0)</f>
        <v>-1456</v>
      </c>
      <c r="G71" s="55">
        <f>_xlfn.XLOOKUP($A71,Inputs!$A:$A,Inputs!G:G,,0)</f>
        <v>2853</v>
      </c>
      <c r="H71" s="55">
        <f>_xlfn.XLOOKUP($A71,Inputs!$A:$A,Inputs!H:H,,0)</f>
        <v>-958</v>
      </c>
      <c r="I71" s="55">
        <f>_xlfn.XLOOKUP($A71,Inputs!$A:$A,Inputs!I:I,,0)</f>
        <v>-1201</v>
      </c>
      <c r="J71" s="55">
        <f>_xlfn.XLOOKUP($A71,Inputs!$A:$A,Inputs!J:J,,0)</f>
        <v>-642</v>
      </c>
      <c r="K71" s="55">
        <f>_xlfn.XLOOKUP($A71,Inputs!$A:$A,Inputs!K:K,,0)</f>
        <v>-426</v>
      </c>
      <c r="HY71" s="42"/>
    </row>
    <row r="72" spans="1:233">
      <c r="A72" s="108" t="s">
        <v>155</v>
      </c>
      <c r="B72" s="51">
        <f>_xlfn.XLOOKUP($A72,Inputs!$A:$A,Inputs!B:B,,0)</f>
        <v>-1851</v>
      </c>
      <c r="C72" s="51">
        <f>_xlfn.XLOOKUP($A72,Inputs!$A:$A,Inputs!C:C,,0)</f>
        <v>-1041</v>
      </c>
      <c r="D72" s="51">
        <f>_xlfn.XLOOKUP($A72,Inputs!$A:$A,Inputs!D:D,,0)</f>
        <v>-529</v>
      </c>
      <c r="E72" s="51">
        <f>_xlfn.XLOOKUP($A72,Inputs!$A:$A,Inputs!E:E,,0)</f>
        <v>-1017</v>
      </c>
      <c r="F72" s="51">
        <f>_xlfn.XLOOKUP($A72,Inputs!$A:$A,Inputs!F:F,,0)</f>
        <v>-926</v>
      </c>
      <c r="G72" s="51">
        <f>_xlfn.XLOOKUP($A72,Inputs!$A:$A,Inputs!G:G,,0)</f>
        <v>-918</v>
      </c>
      <c r="H72" s="51">
        <f>_xlfn.XLOOKUP($A72,Inputs!$A:$A,Inputs!H:H,,0)</f>
        <v>-878</v>
      </c>
      <c r="I72" s="51">
        <f>_xlfn.XLOOKUP($A72,Inputs!$A:$A,Inputs!I:I,,0)</f>
        <v>-854</v>
      </c>
      <c r="J72" s="51">
        <f>_xlfn.XLOOKUP($A72,Inputs!$A:$A,Inputs!J:J,,0)</f>
        <v>-650</v>
      </c>
      <c r="K72" s="51">
        <f>_xlfn.XLOOKUP($A72,Inputs!$A:$A,Inputs!K:K,,0)</f>
        <v>-452</v>
      </c>
      <c r="HY72" s="42"/>
    </row>
    <row r="73" spans="1:233">
      <c r="A73" s="108" t="s">
        <v>677</v>
      </c>
      <c r="B73" s="51">
        <f>_xlfn.XLOOKUP($A73,Inputs!$A:$A,Inputs!B:B,,0)</f>
        <v>198</v>
      </c>
      <c r="C73" s="51">
        <f>_xlfn.XLOOKUP($A73,Inputs!$A:$A,Inputs!C:C,,0)</f>
        <v>-8</v>
      </c>
      <c r="D73" s="51">
        <f>_xlfn.XLOOKUP($A73,Inputs!$A:$A,Inputs!D:D,,0)</f>
        <v>32</v>
      </c>
      <c r="E73" s="51">
        <f>_xlfn.XLOOKUP($A73,Inputs!$A:$A,Inputs!E:E,,0)</f>
        <v>13</v>
      </c>
      <c r="F73" s="51">
        <f>_xlfn.XLOOKUP($A73,Inputs!$A:$A,Inputs!F:F,,0)</f>
        <v>-74</v>
      </c>
      <c r="G73" s="51">
        <f>_xlfn.XLOOKUP($A73,Inputs!$A:$A,Inputs!G:G,,0)</f>
        <v>-71</v>
      </c>
      <c r="H73" s="51">
        <f>_xlfn.XLOOKUP($A73,Inputs!$A:$A,Inputs!H:H,,0)</f>
        <v>-48</v>
      </c>
      <c r="I73" s="51">
        <f>_xlfn.XLOOKUP($A73,Inputs!$A:$A,Inputs!I:I,,0)</f>
        <v>-94</v>
      </c>
      <c r="J73" s="51">
        <f>_xlfn.XLOOKUP($A73,Inputs!$A:$A,Inputs!J:J,,0)</f>
        <v>-65</v>
      </c>
      <c r="K73" s="51">
        <f>_xlfn.XLOOKUP($A73,Inputs!$A:$A,Inputs!K:K,,0)</f>
        <v>91</v>
      </c>
    </row>
    <row r="74" spans="1:233">
      <c r="A74" s="112" t="s">
        <v>158</v>
      </c>
      <c r="B74" s="55">
        <f>_xlfn.XLOOKUP($A74,Inputs!$A:$A,Inputs!B:B,,0)</f>
        <v>-32</v>
      </c>
      <c r="C74" s="55">
        <f>_xlfn.XLOOKUP($A74,Inputs!$A:$A,Inputs!C:C,,0)</f>
        <v>195</v>
      </c>
      <c r="D74" s="55">
        <f>_xlfn.XLOOKUP($A74,Inputs!$A:$A,Inputs!D:D,,0)</f>
        <v>-134</v>
      </c>
      <c r="E74" s="55">
        <f>_xlfn.XLOOKUP($A74,Inputs!$A:$A,Inputs!E:E,,0)</f>
        <v>17</v>
      </c>
      <c r="F74" s="55">
        <f>_xlfn.XLOOKUP($A74,Inputs!$A:$A,Inputs!F:F,,0)</f>
        <v>111</v>
      </c>
      <c r="G74" s="55">
        <f>_xlfn.XLOOKUP($A74,Inputs!$A:$A,Inputs!G:G,,0)</f>
        <v>-199</v>
      </c>
      <c r="H74" s="55">
        <f>_xlfn.XLOOKUP($A74,Inputs!$A:$A,Inputs!H:H,,0)</f>
        <v>31</v>
      </c>
      <c r="I74" s="55">
        <f>_xlfn.XLOOKUP($A74,Inputs!$A:$A,Inputs!I:I,,0)</f>
        <v>-80</v>
      </c>
      <c r="J74" s="55">
        <f>_xlfn.XLOOKUP($A74,Inputs!$A:$A,Inputs!J:J,,0)</f>
        <v>219</v>
      </c>
      <c r="K74" s="55">
        <f>_xlfn.XLOOKUP($A74,Inputs!$A:$A,Inputs!K:K,,0)</f>
        <v>2</v>
      </c>
    </row>
    <row r="75" spans="1:233">
      <c r="A75" s="112" t="s">
        <v>717</v>
      </c>
      <c r="B75" s="55">
        <f>_xlfn.XLOOKUP($A75,Inputs!$A:$A,Inputs!B:B,,0)</f>
        <v>68</v>
      </c>
      <c r="C75" s="55">
        <f>_xlfn.XLOOKUP($A75,Inputs!$A:$A,Inputs!C:C,,0)</f>
        <v>788</v>
      </c>
      <c r="D75" s="55">
        <f>_xlfn.XLOOKUP($A75,Inputs!$A:$A,Inputs!D:D,,0)</f>
        <v>1795</v>
      </c>
      <c r="E75" s="55">
        <f>_xlfn.XLOOKUP($A75,Inputs!$A:$A,Inputs!E:E,,0)</f>
        <v>-362</v>
      </c>
      <c r="F75" s="55">
        <f>_xlfn.XLOOKUP($A75,Inputs!$A:$A,Inputs!F:F,,0)</f>
        <v>-2157</v>
      </c>
      <c r="G75" s="55">
        <f>_xlfn.XLOOKUP($A75,Inputs!$A:$A,Inputs!G:G,,0)</f>
        <v>1739</v>
      </c>
      <c r="H75" s="55">
        <f>_xlfn.XLOOKUP($A75,Inputs!$A:$A,Inputs!H:H,,0)</f>
        <v>217</v>
      </c>
      <c r="I75" s="55">
        <f>_xlfn.XLOOKUP($A75,Inputs!$A:$A,Inputs!I:I,,0)</f>
        <v>-604</v>
      </c>
      <c r="J75" s="55">
        <f>_xlfn.XLOOKUP($A75,Inputs!$A:$A,Inputs!J:J,,0)</f>
        <v>938</v>
      </c>
      <c r="K75" s="55">
        <f>_xlfn.XLOOKUP($A75,Inputs!$A:$A,Inputs!K:K,,0)</f>
        <v>1224</v>
      </c>
    </row>
    <row r="76" spans="1:233">
      <c r="K76" s="42"/>
    </row>
    <row r="77" spans="1:233" ht="20.25">
      <c r="A77" s="1350" t="s">
        <v>718</v>
      </c>
      <c r="B77" s="1350"/>
      <c r="C77" s="1350"/>
      <c r="D77" s="1350"/>
      <c r="E77" s="1350"/>
      <c r="F77" s="1350"/>
      <c r="G77" s="1350"/>
      <c r="H77" s="1350"/>
      <c r="I77" s="1350"/>
      <c r="J77" s="1350"/>
      <c r="K77" s="1350"/>
    </row>
    <row r="78" spans="1:233">
      <c r="A78" s="107" t="s">
        <v>719</v>
      </c>
      <c r="B78" s="51">
        <v>33959</v>
      </c>
      <c r="C78" s="51">
        <v>35853</v>
      </c>
      <c r="D78" s="51">
        <v>34760</v>
      </c>
      <c r="E78" s="51">
        <v>34728</v>
      </c>
      <c r="F78" s="51">
        <v>35640</v>
      </c>
      <c r="G78" s="51">
        <v>28740</v>
      </c>
      <c r="H78" s="51">
        <v>28580</v>
      </c>
      <c r="I78" s="51">
        <v>28810</v>
      </c>
      <c r="J78" s="51">
        <v>28324</v>
      </c>
      <c r="K78" s="51">
        <v>26786</v>
      </c>
    </row>
    <row r="79" spans="1:233">
      <c r="A79" s="113" t="s">
        <v>720</v>
      </c>
      <c r="B79" s="51">
        <v>518</v>
      </c>
      <c r="C79" s="44"/>
      <c r="D79" s="44"/>
      <c r="E79" s="44"/>
      <c r="F79" s="44"/>
      <c r="G79" s="44"/>
      <c r="H79" s="44"/>
      <c r="I79" s="44"/>
      <c r="J79" s="44"/>
      <c r="K79" s="44"/>
      <c r="L79" s="44"/>
    </row>
    <row r="80" spans="1:233">
      <c r="A80" s="107" t="s">
        <v>66</v>
      </c>
      <c r="B80" s="773">
        <v>513.4</v>
      </c>
      <c r="C80" s="780" t="str">
        <f>_xlfn.XLOOKUP($A80,Inputs!$A:$A,Inputs!D:D,,0)</f>
        <v>Yahoo finance</v>
      </c>
      <c r="D80" s="44"/>
      <c r="E80" s="44"/>
      <c r="F80" s="44"/>
      <c r="G80" s="44"/>
      <c r="H80" s="44"/>
      <c r="I80" s="44"/>
      <c r="J80" s="44"/>
      <c r="K80" s="44"/>
    </row>
    <row r="81" spans="1:11">
      <c r="A81" s="113" t="s">
        <v>71</v>
      </c>
      <c r="B81" s="51">
        <f>OP!M26</f>
        <v>0.10299808429118773</v>
      </c>
      <c r="C81" s="780" t="str">
        <f>_xlfn.XLOOKUP($A81,Inputs!$A:$A,Inputs!D:D,,0)</f>
        <v>Yahoo finance</v>
      </c>
      <c r="D81" s="44"/>
      <c r="E81" s="44"/>
      <c r="F81" s="44"/>
      <c r="G81" s="44"/>
      <c r="H81" s="44"/>
      <c r="I81" s="44"/>
      <c r="J81" s="44"/>
      <c r="K81" s="44"/>
    </row>
    <row r="82" spans="1:11">
      <c r="A82" s="107" t="s">
        <v>721</v>
      </c>
      <c r="B82" s="51" t="s">
        <v>722</v>
      </c>
      <c r="C82" s="780" t="str">
        <f>_xlfn.XLOOKUP($A82,Inputs!$A:$A,Inputs!D:D,,0)</f>
        <v>10-K</v>
      </c>
      <c r="D82" s="44"/>
      <c r="E82" s="44"/>
      <c r="F82" s="44"/>
      <c r="G82" s="44"/>
      <c r="H82" s="44"/>
      <c r="I82" s="44"/>
      <c r="J82" s="44"/>
      <c r="K82" s="44"/>
    </row>
    <row r="83" spans="1:11">
      <c r="A83" s="107" t="s">
        <v>723</v>
      </c>
      <c r="B83" s="773">
        <v>2.38</v>
      </c>
      <c r="C83" s="780"/>
      <c r="D83" s="44"/>
      <c r="E83" s="44"/>
      <c r="F83" s="44"/>
      <c r="G83" s="44"/>
      <c r="H83" s="44"/>
      <c r="I83" s="44"/>
      <c r="J83" s="44"/>
      <c r="K83" s="44"/>
    </row>
    <row r="84" spans="1:11" ht="14.25">
      <c r="A84" s="113" t="s">
        <v>724</v>
      </c>
      <c r="B84" s="979">
        <v>1.2829999999999999</v>
      </c>
      <c r="C84" s="780" t="str">
        <f>_xlfn.XLOOKUP($A84,Inputs!$A:$A,Inputs!D:D,,0)</f>
        <v>Yahoo Finance</v>
      </c>
      <c r="D84" s="44"/>
      <c r="E84" s="44"/>
      <c r="F84" s="44"/>
      <c r="G84" s="44"/>
      <c r="H84" s="44"/>
      <c r="I84" s="44"/>
      <c r="J84" s="44"/>
      <c r="K84" s="44"/>
    </row>
    <row r="85" spans="1:11">
      <c r="B85" s="44"/>
      <c r="C85" s="44"/>
      <c r="D85" s="44"/>
      <c r="E85" s="44"/>
      <c r="F85" s="44"/>
      <c r="G85" s="44"/>
      <c r="H85" s="44"/>
      <c r="I85" s="44"/>
      <c r="J85" s="44"/>
      <c r="K85" s="44"/>
    </row>
    <row r="86" spans="1:11">
      <c r="B86" s="43">
        <v>2020</v>
      </c>
      <c r="C86" s="43">
        <v>2021</v>
      </c>
      <c r="D86" s="43">
        <v>2022</v>
      </c>
      <c r="G86" s="43"/>
      <c r="H86" s="44"/>
      <c r="I86" s="44"/>
      <c r="J86" s="44"/>
      <c r="K86" s="44"/>
    </row>
    <row r="87" spans="1:11">
      <c r="A87" s="107" t="s">
        <v>725</v>
      </c>
      <c r="B87" s="53" t="s">
        <v>98</v>
      </c>
      <c r="C87" s="53">
        <v>0</v>
      </c>
      <c r="D87" s="54">
        <v>0</v>
      </c>
      <c r="G87" s="44"/>
      <c r="H87" s="44"/>
      <c r="I87" s="44"/>
      <c r="J87" s="44"/>
      <c r="K87" s="44"/>
    </row>
    <row r="88" spans="1:11">
      <c r="A88" s="113" t="s">
        <v>91</v>
      </c>
      <c r="B88" s="774">
        <v>6.52</v>
      </c>
      <c r="C88" s="53">
        <v>0</v>
      </c>
      <c r="D88" s="54">
        <v>0</v>
      </c>
    </row>
    <row r="90" spans="1:11">
      <c r="A90" s="14" t="s">
        <v>726</v>
      </c>
      <c r="B90" s="43" t="s">
        <v>727</v>
      </c>
      <c r="C90" s="43" t="s">
        <v>728</v>
      </c>
      <c r="D90" s="43" t="s">
        <v>729</v>
      </c>
      <c r="E90" s="43" t="s">
        <v>730</v>
      </c>
      <c r="G90" s="43"/>
    </row>
    <row r="91" spans="1:11">
      <c r="B91" s="56" t="e">
        <f>VLOOKUP($A91,Inputs!$A$5:$N$98,MATCH(B$4,Inputs!$C$5:$K$5,0)+1,FALSE)</f>
        <v>#N/A</v>
      </c>
      <c r="C91" s="56" t="e">
        <f>VLOOKUP($A91,Inputs!$A$5:$N$98,MATCH(C$4,Inputs!$C$5:$K$5,0)+1,FALSE)</f>
        <v>#N/A</v>
      </c>
      <c r="D91" s="56" t="e">
        <f>VLOOKUP($A91,Inputs!$A$5:$N$98,MATCH(D$4,Inputs!$C$5:$K$5,0)+1,FALSE)</f>
        <v>#N/A</v>
      </c>
      <c r="E91" s="56" t="e">
        <f>VLOOKUP($A91,Inputs!$A$5:$N$98,MATCH(E$4,Inputs!$C$5:$K$5,0)+1,FALSE)</f>
        <v>#N/A</v>
      </c>
    </row>
    <row r="92" spans="1:11">
      <c r="B92" s="57"/>
      <c r="C92" s="57"/>
      <c r="D92" s="2"/>
      <c r="E92" s="57"/>
      <c r="F92" s="2"/>
    </row>
    <row r="93" spans="1:11">
      <c r="B93" s="57"/>
      <c r="C93" s="57"/>
      <c r="D93" s="2"/>
      <c r="E93" s="57"/>
      <c r="F93" s="2"/>
    </row>
    <row r="94" spans="1:11">
      <c r="B94" s="57"/>
      <c r="C94" s="57"/>
      <c r="D94" s="2"/>
      <c r="E94" s="57"/>
      <c r="F94" s="2"/>
    </row>
    <row r="95" spans="1:11">
      <c r="B95" s="57">
        <f t="shared" ref="B95:C95" si="66">B97-C97</f>
        <v>769</v>
      </c>
      <c r="C95" s="57">
        <f t="shared" si="66"/>
        <v>1082</v>
      </c>
      <c r="D95" s="57">
        <f>D97-E97</f>
        <v>1188</v>
      </c>
      <c r="E95" s="57"/>
      <c r="F95" s="2"/>
    </row>
    <row r="96" spans="1:11">
      <c r="A96" s="11" t="s">
        <v>731</v>
      </c>
      <c r="B96" s="55"/>
      <c r="C96" s="55"/>
      <c r="D96" s="55"/>
      <c r="E96" s="55"/>
      <c r="F96" s="2"/>
    </row>
    <row r="97" spans="1:7">
      <c r="A97" s="11" t="s">
        <v>732</v>
      </c>
      <c r="B97" s="51">
        <v>7401</v>
      </c>
      <c r="C97" s="51">
        <v>6632</v>
      </c>
      <c r="D97" s="51">
        <v>5550</v>
      </c>
      <c r="E97" s="51">
        <v>4362</v>
      </c>
      <c r="F97" s="2"/>
    </row>
    <row r="98" spans="1:7">
      <c r="A98" s="11" t="s">
        <v>733</v>
      </c>
      <c r="B98" s="51">
        <v>10936</v>
      </c>
      <c r="C98" s="51">
        <v>9877</v>
      </c>
      <c r="D98" s="51">
        <v>7877</v>
      </c>
      <c r="E98" s="51">
        <v>4462</v>
      </c>
      <c r="F98" s="2"/>
    </row>
    <row r="99" spans="1:7">
      <c r="B99" s="57"/>
      <c r="C99" s="57"/>
      <c r="D99" s="2"/>
      <c r="E99" s="57"/>
      <c r="F99" s="2"/>
    </row>
    <row r="100" spans="1:7" ht="12.75" customHeight="1">
      <c r="A100" s="11" t="s">
        <v>734</v>
      </c>
      <c r="B100" s="55">
        <v>5954</v>
      </c>
      <c r="C100" s="55">
        <v>5948</v>
      </c>
      <c r="D100" s="55">
        <v>5937</v>
      </c>
      <c r="E100" s="55">
        <v>3951</v>
      </c>
      <c r="F100" s="55">
        <v>3948</v>
      </c>
      <c r="G100" s="55">
        <v>4263</v>
      </c>
    </row>
    <row r="101" spans="1:7" ht="12.75" customHeight="1">
      <c r="A101" s="11" t="s">
        <v>735</v>
      </c>
      <c r="B101" s="51">
        <v>5954</v>
      </c>
      <c r="C101" s="51">
        <v>5948</v>
      </c>
      <c r="D101" s="51">
        <v>5937</v>
      </c>
      <c r="E101" s="51">
        <v>3951</v>
      </c>
      <c r="F101" s="51">
        <v>3984</v>
      </c>
      <c r="G101" s="51">
        <v>4288</v>
      </c>
    </row>
    <row r="102" spans="1:7" ht="12.75" customHeight="1">
      <c r="A102" s="11" t="s">
        <v>736</v>
      </c>
      <c r="B102" s="51"/>
      <c r="C102" s="51"/>
      <c r="D102" s="51"/>
      <c r="E102" s="51"/>
      <c r="F102" s="51">
        <v>-36</v>
      </c>
      <c r="G102" s="51">
        <v>25</v>
      </c>
    </row>
  </sheetData>
  <mergeCells count="7">
    <mergeCell ref="A77:K77"/>
    <mergeCell ref="A1:K1"/>
    <mergeCell ref="A2:K2"/>
    <mergeCell ref="A3:K3"/>
    <mergeCell ref="A38:K38"/>
    <mergeCell ref="A47:K47"/>
    <mergeCell ref="A66:K66"/>
  </mergeCells>
  <pageMargins left="0.7" right="0.7" top="0.75" bottom="0.75"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AA128"/>
  <sheetViews>
    <sheetView topLeftCell="J1" workbookViewId="0"/>
  </sheetViews>
  <sheetFormatPr defaultColWidth="8.85546875" defaultRowHeight="12.75"/>
  <cols>
    <col min="1" max="9" width="0" hidden="1" customWidth="1"/>
    <col min="11" max="11" width="21.85546875" bestFit="1" customWidth="1"/>
  </cols>
  <sheetData>
    <row r="2" spans="2:27">
      <c r="E2" s="11" t="s">
        <v>737</v>
      </c>
      <c r="F2" s="11" t="s">
        <v>738</v>
      </c>
      <c r="H2" s="11" t="s">
        <v>435</v>
      </c>
      <c r="K2" s="1354" t="s">
        <v>737</v>
      </c>
      <c r="L2" s="1356" t="s">
        <v>739</v>
      </c>
      <c r="M2" s="1357"/>
      <c r="N2" s="1357"/>
      <c r="O2" s="1357"/>
      <c r="P2" s="1358"/>
      <c r="Q2" s="1357" t="s">
        <v>375</v>
      </c>
      <c r="R2" s="1357"/>
      <c r="S2" s="1357"/>
      <c r="T2" s="1357"/>
      <c r="U2" s="1357"/>
      <c r="V2" s="1357"/>
      <c r="W2" s="1357"/>
      <c r="X2" s="1357"/>
      <c r="Y2" s="1357"/>
      <c r="Z2" s="1357"/>
      <c r="AA2" s="1358"/>
    </row>
    <row r="3" spans="2:27">
      <c r="E3" t="s">
        <v>740</v>
      </c>
      <c r="F3" t="s">
        <v>741</v>
      </c>
      <c r="H3" s="11" t="s">
        <v>354</v>
      </c>
      <c r="K3" s="1355"/>
      <c r="L3" s="63" t="s">
        <v>742</v>
      </c>
      <c r="M3" s="80" t="s">
        <v>743</v>
      </c>
      <c r="N3" s="80" t="s">
        <v>744</v>
      </c>
      <c r="O3" s="80" t="s">
        <v>745</v>
      </c>
      <c r="P3" s="81" t="s">
        <v>746</v>
      </c>
      <c r="Q3" s="80" t="s">
        <v>747</v>
      </c>
      <c r="R3" s="80" t="s">
        <v>748</v>
      </c>
      <c r="S3" s="80" t="s">
        <v>383</v>
      </c>
      <c r="T3" s="80" t="s">
        <v>749</v>
      </c>
      <c r="U3" s="80" t="s">
        <v>750</v>
      </c>
      <c r="V3" s="80" t="s">
        <v>751</v>
      </c>
      <c r="W3" s="80" t="s">
        <v>752</v>
      </c>
      <c r="X3" s="80" t="s">
        <v>753</v>
      </c>
      <c r="Y3" s="80" t="s">
        <v>754</v>
      </c>
      <c r="Z3" s="80" t="s">
        <v>755</v>
      </c>
      <c r="AA3" s="81" t="s">
        <v>424</v>
      </c>
    </row>
    <row r="4" spans="2:27">
      <c r="B4" s="64"/>
      <c r="E4" t="s">
        <v>740</v>
      </c>
      <c r="F4" t="s">
        <v>756</v>
      </c>
      <c r="H4" s="11" t="s">
        <v>371</v>
      </c>
      <c r="K4" s="82" t="s">
        <v>740</v>
      </c>
      <c r="L4" s="83" t="s">
        <v>435</v>
      </c>
      <c r="M4" t="s">
        <v>435</v>
      </c>
      <c r="N4" t="s">
        <v>354</v>
      </c>
      <c r="O4" t="s">
        <v>435</v>
      </c>
      <c r="P4" s="84" t="s">
        <v>435</v>
      </c>
      <c r="Q4" t="s">
        <v>354</v>
      </c>
      <c r="R4" t="s">
        <v>354</v>
      </c>
      <c r="S4" t="s">
        <v>435</v>
      </c>
      <c r="T4" t="s">
        <v>435</v>
      </c>
      <c r="U4" t="s">
        <v>371</v>
      </c>
      <c r="V4" t="s">
        <v>435</v>
      </c>
      <c r="W4" t="s">
        <v>435</v>
      </c>
      <c r="X4" t="s">
        <v>435</v>
      </c>
      <c r="Y4" t="s">
        <v>435</v>
      </c>
      <c r="Z4" t="s">
        <v>435</v>
      </c>
      <c r="AA4" s="84" t="s">
        <v>354</v>
      </c>
    </row>
    <row r="5" spans="2:27" ht="15">
      <c r="B5" s="76" t="s">
        <v>351</v>
      </c>
      <c r="E5" t="s">
        <v>740</v>
      </c>
      <c r="F5" t="s">
        <v>757</v>
      </c>
      <c r="H5" s="11" t="s">
        <v>758</v>
      </c>
      <c r="K5" s="82" t="s">
        <v>337</v>
      </c>
      <c r="L5" s="83" t="s">
        <v>435</v>
      </c>
      <c r="M5" t="s">
        <v>435</v>
      </c>
      <c r="N5" t="s">
        <v>354</v>
      </c>
      <c r="O5" t="s">
        <v>354</v>
      </c>
      <c r="P5" s="84" t="s">
        <v>435</v>
      </c>
      <c r="Q5" t="s">
        <v>354</v>
      </c>
      <c r="R5" t="s">
        <v>354</v>
      </c>
      <c r="S5" t="s">
        <v>435</v>
      </c>
      <c r="T5" t="s">
        <v>435</v>
      </c>
      <c r="U5" t="s">
        <v>354</v>
      </c>
      <c r="V5" t="s">
        <v>354</v>
      </c>
      <c r="W5" t="s">
        <v>354</v>
      </c>
      <c r="X5" t="s">
        <v>371</v>
      </c>
      <c r="Y5" t="s">
        <v>435</v>
      </c>
      <c r="Z5" t="s">
        <v>371</v>
      </c>
      <c r="AA5" s="84" t="s">
        <v>435</v>
      </c>
    </row>
    <row r="6" spans="2:27">
      <c r="B6" s="78" t="s">
        <v>759</v>
      </c>
      <c r="E6" t="s">
        <v>740</v>
      </c>
      <c r="F6" t="s">
        <v>760</v>
      </c>
      <c r="K6" s="82" t="s">
        <v>761</v>
      </c>
      <c r="L6" s="83" t="s">
        <v>371</v>
      </c>
      <c r="M6" t="s">
        <v>758</v>
      </c>
      <c r="N6" t="s">
        <v>371</v>
      </c>
      <c r="O6" t="s">
        <v>371</v>
      </c>
      <c r="P6" s="84" t="s">
        <v>371</v>
      </c>
      <c r="Q6" t="s">
        <v>354</v>
      </c>
      <c r="R6" t="s">
        <v>371</v>
      </c>
      <c r="S6" t="s">
        <v>371</v>
      </c>
      <c r="T6" t="s">
        <v>435</v>
      </c>
      <c r="U6" t="s">
        <v>354</v>
      </c>
      <c r="V6" t="s">
        <v>354</v>
      </c>
      <c r="W6" t="s">
        <v>435</v>
      </c>
      <c r="X6" t="s">
        <v>371</v>
      </c>
      <c r="Y6" t="s">
        <v>435</v>
      </c>
      <c r="Z6" t="s">
        <v>758</v>
      </c>
      <c r="AA6" s="84" t="s">
        <v>435</v>
      </c>
    </row>
    <row r="7" spans="2:27">
      <c r="B7" s="78" t="s">
        <v>762</v>
      </c>
      <c r="E7" t="s">
        <v>740</v>
      </c>
      <c r="F7" t="s">
        <v>763</v>
      </c>
      <c r="K7" s="82" t="s">
        <v>744</v>
      </c>
      <c r="L7" s="83" t="s">
        <v>758</v>
      </c>
      <c r="M7" t="s">
        <v>758</v>
      </c>
      <c r="N7" t="s">
        <v>354</v>
      </c>
      <c r="O7" t="s">
        <v>758</v>
      </c>
      <c r="P7" s="84" t="s">
        <v>371</v>
      </c>
      <c r="Q7" t="s">
        <v>371</v>
      </c>
      <c r="R7" t="s">
        <v>354</v>
      </c>
      <c r="S7" t="s">
        <v>354</v>
      </c>
      <c r="T7" t="s">
        <v>354</v>
      </c>
      <c r="U7" t="s">
        <v>354</v>
      </c>
      <c r="V7" t="s">
        <v>371</v>
      </c>
      <c r="W7" t="s">
        <v>354</v>
      </c>
      <c r="X7" t="s">
        <v>354</v>
      </c>
      <c r="Y7" t="s">
        <v>371</v>
      </c>
      <c r="Z7" t="s">
        <v>371</v>
      </c>
      <c r="AA7" s="84" t="s">
        <v>435</v>
      </c>
    </row>
    <row r="8" spans="2:27">
      <c r="B8" s="78"/>
      <c r="K8" s="82" t="s">
        <v>764</v>
      </c>
      <c r="L8" s="83" t="s">
        <v>435</v>
      </c>
      <c r="M8" t="s">
        <v>435</v>
      </c>
      <c r="N8" t="s">
        <v>435</v>
      </c>
      <c r="O8" t="s">
        <v>354</v>
      </c>
      <c r="P8" s="84" t="s">
        <v>354</v>
      </c>
      <c r="Q8" t="s">
        <v>435</v>
      </c>
      <c r="R8" t="s">
        <v>354</v>
      </c>
      <c r="S8" t="s">
        <v>354</v>
      </c>
      <c r="T8" t="s">
        <v>371</v>
      </c>
      <c r="U8" t="s">
        <v>354</v>
      </c>
      <c r="V8" t="s">
        <v>435</v>
      </c>
      <c r="W8" t="s">
        <v>435</v>
      </c>
      <c r="X8" t="s">
        <v>354</v>
      </c>
      <c r="Y8" t="s">
        <v>354</v>
      </c>
      <c r="Z8" t="s">
        <v>371</v>
      </c>
      <c r="AA8" s="84" t="s">
        <v>435</v>
      </c>
    </row>
    <row r="9" spans="2:27">
      <c r="B9" s="78" t="s">
        <v>363</v>
      </c>
      <c r="E9" t="s">
        <v>740</v>
      </c>
      <c r="F9" t="s">
        <v>765</v>
      </c>
      <c r="K9" s="82" t="s">
        <v>766</v>
      </c>
      <c r="L9" s="83" t="s">
        <v>435</v>
      </c>
      <c r="M9" t="s">
        <v>435</v>
      </c>
      <c r="N9" t="s">
        <v>435</v>
      </c>
      <c r="O9" t="s">
        <v>435</v>
      </c>
      <c r="P9" s="84" t="s">
        <v>435</v>
      </c>
      <c r="Q9" t="s">
        <v>435</v>
      </c>
      <c r="R9" t="s">
        <v>435</v>
      </c>
      <c r="S9" t="s">
        <v>354</v>
      </c>
      <c r="T9" t="s">
        <v>371</v>
      </c>
      <c r="U9" t="s">
        <v>354</v>
      </c>
      <c r="V9" t="s">
        <v>435</v>
      </c>
      <c r="W9" t="s">
        <v>435</v>
      </c>
      <c r="X9" t="s">
        <v>435</v>
      </c>
      <c r="Y9" t="s">
        <v>435</v>
      </c>
      <c r="Z9" t="s">
        <v>354</v>
      </c>
      <c r="AA9" s="84" t="s">
        <v>435</v>
      </c>
    </row>
    <row r="10" spans="2:27">
      <c r="B10" s="78"/>
      <c r="K10" s="82" t="s">
        <v>767</v>
      </c>
      <c r="L10" s="83" t="s">
        <v>435</v>
      </c>
      <c r="M10" t="s">
        <v>354</v>
      </c>
      <c r="N10" t="s">
        <v>435</v>
      </c>
      <c r="O10" t="s">
        <v>354</v>
      </c>
      <c r="P10" s="84" t="s">
        <v>371</v>
      </c>
      <c r="Q10" t="s">
        <v>435</v>
      </c>
      <c r="R10" t="s">
        <v>435</v>
      </c>
      <c r="S10" t="s">
        <v>435</v>
      </c>
      <c r="T10" t="s">
        <v>435</v>
      </c>
      <c r="U10" t="s">
        <v>435</v>
      </c>
      <c r="V10" t="s">
        <v>435</v>
      </c>
      <c r="W10" t="s">
        <v>435</v>
      </c>
      <c r="X10" t="s">
        <v>435</v>
      </c>
      <c r="Y10" t="s">
        <v>354</v>
      </c>
      <c r="Z10" t="s">
        <v>435</v>
      </c>
      <c r="AA10" s="84" t="s">
        <v>435</v>
      </c>
    </row>
    <row r="11" spans="2:27">
      <c r="B11" s="78" t="s">
        <v>367</v>
      </c>
      <c r="E11" t="s">
        <v>740</v>
      </c>
      <c r="F11" t="s">
        <v>768</v>
      </c>
      <c r="K11" s="82" t="s">
        <v>769</v>
      </c>
      <c r="L11" s="83" t="s">
        <v>435</v>
      </c>
      <c r="M11" t="s">
        <v>354</v>
      </c>
      <c r="N11" t="s">
        <v>435</v>
      </c>
      <c r="O11" t="s">
        <v>435</v>
      </c>
      <c r="P11" s="84" t="s">
        <v>435</v>
      </c>
      <c r="Q11" t="s">
        <v>435</v>
      </c>
      <c r="R11" t="s">
        <v>435</v>
      </c>
      <c r="S11" t="s">
        <v>354</v>
      </c>
      <c r="T11" t="s">
        <v>435</v>
      </c>
      <c r="U11" t="s">
        <v>371</v>
      </c>
      <c r="V11" t="s">
        <v>435</v>
      </c>
      <c r="W11" t="s">
        <v>435</v>
      </c>
      <c r="X11" t="s">
        <v>435</v>
      </c>
      <c r="Y11" t="s">
        <v>435</v>
      </c>
      <c r="Z11" t="s">
        <v>435</v>
      </c>
      <c r="AA11" s="84" t="s">
        <v>435</v>
      </c>
    </row>
    <row r="12" spans="2:27">
      <c r="B12" s="77" t="s">
        <v>770</v>
      </c>
      <c r="E12" t="s">
        <v>740</v>
      </c>
      <c r="F12" t="s">
        <v>771</v>
      </c>
      <c r="K12" s="82" t="s">
        <v>772</v>
      </c>
      <c r="L12" s="83" t="s">
        <v>758</v>
      </c>
      <c r="M12" t="s">
        <v>758</v>
      </c>
      <c r="N12" t="s">
        <v>758</v>
      </c>
      <c r="O12" t="s">
        <v>371</v>
      </c>
      <c r="P12" s="84" t="s">
        <v>371</v>
      </c>
      <c r="Q12" t="s">
        <v>435</v>
      </c>
      <c r="R12" t="s">
        <v>354</v>
      </c>
      <c r="S12" t="s">
        <v>371</v>
      </c>
      <c r="T12" t="s">
        <v>758</v>
      </c>
      <c r="U12" t="s">
        <v>354</v>
      </c>
      <c r="V12" t="s">
        <v>758</v>
      </c>
      <c r="W12" t="s">
        <v>354</v>
      </c>
      <c r="X12" t="s">
        <v>758</v>
      </c>
      <c r="Y12" t="s">
        <v>758</v>
      </c>
      <c r="Z12" t="s">
        <v>758</v>
      </c>
      <c r="AA12" s="84" t="s">
        <v>371</v>
      </c>
    </row>
    <row r="13" spans="2:27" ht="15">
      <c r="B13" s="76" t="s">
        <v>375</v>
      </c>
      <c r="E13" t="s">
        <v>740</v>
      </c>
      <c r="F13" t="s">
        <v>773</v>
      </c>
      <c r="K13" s="82" t="s">
        <v>774</v>
      </c>
      <c r="L13" s="83" t="s">
        <v>354</v>
      </c>
      <c r="M13" t="s">
        <v>435</v>
      </c>
      <c r="N13" t="s">
        <v>371</v>
      </c>
      <c r="O13" t="s">
        <v>435</v>
      </c>
      <c r="P13" s="84" t="s">
        <v>435</v>
      </c>
      <c r="Q13" t="s">
        <v>435</v>
      </c>
      <c r="R13" t="s">
        <v>435</v>
      </c>
      <c r="S13" t="s">
        <v>435</v>
      </c>
      <c r="T13" t="s">
        <v>435</v>
      </c>
      <c r="U13" t="s">
        <v>371</v>
      </c>
      <c r="V13" t="s">
        <v>435</v>
      </c>
      <c r="W13" t="s">
        <v>435</v>
      </c>
      <c r="X13" t="s">
        <v>435</v>
      </c>
      <c r="Y13" t="s">
        <v>435</v>
      </c>
      <c r="Z13" t="s">
        <v>354</v>
      </c>
      <c r="AA13" s="84" t="s">
        <v>758</v>
      </c>
    </row>
    <row r="14" spans="2:27">
      <c r="B14" s="68" t="s">
        <v>775</v>
      </c>
      <c r="E14" t="s">
        <v>740</v>
      </c>
      <c r="F14" t="s">
        <v>776</v>
      </c>
      <c r="K14" s="82" t="s">
        <v>777</v>
      </c>
      <c r="L14" s="83" t="s">
        <v>758</v>
      </c>
      <c r="M14" t="s">
        <v>758</v>
      </c>
      <c r="N14" t="s">
        <v>758</v>
      </c>
      <c r="O14" t="s">
        <v>758</v>
      </c>
      <c r="P14" s="84" t="s">
        <v>371</v>
      </c>
      <c r="Q14" t="s">
        <v>371</v>
      </c>
      <c r="R14" t="s">
        <v>371</v>
      </c>
      <c r="S14" t="s">
        <v>354</v>
      </c>
      <c r="T14" t="s">
        <v>371</v>
      </c>
      <c r="U14" t="s">
        <v>435</v>
      </c>
      <c r="V14" t="s">
        <v>758</v>
      </c>
      <c r="W14" t="s">
        <v>354</v>
      </c>
      <c r="X14" t="s">
        <v>354</v>
      </c>
      <c r="Y14" t="s">
        <v>758</v>
      </c>
      <c r="Z14" t="s">
        <v>371</v>
      </c>
      <c r="AA14" s="84" t="s">
        <v>354</v>
      </c>
    </row>
    <row r="15" spans="2:27">
      <c r="B15" s="68" t="s">
        <v>778</v>
      </c>
      <c r="E15" t="s">
        <v>337</v>
      </c>
      <c r="F15" t="s">
        <v>779</v>
      </c>
      <c r="K15" s="82" t="s">
        <v>780</v>
      </c>
      <c r="L15" s="83" t="s">
        <v>435</v>
      </c>
      <c r="M15" t="s">
        <v>435</v>
      </c>
      <c r="N15" t="s">
        <v>354</v>
      </c>
      <c r="O15" t="s">
        <v>435</v>
      </c>
      <c r="P15" s="84" t="s">
        <v>435</v>
      </c>
      <c r="Q15" t="s">
        <v>354</v>
      </c>
      <c r="R15" t="s">
        <v>435</v>
      </c>
      <c r="S15" t="s">
        <v>435</v>
      </c>
      <c r="T15" t="s">
        <v>435</v>
      </c>
      <c r="U15" t="s">
        <v>371</v>
      </c>
      <c r="V15" t="s">
        <v>435</v>
      </c>
      <c r="W15" t="s">
        <v>354</v>
      </c>
      <c r="X15" t="s">
        <v>435</v>
      </c>
      <c r="Y15" t="s">
        <v>354</v>
      </c>
      <c r="Z15" t="s">
        <v>435</v>
      </c>
      <c r="AA15" s="84" t="s">
        <v>435</v>
      </c>
    </row>
    <row r="16" spans="2:27">
      <c r="B16" s="71" t="s">
        <v>781</v>
      </c>
      <c r="E16" t="s">
        <v>337</v>
      </c>
      <c r="F16" t="s">
        <v>782</v>
      </c>
      <c r="K16" s="85" t="s">
        <v>783</v>
      </c>
      <c r="L16" s="86" t="s">
        <v>758</v>
      </c>
      <c r="M16" s="87" t="s">
        <v>371</v>
      </c>
      <c r="N16" s="87" t="s">
        <v>371</v>
      </c>
      <c r="O16" s="87" t="s">
        <v>354</v>
      </c>
      <c r="P16" s="88" t="s">
        <v>371</v>
      </c>
      <c r="Q16" s="87" t="s">
        <v>435</v>
      </c>
      <c r="R16" s="87" t="s">
        <v>354</v>
      </c>
      <c r="S16" s="87" t="s">
        <v>354</v>
      </c>
      <c r="T16" s="87" t="s">
        <v>435</v>
      </c>
      <c r="U16" s="87" t="s">
        <v>354</v>
      </c>
      <c r="V16" s="87" t="s">
        <v>354</v>
      </c>
      <c r="W16" s="87" t="s">
        <v>354</v>
      </c>
      <c r="X16" s="87" t="s">
        <v>354</v>
      </c>
      <c r="Y16" s="87" t="s">
        <v>435</v>
      </c>
      <c r="Z16" s="87" t="s">
        <v>354</v>
      </c>
      <c r="AA16" s="88" t="s">
        <v>435</v>
      </c>
    </row>
    <row r="17" spans="2:22">
      <c r="B17" s="71" t="s">
        <v>784</v>
      </c>
      <c r="E17" t="s">
        <v>337</v>
      </c>
      <c r="F17" t="s">
        <v>785</v>
      </c>
    </row>
    <row r="18" spans="2:22" hidden="1">
      <c r="B18" s="68" t="s">
        <v>786</v>
      </c>
      <c r="E18" t="s">
        <v>337</v>
      </c>
      <c r="F18" t="s">
        <v>787</v>
      </c>
    </row>
    <row r="19" spans="2:22" hidden="1">
      <c r="B19" s="68" t="s">
        <v>788</v>
      </c>
      <c r="E19" t="s">
        <v>337</v>
      </c>
      <c r="F19" t="s">
        <v>789</v>
      </c>
      <c r="L19" s="89" t="s">
        <v>740</v>
      </c>
      <c r="M19" s="90" t="s">
        <v>337</v>
      </c>
      <c r="N19" s="90" t="s">
        <v>761</v>
      </c>
      <c r="O19" s="90" t="s">
        <v>744</v>
      </c>
      <c r="P19" s="90" t="s">
        <v>766</v>
      </c>
      <c r="Q19" s="90" t="s">
        <v>769</v>
      </c>
      <c r="R19" s="90" t="s">
        <v>772</v>
      </c>
      <c r="S19" s="90" t="s">
        <v>774</v>
      </c>
      <c r="T19" s="90" t="s">
        <v>777</v>
      </c>
      <c r="U19" s="90" t="s">
        <v>780</v>
      </c>
      <c r="V19" s="91" t="s">
        <v>783</v>
      </c>
    </row>
    <row r="20" spans="2:22" hidden="1">
      <c r="B20" s="68" t="s">
        <v>400</v>
      </c>
      <c r="E20" t="s">
        <v>337</v>
      </c>
      <c r="F20" t="s">
        <v>790</v>
      </c>
      <c r="L20" s="83" t="s">
        <v>741</v>
      </c>
      <c r="M20" t="s">
        <v>779</v>
      </c>
      <c r="N20" t="s">
        <v>791</v>
      </c>
      <c r="O20" t="s">
        <v>792</v>
      </c>
      <c r="P20" t="s">
        <v>793</v>
      </c>
      <c r="Q20" t="s">
        <v>794</v>
      </c>
      <c r="R20" t="s">
        <v>795</v>
      </c>
      <c r="S20" t="s">
        <v>796</v>
      </c>
      <c r="T20" t="s">
        <v>797</v>
      </c>
      <c r="U20" t="s">
        <v>798</v>
      </c>
      <c r="V20" s="84" t="s">
        <v>799</v>
      </c>
    </row>
    <row r="21" spans="2:22" hidden="1">
      <c r="B21" s="68" t="s">
        <v>408</v>
      </c>
      <c r="E21" t="s">
        <v>337</v>
      </c>
      <c r="F21" t="s">
        <v>800</v>
      </c>
      <c r="L21" s="83" t="s">
        <v>756</v>
      </c>
      <c r="M21" t="s">
        <v>782</v>
      </c>
      <c r="N21" t="s">
        <v>801</v>
      </c>
      <c r="O21" t="s">
        <v>802</v>
      </c>
      <c r="P21" t="s">
        <v>803</v>
      </c>
      <c r="Q21" t="s">
        <v>804</v>
      </c>
      <c r="R21" t="s">
        <v>805</v>
      </c>
      <c r="S21" t="s">
        <v>806</v>
      </c>
      <c r="T21" t="s">
        <v>807</v>
      </c>
      <c r="U21" t="s">
        <v>808</v>
      </c>
      <c r="V21" s="84" t="s">
        <v>809</v>
      </c>
    </row>
    <row r="22" spans="2:22" hidden="1">
      <c r="B22" s="68" t="s">
        <v>415</v>
      </c>
      <c r="E22" t="s">
        <v>337</v>
      </c>
      <c r="F22" t="s">
        <v>810</v>
      </c>
      <c r="L22" s="83" t="s">
        <v>757</v>
      </c>
      <c r="M22" t="s">
        <v>785</v>
      </c>
      <c r="N22" t="s">
        <v>811</v>
      </c>
      <c r="O22" t="s">
        <v>812</v>
      </c>
      <c r="P22" t="s">
        <v>813</v>
      </c>
      <c r="Q22" t="s">
        <v>814</v>
      </c>
      <c r="R22" t="s">
        <v>815</v>
      </c>
      <c r="S22" t="s">
        <v>816</v>
      </c>
      <c r="T22" t="s">
        <v>817</v>
      </c>
      <c r="U22" t="s">
        <v>818</v>
      </c>
      <c r="V22" s="84" t="s">
        <v>819</v>
      </c>
    </row>
    <row r="23" spans="2:22" hidden="1">
      <c r="B23" s="68" t="s">
        <v>423</v>
      </c>
      <c r="E23" t="s">
        <v>337</v>
      </c>
      <c r="F23" t="s">
        <v>820</v>
      </c>
      <c r="L23" s="83" t="s">
        <v>760</v>
      </c>
      <c r="M23" t="s">
        <v>787</v>
      </c>
      <c r="N23" t="s">
        <v>821</v>
      </c>
      <c r="O23" t="s">
        <v>822</v>
      </c>
      <c r="P23" t="s">
        <v>823</v>
      </c>
      <c r="Q23" t="s">
        <v>824</v>
      </c>
      <c r="R23" t="s">
        <v>825</v>
      </c>
      <c r="S23" t="s">
        <v>826</v>
      </c>
      <c r="T23" t="s">
        <v>827</v>
      </c>
      <c r="U23" t="s">
        <v>828</v>
      </c>
      <c r="V23" s="84" t="s">
        <v>829</v>
      </c>
    </row>
    <row r="24" spans="2:22" hidden="1">
      <c r="B24" s="70" t="s">
        <v>424</v>
      </c>
      <c r="E24" t="s">
        <v>337</v>
      </c>
      <c r="F24" t="s">
        <v>830</v>
      </c>
      <c r="L24" s="83" t="s">
        <v>763</v>
      </c>
      <c r="M24" t="s">
        <v>789</v>
      </c>
      <c r="N24" t="s">
        <v>831</v>
      </c>
      <c r="O24" t="s">
        <v>832</v>
      </c>
      <c r="P24" t="s">
        <v>833</v>
      </c>
      <c r="Q24" t="s">
        <v>834</v>
      </c>
      <c r="R24" t="s">
        <v>835</v>
      </c>
      <c r="S24" t="s">
        <v>836</v>
      </c>
      <c r="T24" t="s">
        <v>837</v>
      </c>
      <c r="U24" t="s">
        <v>838</v>
      </c>
      <c r="V24" s="84" t="s">
        <v>839</v>
      </c>
    </row>
    <row r="25" spans="2:22" hidden="1">
      <c r="E25" t="s">
        <v>337</v>
      </c>
      <c r="F25" t="s">
        <v>840</v>
      </c>
      <c r="L25" s="83" t="s">
        <v>765</v>
      </c>
      <c r="M25" t="s">
        <v>790</v>
      </c>
      <c r="N25" t="s">
        <v>841</v>
      </c>
      <c r="P25" t="s">
        <v>842</v>
      </c>
      <c r="Q25" t="s">
        <v>843</v>
      </c>
      <c r="R25" t="s">
        <v>844</v>
      </c>
      <c r="S25" t="s">
        <v>845</v>
      </c>
      <c r="T25" t="s">
        <v>846</v>
      </c>
      <c r="U25" t="s">
        <v>847</v>
      </c>
      <c r="V25" s="84"/>
    </row>
    <row r="26" spans="2:22" hidden="1">
      <c r="E26" t="s">
        <v>337</v>
      </c>
      <c r="F26" t="s">
        <v>848</v>
      </c>
      <c r="L26" s="83" t="s">
        <v>768</v>
      </c>
      <c r="M26" t="s">
        <v>800</v>
      </c>
      <c r="N26" t="s">
        <v>849</v>
      </c>
      <c r="P26" t="s">
        <v>850</v>
      </c>
      <c r="Q26" t="s">
        <v>851</v>
      </c>
      <c r="R26" t="s">
        <v>852</v>
      </c>
      <c r="S26" t="s">
        <v>853</v>
      </c>
      <c r="T26" t="s">
        <v>854</v>
      </c>
      <c r="U26" t="s">
        <v>855</v>
      </c>
      <c r="V26" s="84"/>
    </row>
    <row r="27" spans="2:22" hidden="1">
      <c r="E27" t="s">
        <v>337</v>
      </c>
      <c r="F27" t="s">
        <v>856</v>
      </c>
      <c r="L27" s="83" t="s">
        <v>771</v>
      </c>
      <c r="M27" t="s">
        <v>810</v>
      </c>
      <c r="N27" t="s">
        <v>857</v>
      </c>
      <c r="P27" t="s">
        <v>858</v>
      </c>
      <c r="Q27" t="s">
        <v>859</v>
      </c>
      <c r="R27" t="s">
        <v>860</v>
      </c>
      <c r="S27" t="s">
        <v>861</v>
      </c>
      <c r="T27" t="s">
        <v>862</v>
      </c>
      <c r="U27" t="s">
        <v>863</v>
      </c>
      <c r="V27" s="84"/>
    </row>
    <row r="28" spans="2:22" hidden="1">
      <c r="E28" t="s">
        <v>337</v>
      </c>
      <c r="F28" t="s">
        <v>864</v>
      </c>
      <c r="L28" s="83" t="s">
        <v>773</v>
      </c>
      <c r="M28" t="s">
        <v>820</v>
      </c>
      <c r="N28" t="s">
        <v>865</v>
      </c>
      <c r="P28" t="s">
        <v>866</v>
      </c>
      <c r="Q28" t="s">
        <v>867</v>
      </c>
      <c r="R28" t="s">
        <v>868</v>
      </c>
      <c r="S28" t="s">
        <v>869</v>
      </c>
      <c r="T28" t="s">
        <v>870</v>
      </c>
      <c r="V28" s="84"/>
    </row>
    <row r="29" spans="2:22" hidden="1">
      <c r="E29" t="s">
        <v>337</v>
      </c>
      <c r="F29" t="s">
        <v>871</v>
      </c>
      <c r="L29" s="86" t="s">
        <v>776</v>
      </c>
      <c r="M29" s="87" t="s">
        <v>830</v>
      </c>
      <c r="N29" s="87" t="s">
        <v>872</v>
      </c>
      <c r="O29" s="87"/>
      <c r="P29" s="87" t="s">
        <v>873</v>
      </c>
      <c r="Q29" s="87" t="s">
        <v>874</v>
      </c>
      <c r="R29" s="87" t="s">
        <v>875</v>
      </c>
      <c r="S29" s="87" t="s">
        <v>876</v>
      </c>
      <c r="T29" s="87" t="s">
        <v>877</v>
      </c>
      <c r="U29" s="87"/>
      <c r="V29" s="88"/>
    </row>
    <row r="30" spans="2:22" hidden="1">
      <c r="E30" t="s">
        <v>337</v>
      </c>
      <c r="F30" t="s">
        <v>878</v>
      </c>
      <c r="M30" t="s">
        <v>840</v>
      </c>
      <c r="N30" t="s">
        <v>879</v>
      </c>
      <c r="P30" t="s">
        <v>880</v>
      </c>
      <c r="R30" t="s">
        <v>881</v>
      </c>
      <c r="S30" t="s">
        <v>882</v>
      </c>
      <c r="T30" t="s">
        <v>883</v>
      </c>
    </row>
    <row r="31" spans="2:22" hidden="1">
      <c r="E31" t="s">
        <v>337</v>
      </c>
      <c r="F31" t="s">
        <v>884</v>
      </c>
      <c r="M31" t="s">
        <v>848</v>
      </c>
      <c r="N31" t="s">
        <v>885</v>
      </c>
      <c r="P31" t="s">
        <v>886</v>
      </c>
      <c r="R31" t="s">
        <v>887</v>
      </c>
      <c r="S31" t="s">
        <v>888</v>
      </c>
    </row>
    <row r="32" spans="2:22" hidden="1">
      <c r="E32" t="s">
        <v>337</v>
      </c>
      <c r="F32" t="s">
        <v>889</v>
      </c>
      <c r="M32" t="s">
        <v>856</v>
      </c>
      <c r="P32" t="s">
        <v>890</v>
      </c>
      <c r="R32" t="s">
        <v>891</v>
      </c>
      <c r="S32" t="s">
        <v>892</v>
      </c>
    </row>
    <row r="33" spans="5:18" hidden="1">
      <c r="E33" t="s">
        <v>337</v>
      </c>
      <c r="F33" t="s">
        <v>893</v>
      </c>
      <c r="M33" t="s">
        <v>864</v>
      </c>
      <c r="R33" t="s">
        <v>894</v>
      </c>
    </row>
    <row r="34" spans="5:18" hidden="1">
      <c r="E34" t="s">
        <v>337</v>
      </c>
      <c r="F34" t="s">
        <v>895</v>
      </c>
      <c r="M34" t="s">
        <v>871</v>
      </c>
      <c r="R34" t="s">
        <v>896</v>
      </c>
    </row>
    <row r="35" spans="5:18" hidden="1">
      <c r="E35" t="s">
        <v>761</v>
      </c>
      <c r="F35" t="s">
        <v>791</v>
      </c>
      <c r="M35" t="s">
        <v>878</v>
      </c>
      <c r="R35" t="s">
        <v>897</v>
      </c>
    </row>
    <row r="36" spans="5:18" hidden="1">
      <c r="E36" t="s">
        <v>761</v>
      </c>
      <c r="F36" t="s">
        <v>801</v>
      </c>
      <c r="M36" t="s">
        <v>884</v>
      </c>
      <c r="R36" t="s">
        <v>898</v>
      </c>
    </row>
    <row r="37" spans="5:18" hidden="1">
      <c r="E37" t="s">
        <v>761</v>
      </c>
      <c r="F37" t="s">
        <v>811</v>
      </c>
      <c r="M37" t="s">
        <v>889</v>
      </c>
    </row>
    <row r="38" spans="5:18" hidden="1">
      <c r="E38" t="s">
        <v>761</v>
      </c>
      <c r="F38" t="s">
        <v>821</v>
      </c>
      <c r="M38" t="s">
        <v>893</v>
      </c>
    </row>
    <row r="39" spans="5:18" hidden="1">
      <c r="E39" t="s">
        <v>761</v>
      </c>
      <c r="F39" t="s">
        <v>831</v>
      </c>
      <c r="M39" t="s">
        <v>895</v>
      </c>
    </row>
    <row r="40" spans="5:18" hidden="1">
      <c r="E40" t="s">
        <v>761</v>
      </c>
      <c r="F40" t="s">
        <v>841</v>
      </c>
    </row>
    <row r="41" spans="5:18" hidden="1">
      <c r="E41" t="s">
        <v>761</v>
      </c>
      <c r="F41" t="s">
        <v>849</v>
      </c>
    </row>
    <row r="42" spans="5:18">
      <c r="E42" t="s">
        <v>761</v>
      </c>
      <c r="F42" t="s">
        <v>857</v>
      </c>
    </row>
    <row r="43" spans="5:18">
      <c r="E43" t="s">
        <v>761</v>
      </c>
      <c r="F43" t="s">
        <v>865</v>
      </c>
    </row>
    <row r="44" spans="5:18">
      <c r="E44" t="s">
        <v>761</v>
      </c>
      <c r="F44" t="s">
        <v>872</v>
      </c>
    </row>
    <row r="45" spans="5:18">
      <c r="E45" t="s">
        <v>761</v>
      </c>
      <c r="F45" t="s">
        <v>879</v>
      </c>
    </row>
    <row r="46" spans="5:18">
      <c r="E46" t="s">
        <v>761</v>
      </c>
      <c r="F46" t="s">
        <v>885</v>
      </c>
    </row>
    <row r="47" spans="5:18">
      <c r="E47" t="s">
        <v>744</v>
      </c>
      <c r="F47" t="s">
        <v>792</v>
      </c>
    </row>
    <row r="48" spans="5:18">
      <c r="E48" t="s">
        <v>744</v>
      </c>
      <c r="F48" t="s">
        <v>802</v>
      </c>
    </row>
    <row r="49" spans="5:6">
      <c r="E49" t="s">
        <v>744</v>
      </c>
      <c r="F49" t="s">
        <v>812</v>
      </c>
    </row>
    <row r="50" spans="5:6">
      <c r="E50" t="s">
        <v>744</v>
      </c>
      <c r="F50" t="s">
        <v>822</v>
      </c>
    </row>
    <row r="51" spans="5:6">
      <c r="E51" t="s">
        <v>744</v>
      </c>
      <c r="F51" t="s">
        <v>832</v>
      </c>
    </row>
    <row r="52" spans="5:6">
      <c r="E52" t="s">
        <v>766</v>
      </c>
      <c r="F52" t="s">
        <v>793</v>
      </c>
    </row>
    <row r="53" spans="5:6">
      <c r="E53" t="s">
        <v>766</v>
      </c>
      <c r="F53" t="s">
        <v>803</v>
      </c>
    </row>
    <row r="54" spans="5:6">
      <c r="E54" t="s">
        <v>766</v>
      </c>
      <c r="F54" t="s">
        <v>813</v>
      </c>
    </row>
    <row r="55" spans="5:6">
      <c r="E55" t="s">
        <v>766</v>
      </c>
      <c r="F55" t="s">
        <v>823</v>
      </c>
    </row>
    <row r="56" spans="5:6">
      <c r="E56" t="s">
        <v>766</v>
      </c>
      <c r="F56" t="s">
        <v>833</v>
      </c>
    </row>
    <row r="57" spans="5:6">
      <c r="E57" t="s">
        <v>766</v>
      </c>
      <c r="F57" t="s">
        <v>842</v>
      </c>
    </row>
    <row r="58" spans="5:6">
      <c r="E58" t="s">
        <v>766</v>
      </c>
      <c r="F58" t="s">
        <v>850</v>
      </c>
    </row>
    <row r="59" spans="5:6">
      <c r="E59" t="s">
        <v>766</v>
      </c>
      <c r="F59" t="s">
        <v>858</v>
      </c>
    </row>
    <row r="60" spans="5:6">
      <c r="E60" t="s">
        <v>766</v>
      </c>
      <c r="F60" t="s">
        <v>866</v>
      </c>
    </row>
    <row r="61" spans="5:6">
      <c r="E61" t="s">
        <v>766</v>
      </c>
      <c r="F61" t="s">
        <v>873</v>
      </c>
    </row>
    <row r="62" spans="5:6">
      <c r="E62" t="s">
        <v>766</v>
      </c>
      <c r="F62" t="s">
        <v>880</v>
      </c>
    </row>
    <row r="63" spans="5:6">
      <c r="E63" t="s">
        <v>766</v>
      </c>
      <c r="F63" t="s">
        <v>886</v>
      </c>
    </row>
    <row r="64" spans="5:6">
      <c r="E64" t="s">
        <v>766</v>
      </c>
      <c r="F64" t="s">
        <v>890</v>
      </c>
    </row>
    <row r="65" spans="5:6">
      <c r="E65" t="s">
        <v>769</v>
      </c>
      <c r="F65" t="s">
        <v>794</v>
      </c>
    </row>
    <row r="66" spans="5:6">
      <c r="E66" t="s">
        <v>769</v>
      </c>
      <c r="F66" t="s">
        <v>804</v>
      </c>
    </row>
    <row r="67" spans="5:6">
      <c r="E67" t="s">
        <v>769</v>
      </c>
      <c r="F67" t="s">
        <v>814</v>
      </c>
    </row>
    <row r="68" spans="5:6">
      <c r="E68" t="s">
        <v>769</v>
      </c>
      <c r="F68" t="s">
        <v>824</v>
      </c>
    </row>
    <row r="69" spans="5:6">
      <c r="E69" t="s">
        <v>769</v>
      </c>
      <c r="F69" t="s">
        <v>834</v>
      </c>
    </row>
    <row r="70" spans="5:6">
      <c r="E70" t="s">
        <v>769</v>
      </c>
      <c r="F70" t="s">
        <v>843</v>
      </c>
    </row>
    <row r="71" spans="5:6">
      <c r="E71" t="s">
        <v>769</v>
      </c>
      <c r="F71" t="s">
        <v>851</v>
      </c>
    </row>
    <row r="72" spans="5:6">
      <c r="E72" t="s">
        <v>769</v>
      </c>
      <c r="F72" t="s">
        <v>859</v>
      </c>
    </row>
    <row r="73" spans="5:6">
      <c r="E73" t="s">
        <v>769</v>
      </c>
      <c r="F73" t="s">
        <v>867</v>
      </c>
    </row>
    <row r="74" spans="5:6">
      <c r="E74" t="s">
        <v>769</v>
      </c>
      <c r="F74" t="s">
        <v>874</v>
      </c>
    </row>
    <row r="75" spans="5:6">
      <c r="E75" t="s">
        <v>772</v>
      </c>
      <c r="F75" t="s">
        <v>795</v>
      </c>
    </row>
    <row r="76" spans="5:6">
      <c r="E76" t="s">
        <v>772</v>
      </c>
      <c r="F76" t="s">
        <v>805</v>
      </c>
    </row>
    <row r="77" spans="5:6">
      <c r="E77" t="s">
        <v>772</v>
      </c>
      <c r="F77" t="s">
        <v>815</v>
      </c>
    </row>
    <row r="78" spans="5:6">
      <c r="E78" t="s">
        <v>772</v>
      </c>
      <c r="F78" t="s">
        <v>825</v>
      </c>
    </row>
    <row r="79" spans="5:6">
      <c r="E79" t="s">
        <v>772</v>
      </c>
      <c r="F79" t="s">
        <v>835</v>
      </c>
    </row>
    <row r="80" spans="5:6">
      <c r="E80" t="s">
        <v>772</v>
      </c>
      <c r="F80" t="s">
        <v>844</v>
      </c>
    </row>
    <row r="81" spans="5:6">
      <c r="E81" t="s">
        <v>772</v>
      </c>
      <c r="F81" t="s">
        <v>852</v>
      </c>
    </row>
    <row r="82" spans="5:6">
      <c r="E82" t="s">
        <v>772</v>
      </c>
      <c r="F82" t="s">
        <v>860</v>
      </c>
    </row>
    <row r="83" spans="5:6">
      <c r="E83" t="s">
        <v>772</v>
      </c>
      <c r="F83" t="s">
        <v>868</v>
      </c>
    </row>
    <row r="84" spans="5:6">
      <c r="E84" t="s">
        <v>772</v>
      </c>
      <c r="F84" t="s">
        <v>875</v>
      </c>
    </row>
    <row r="85" spans="5:6">
      <c r="E85" t="s">
        <v>772</v>
      </c>
      <c r="F85" t="s">
        <v>881</v>
      </c>
    </row>
    <row r="86" spans="5:6">
      <c r="E86" t="s">
        <v>772</v>
      </c>
      <c r="F86" t="s">
        <v>887</v>
      </c>
    </row>
    <row r="87" spans="5:6">
      <c r="E87" t="s">
        <v>772</v>
      </c>
      <c r="F87" t="s">
        <v>891</v>
      </c>
    </row>
    <row r="88" spans="5:6">
      <c r="E88" t="s">
        <v>772</v>
      </c>
      <c r="F88" t="s">
        <v>894</v>
      </c>
    </row>
    <row r="89" spans="5:6">
      <c r="E89" t="s">
        <v>772</v>
      </c>
      <c r="F89" t="s">
        <v>896</v>
      </c>
    </row>
    <row r="90" spans="5:6">
      <c r="E90" t="s">
        <v>772</v>
      </c>
      <c r="F90" t="s">
        <v>897</v>
      </c>
    </row>
    <row r="91" spans="5:6">
      <c r="E91" t="s">
        <v>772</v>
      </c>
      <c r="F91" t="s">
        <v>898</v>
      </c>
    </row>
    <row r="92" spans="5:6">
      <c r="E92" t="s">
        <v>774</v>
      </c>
      <c r="F92" t="s">
        <v>796</v>
      </c>
    </row>
    <row r="93" spans="5:6">
      <c r="E93" t="s">
        <v>774</v>
      </c>
      <c r="F93" t="s">
        <v>806</v>
      </c>
    </row>
    <row r="94" spans="5:6">
      <c r="E94" t="s">
        <v>774</v>
      </c>
      <c r="F94" t="s">
        <v>816</v>
      </c>
    </row>
    <row r="95" spans="5:6">
      <c r="E95" t="s">
        <v>774</v>
      </c>
      <c r="F95" t="s">
        <v>826</v>
      </c>
    </row>
    <row r="96" spans="5:6">
      <c r="E96" t="s">
        <v>774</v>
      </c>
      <c r="F96" t="s">
        <v>836</v>
      </c>
    </row>
    <row r="97" spans="5:6">
      <c r="E97" t="s">
        <v>774</v>
      </c>
      <c r="F97" t="s">
        <v>845</v>
      </c>
    </row>
    <row r="98" spans="5:6">
      <c r="E98" t="s">
        <v>774</v>
      </c>
      <c r="F98" t="s">
        <v>853</v>
      </c>
    </row>
    <row r="99" spans="5:6">
      <c r="E99" t="s">
        <v>774</v>
      </c>
      <c r="F99" t="s">
        <v>861</v>
      </c>
    </row>
    <row r="100" spans="5:6">
      <c r="E100" t="s">
        <v>774</v>
      </c>
      <c r="F100" t="s">
        <v>869</v>
      </c>
    </row>
    <row r="101" spans="5:6">
      <c r="E101" t="s">
        <v>774</v>
      </c>
      <c r="F101" t="s">
        <v>876</v>
      </c>
    </row>
    <row r="102" spans="5:6">
      <c r="E102" t="s">
        <v>774</v>
      </c>
      <c r="F102" t="s">
        <v>882</v>
      </c>
    </row>
    <row r="103" spans="5:6">
      <c r="E103" t="s">
        <v>774</v>
      </c>
      <c r="F103" t="s">
        <v>888</v>
      </c>
    </row>
    <row r="104" spans="5:6">
      <c r="E104" t="s">
        <v>774</v>
      </c>
      <c r="F104" t="s">
        <v>892</v>
      </c>
    </row>
    <row r="105" spans="5:6">
      <c r="E105" t="s">
        <v>777</v>
      </c>
      <c r="F105" t="s">
        <v>797</v>
      </c>
    </row>
    <row r="106" spans="5:6">
      <c r="E106" t="s">
        <v>777</v>
      </c>
      <c r="F106" t="s">
        <v>807</v>
      </c>
    </row>
    <row r="107" spans="5:6">
      <c r="E107" t="s">
        <v>777</v>
      </c>
      <c r="F107" t="s">
        <v>817</v>
      </c>
    </row>
    <row r="108" spans="5:6">
      <c r="E108" t="s">
        <v>777</v>
      </c>
      <c r="F108" t="s">
        <v>827</v>
      </c>
    </row>
    <row r="109" spans="5:6">
      <c r="E109" t="s">
        <v>777</v>
      </c>
      <c r="F109" t="s">
        <v>837</v>
      </c>
    </row>
    <row r="110" spans="5:6">
      <c r="E110" t="s">
        <v>777</v>
      </c>
      <c r="F110" t="s">
        <v>846</v>
      </c>
    </row>
    <row r="111" spans="5:6">
      <c r="E111" t="s">
        <v>777</v>
      </c>
      <c r="F111" t="s">
        <v>854</v>
      </c>
    </row>
    <row r="112" spans="5:6">
      <c r="E112" t="s">
        <v>777</v>
      </c>
      <c r="F112" t="s">
        <v>862</v>
      </c>
    </row>
    <row r="113" spans="5:6">
      <c r="E113" t="s">
        <v>777</v>
      </c>
      <c r="F113" t="s">
        <v>870</v>
      </c>
    </row>
    <row r="114" spans="5:6">
      <c r="E114" t="s">
        <v>777</v>
      </c>
      <c r="F114" t="s">
        <v>877</v>
      </c>
    </row>
    <row r="115" spans="5:6">
      <c r="E115" t="s">
        <v>777</v>
      </c>
      <c r="F115" t="s">
        <v>883</v>
      </c>
    </row>
    <row r="116" spans="5:6">
      <c r="E116" t="s">
        <v>780</v>
      </c>
      <c r="F116" t="s">
        <v>798</v>
      </c>
    </row>
    <row r="117" spans="5:6">
      <c r="E117" t="s">
        <v>780</v>
      </c>
      <c r="F117" t="s">
        <v>808</v>
      </c>
    </row>
    <row r="118" spans="5:6">
      <c r="E118" t="s">
        <v>780</v>
      </c>
      <c r="F118" t="s">
        <v>818</v>
      </c>
    </row>
    <row r="119" spans="5:6">
      <c r="E119" t="s">
        <v>780</v>
      </c>
      <c r="F119" t="s">
        <v>828</v>
      </c>
    </row>
    <row r="120" spans="5:6">
      <c r="E120" t="s">
        <v>780</v>
      </c>
      <c r="F120" t="s">
        <v>838</v>
      </c>
    </row>
    <row r="121" spans="5:6">
      <c r="E121" t="s">
        <v>780</v>
      </c>
      <c r="F121" t="s">
        <v>847</v>
      </c>
    </row>
    <row r="122" spans="5:6">
      <c r="E122" t="s">
        <v>780</v>
      </c>
      <c r="F122" t="s">
        <v>855</v>
      </c>
    </row>
    <row r="123" spans="5:6">
      <c r="E123" t="s">
        <v>780</v>
      </c>
      <c r="F123" t="s">
        <v>863</v>
      </c>
    </row>
    <row r="124" spans="5:6">
      <c r="E124" t="s">
        <v>783</v>
      </c>
      <c r="F124" t="s">
        <v>799</v>
      </c>
    </row>
    <row r="125" spans="5:6">
      <c r="E125" t="s">
        <v>783</v>
      </c>
      <c r="F125" t="s">
        <v>809</v>
      </c>
    </row>
    <row r="126" spans="5:6">
      <c r="E126" t="s">
        <v>783</v>
      </c>
      <c r="F126" t="s">
        <v>819</v>
      </c>
    </row>
    <row r="127" spans="5:6">
      <c r="E127" t="s">
        <v>783</v>
      </c>
      <c r="F127" t="s">
        <v>829</v>
      </c>
    </row>
    <row r="128" spans="5:6">
      <c r="E128" t="s">
        <v>783</v>
      </c>
      <c r="F128" t="s">
        <v>839</v>
      </c>
    </row>
  </sheetData>
  <mergeCells count="3">
    <mergeCell ref="K2:K3"/>
    <mergeCell ref="L2:P2"/>
    <mergeCell ref="Q2:AA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H100"/>
  <sheetViews>
    <sheetView workbookViewId="0">
      <selection activeCell="B12" sqref="B12"/>
    </sheetView>
  </sheetViews>
  <sheetFormatPr defaultColWidth="10.42578125" defaultRowHeight="14.25" customHeight="1"/>
  <cols>
    <col min="1" max="1" width="40.140625" style="22" bestFit="1" customWidth="1"/>
    <col min="2" max="2" width="13.7109375" style="559" customWidth="1"/>
    <col min="3" max="6" width="13.42578125" style="22" customWidth="1"/>
    <col min="7" max="7" width="13.140625" style="22" customWidth="1"/>
    <col min="8" max="10" width="13.85546875" style="22" customWidth="1"/>
    <col min="11" max="11" width="14.140625" style="22" customWidth="1"/>
    <col min="12" max="12" width="15.140625" style="24" customWidth="1"/>
    <col min="13" max="13" width="17" style="24" customWidth="1"/>
    <col min="14" max="14" width="14.140625" style="22" customWidth="1"/>
    <col min="15" max="22" width="0" style="22" hidden="1" customWidth="1"/>
    <col min="23" max="16384" width="10.42578125" style="22"/>
  </cols>
  <sheetData>
    <row r="1" spans="1:19" ht="15">
      <c r="C1" s="48"/>
      <c r="D1" s="48"/>
      <c r="E1" s="48"/>
      <c r="F1" s="48"/>
      <c r="G1" s="48"/>
      <c r="H1" s="48"/>
      <c r="I1" s="48"/>
      <c r="J1" s="48"/>
      <c r="K1" s="48"/>
      <c r="L1" s="48"/>
      <c r="M1" s="48"/>
      <c r="N1" s="48"/>
    </row>
    <row r="2" spans="1:19" ht="13.9" customHeight="1">
      <c r="B2" s="22"/>
      <c r="E2" s="559" t="s">
        <v>899</v>
      </c>
      <c r="F2" s="559"/>
      <c r="G2" s="559"/>
      <c r="H2" s="559"/>
      <c r="I2" s="25"/>
      <c r="J2" s="25" t="s">
        <v>212</v>
      </c>
      <c r="K2" s="25"/>
    </row>
    <row r="3" spans="1:19" ht="13.9" customHeight="1">
      <c r="B3" s="22"/>
      <c r="D3" s="22" t="s">
        <v>900</v>
      </c>
      <c r="E3" s="22" t="e" vm="1">
        <v>#VALUE!</v>
      </c>
      <c r="I3" s="24"/>
      <c r="J3" s="24"/>
      <c r="K3"/>
    </row>
    <row r="4" spans="1:19" ht="13.9" customHeight="1">
      <c r="A4" s="559" t="s">
        <v>901</v>
      </c>
      <c r="C4" s="559"/>
      <c r="D4" s="559"/>
      <c r="E4" s="559"/>
      <c r="F4" s="559"/>
      <c r="G4" s="559"/>
      <c r="H4" s="559"/>
      <c r="I4" s="559"/>
      <c r="J4" s="559"/>
      <c r="K4" s="559"/>
    </row>
    <row r="5" spans="1:19" ht="15">
      <c r="A5" s="48" t="s">
        <v>902</v>
      </c>
      <c r="B5" s="48">
        <v>2023</v>
      </c>
      <c r="C5" s="271">
        <v>2022</v>
      </c>
      <c r="D5" s="271">
        <f>C5-1</f>
        <v>2021</v>
      </c>
      <c r="E5" s="271">
        <f t="shared" ref="E5:K5" si="0">D5-1</f>
        <v>2020</v>
      </c>
      <c r="F5" s="271">
        <f t="shared" si="0"/>
        <v>2019</v>
      </c>
      <c r="G5" s="271">
        <f t="shared" si="0"/>
        <v>2018</v>
      </c>
      <c r="H5" s="271">
        <f t="shared" si="0"/>
        <v>2017</v>
      </c>
      <c r="I5" s="271">
        <f t="shared" si="0"/>
        <v>2016</v>
      </c>
      <c r="J5" s="271">
        <f t="shared" si="0"/>
        <v>2015</v>
      </c>
      <c r="K5" s="271">
        <f t="shared" si="0"/>
        <v>2014</v>
      </c>
      <c r="L5"/>
      <c r="M5"/>
      <c r="O5" s="48">
        <v>2013</v>
      </c>
      <c r="P5" s="48">
        <v>2012</v>
      </c>
      <c r="Q5" s="48">
        <v>2011</v>
      </c>
      <c r="R5" s="48">
        <v>2010</v>
      </c>
      <c r="S5" s="48">
        <v>2009</v>
      </c>
    </row>
    <row r="6" spans="1:19">
      <c r="A6" s="26" t="s">
        <v>144</v>
      </c>
      <c r="B6" s="241">
        <v>19953</v>
      </c>
      <c r="C6" s="241">
        <v>16748</v>
      </c>
      <c r="D6" s="241">
        <v>13144</v>
      </c>
      <c r="E6" s="241">
        <v>14238</v>
      </c>
      <c r="F6" s="241">
        <v>13989</v>
      </c>
      <c r="G6" s="241">
        <v>11013</v>
      </c>
      <c r="H6" s="241">
        <v>10647</v>
      </c>
      <c r="I6" s="272">
        <v>11076</v>
      </c>
      <c r="J6" s="241">
        <v>10410</v>
      </c>
      <c r="K6" s="241">
        <v>10023</v>
      </c>
      <c r="L6" s="28" t="s">
        <v>903</v>
      </c>
      <c r="M6" t="s">
        <v>904</v>
      </c>
      <c r="N6"/>
      <c r="O6" s="27">
        <v>55656</v>
      </c>
      <c r="P6" s="27">
        <v>65875</v>
      </c>
      <c r="Q6" s="27">
        <v>60138</v>
      </c>
      <c r="R6" s="27">
        <v>42588</v>
      </c>
      <c r="S6" s="27">
        <v>32396</v>
      </c>
    </row>
    <row r="7" spans="1:19">
      <c r="A7" s="26" t="s">
        <v>690</v>
      </c>
      <c r="B7" s="241">
        <v>13716</v>
      </c>
      <c r="C7" s="241">
        <v>11176</v>
      </c>
      <c r="D7" s="241">
        <v>7801</v>
      </c>
      <c r="E7" s="241">
        <v>8611</v>
      </c>
      <c r="F7" s="241">
        <v>8645</v>
      </c>
      <c r="G7" s="241">
        <v>7184</v>
      </c>
      <c r="H7" s="241">
        <v>6799</v>
      </c>
      <c r="I7" s="273">
        <v>7118</v>
      </c>
      <c r="J7" s="274">
        <v>6876</v>
      </c>
      <c r="K7" s="274">
        <v>6491</v>
      </c>
      <c r="L7" s="28" t="s">
        <v>903</v>
      </c>
      <c r="M7" t="str">
        <f>+A7</f>
        <v>Gross Profit</v>
      </c>
      <c r="N7"/>
      <c r="O7" s="31">
        <f>O6-40727</f>
        <v>14929</v>
      </c>
      <c r="P7" s="32">
        <f>+P6-47055</f>
        <v>18820</v>
      </c>
      <c r="Q7" s="32">
        <f>+Q6-43578</f>
        <v>16560</v>
      </c>
      <c r="R7" s="32">
        <f>+R6-30367</f>
        <v>12221</v>
      </c>
      <c r="S7" s="32">
        <f>+S6-23886</f>
        <v>8510</v>
      </c>
    </row>
    <row r="8" spans="1:19">
      <c r="A8" s="26" t="s">
        <v>321</v>
      </c>
      <c r="B8" s="241">
        <v>5031</v>
      </c>
      <c r="C8" s="241">
        <v>3753</v>
      </c>
      <c r="D8" s="241">
        <v>1478</v>
      </c>
      <c r="E8" s="241">
        <v>1518</v>
      </c>
      <c r="F8" s="241">
        <v>1943</v>
      </c>
      <c r="G8" s="241">
        <v>1844</v>
      </c>
      <c r="H8" s="241">
        <v>1764</v>
      </c>
      <c r="I8" s="241">
        <v>2061</v>
      </c>
      <c r="J8" s="241">
        <v>2670</v>
      </c>
      <c r="K8" s="241">
        <v>2427</v>
      </c>
      <c r="L8" s="28" t="s">
        <v>903</v>
      </c>
      <c r="M8" t="s">
        <v>321</v>
      </c>
      <c r="N8"/>
      <c r="O8" s="31">
        <f>O7-5547</f>
        <v>9382</v>
      </c>
      <c r="P8" s="32">
        <f>P7-5919-2466-797-580-485</f>
        <v>8573</v>
      </c>
      <c r="Q8" s="32">
        <f>+Q7-5203-2297-826-1081</f>
        <v>7153</v>
      </c>
      <c r="R8" s="32">
        <f>+R7-4248-1905-914-1191</f>
        <v>3963</v>
      </c>
      <c r="S8" s="32">
        <f>+S7-3645-1421-1045-1822</f>
        <v>577</v>
      </c>
    </row>
    <row r="9" spans="1:19">
      <c r="A9" s="26" t="s">
        <v>694</v>
      </c>
      <c r="B9" s="241">
        <v>-3</v>
      </c>
      <c r="C9" s="241">
        <v>-38</v>
      </c>
      <c r="D9" s="241">
        <v>-22</v>
      </c>
      <c r="E9" s="241">
        <v>-18</v>
      </c>
      <c r="F9" s="241">
        <v>-36</v>
      </c>
      <c r="G9" s="241">
        <v>-35</v>
      </c>
      <c r="H9" s="241">
        <v>-30</v>
      </c>
      <c r="I9" s="241">
        <v>-24</v>
      </c>
      <c r="J9" s="241">
        <v>-8</v>
      </c>
      <c r="K9" s="241">
        <v>-6</v>
      </c>
      <c r="L9" s="28" t="s">
        <v>903</v>
      </c>
      <c r="M9" t="s">
        <v>905</v>
      </c>
      <c r="N9"/>
      <c r="O9" s="31">
        <f>2046+727+981+6+14</f>
        <v>3774</v>
      </c>
      <c r="P9" s="32">
        <f>-14+41</f>
        <v>27</v>
      </c>
      <c r="Q9" s="31">
        <v>53</v>
      </c>
      <c r="R9" s="31">
        <f>58+24</f>
        <v>82</v>
      </c>
      <c r="S9" s="31">
        <f>12-68</f>
        <v>-56</v>
      </c>
    </row>
    <row r="10" spans="1:19">
      <c r="A10" s="26" t="s">
        <v>322</v>
      </c>
      <c r="B10" s="241">
        <v>-258</v>
      </c>
      <c r="C10" s="241">
        <v>-777</v>
      </c>
      <c r="D10" s="241">
        <v>71</v>
      </c>
      <c r="E10" s="241">
        <v>-300</v>
      </c>
      <c r="F10" s="241">
        <v>1258</v>
      </c>
      <c r="G10" s="241">
        <v>-156</v>
      </c>
      <c r="H10" s="241">
        <v>-164</v>
      </c>
      <c r="I10" s="241">
        <v>21</v>
      </c>
      <c r="J10" s="241">
        <v>-957</v>
      </c>
      <c r="K10" s="241">
        <v>78</v>
      </c>
      <c r="L10" s="28" t="s">
        <v>903</v>
      </c>
      <c r="M10" t="s">
        <v>906</v>
      </c>
      <c r="N10"/>
      <c r="O10" s="31">
        <f>465+35</f>
        <v>500</v>
      </c>
      <c r="P10" s="32">
        <f>467-130</f>
        <v>337</v>
      </c>
      <c r="Q10" s="31">
        <f>396+32</f>
        <v>428</v>
      </c>
      <c r="R10" s="31">
        <f>343-130</f>
        <v>213</v>
      </c>
      <c r="S10" s="31">
        <f>389-381</f>
        <v>8</v>
      </c>
    </row>
    <row r="11" spans="1:19">
      <c r="A11" s="26" t="s">
        <v>323</v>
      </c>
      <c r="B11" s="241">
        <v>-847</v>
      </c>
      <c r="C11" s="241">
        <v>-494</v>
      </c>
      <c r="D11" s="241">
        <v>-226</v>
      </c>
      <c r="E11" s="241">
        <v>-267</v>
      </c>
      <c r="F11" s="241">
        <v>-381</v>
      </c>
      <c r="G11" s="241">
        <v>-432</v>
      </c>
      <c r="H11" s="241">
        <v>-360</v>
      </c>
      <c r="I11" s="273">
        <v>-370</v>
      </c>
      <c r="J11" s="274">
        <v>-369</v>
      </c>
      <c r="K11" s="241">
        <v>-415</v>
      </c>
      <c r="L11" s="28" t="s">
        <v>903</v>
      </c>
      <c r="M11" t="s">
        <v>323</v>
      </c>
      <c r="N11"/>
      <c r="O11" s="27">
        <v>1319</v>
      </c>
      <c r="P11" s="30">
        <f>2528</f>
        <v>2528</v>
      </c>
      <c r="Q11" s="27">
        <f>1720</f>
        <v>1720</v>
      </c>
      <c r="R11" s="27">
        <f>968</f>
        <v>968</v>
      </c>
      <c r="S11" s="27">
        <f>-270</f>
        <v>-270</v>
      </c>
    </row>
    <row r="12" spans="1:19">
      <c r="A12" s="26" t="s">
        <v>480</v>
      </c>
      <c r="B12" s="241">
        <v>3923</v>
      </c>
      <c r="C12" s="241">
        <v>2444</v>
      </c>
      <c r="D12" s="241">
        <v>1301</v>
      </c>
      <c r="E12" s="241">
        <v>933</v>
      </c>
      <c r="F12" s="241">
        <v>2784</v>
      </c>
      <c r="G12" s="241">
        <v>1221</v>
      </c>
      <c r="H12" s="241">
        <v>1210</v>
      </c>
      <c r="I12" s="241">
        <v>1688</v>
      </c>
      <c r="J12" s="241">
        <v>1336</v>
      </c>
      <c r="K12" s="241">
        <v>2084</v>
      </c>
      <c r="L12" s="28" t="s">
        <v>903</v>
      </c>
      <c r="M12" t="s">
        <v>87</v>
      </c>
      <c r="N12"/>
      <c r="O12" s="27">
        <v>3789</v>
      </c>
      <c r="P12" s="27">
        <v>5681</v>
      </c>
      <c r="Q12" s="27">
        <f>4928+24</f>
        <v>4952</v>
      </c>
      <c r="R12" s="27">
        <v>2700</v>
      </c>
      <c r="S12" s="27">
        <v>895</v>
      </c>
    </row>
    <row r="13" spans="1:19">
      <c r="B13" s="275">
        <f>SUM(B8:B11)</f>
        <v>3923</v>
      </c>
      <c r="C13" s="275">
        <f t="shared" ref="C13:K13" si="1">SUM(C8:C11)</f>
        <v>2444</v>
      </c>
      <c r="D13" s="275">
        <f t="shared" si="1"/>
        <v>1301</v>
      </c>
      <c r="E13" s="275">
        <f t="shared" si="1"/>
        <v>933</v>
      </c>
      <c r="F13" s="275">
        <f t="shared" si="1"/>
        <v>2784</v>
      </c>
      <c r="G13" s="275">
        <f t="shared" si="1"/>
        <v>1221</v>
      </c>
      <c r="H13" s="275">
        <f t="shared" si="1"/>
        <v>1210</v>
      </c>
      <c r="I13" s="275">
        <f t="shared" si="1"/>
        <v>1688</v>
      </c>
      <c r="J13" s="275">
        <f t="shared" si="1"/>
        <v>1336</v>
      </c>
      <c r="K13" s="275">
        <f t="shared" si="1"/>
        <v>2084</v>
      </c>
      <c r="L13"/>
      <c r="M13"/>
      <c r="N13"/>
      <c r="O13" s="24">
        <f t="shared" ref="O13:S13" si="2">O8-O10-O9-O11</f>
        <v>3789</v>
      </c>
      <c r="P13" s="24">
        <f t="shared" si="2"/>
        <v>5681</v>
      </c>
      <c r="Q13" s="24">
        <f t="shared" si="2"/>
        <v>4952</v>
      </c>
      <c r="R13" s="24">
        <f t="shared" si="2"/>
        <v>2700</v>
      </c>
      <c r="S13" s="24">
        <f t="shared" si="2"/>
        <v>895</v>
      </c>
    </row>
    <row r="14" spans="1:19" ht="15">
      <c r="A14" s="48" t="s">
        <v>907</v>
      </c>
      <c r="B14" s="276">
        <f>B12-B13</f>
        <v>0</v>
      </c>
      <c r="C14" s="276">
        <f>C12-C13</f>
        <v>0</v>
      </c>
      <c r="D14" s="276">
        <f t="shared" ref="D14:K14" si="3">D12-D13</f>
        <v>0</v>
      </c>
      <c r="E14" s="276">
        <f t="shared" si="3"/>
        <v>0</v>
      </c>
      <c r="F14" s="276">
        <f t="shared" si="3"/>
        <v>0</v>
      </c>
      <c r="G14" s="276">
        <f t="shared" si="3"/>
        <v>0</v>
      </c>
      <c r="H14" s="276">
        <f t="shared" si="3"/>
        <v>0</v>
      </c>
      <c r="I14" s="276">
        <f t="shared" si="3"/>
        <v>0</v>
      </c>
      <c r="J14" s="276">
        <f t="shared" si="3"/>
        <v>0</v>
      </c>
      <c r="K14" s="276">
        <f t="shared" si="3"/>
        <v>0</v>
      </c>
      <c r="L14"/>
      <c r="M14"/>
      <c r="N14"/>
      <c r="O14" s="34">
        <f t="shared" ref="O14:S14" si="4">O12-O13</f>
        <v>0</v>
      </c>
      <c r="P14" s="34">
        <f t="shared" si="4"/>
        <v>0</v>
      </c>
      <c r="Q14" s="34">
        <f t="shared" si="4"/>
        <v>0</v>
      </c>
      <c r="R14" s="34">
        <f t="shared" si="4"/>
        <v>0</v>
      </c>
      <c r="S14" s="34">
        <f t="shared" si="4"/>
        <v>0</v>
      </c>
    </row>
    <row r="15" spans="1:19">
      <c r="A15"/>
      <c r="B15" s="2"/>
      <c r="C15" s="280"/>
      <c r="D15" s="280"/>
      <c r="E15" s="280"/>
      <c r="F15" s="280"/>
      <c r="G15" s="280"/>
      <c r="H15" s="280"/>
      <c r="I15" s="280"/>
      <c r="J15" s="280"/>
      <c r="K15" s="280"/>
      <c r="L15"/>
      <c r="M15"/>
      <c r="N15"/>
      <c r="O15" s="27"/>
      <c r="P15" s="27"/>
      <c r="Q15" s="27"/>
      <c r="R15" s="27"/>
      <c r="S15" s="27"/>
    </row>
    <row r="16" spans="1:19">
      <c r="A16" s="26" t="s">
        <v>908</v>
      </c>
      <c r="B16" s="58">
        <v>569</v>
      </c>
      <c r="C16" s="277">
        <v>567</v>
      </c>
      <c r="D16" s="277">
        <v>565</v>
      </c>
      <c r="E16" s="277">
        <v>565</v>
      </c>
      <c r="F16" s="277">
        <v>564</v>
      </c>
      <c r="G16" s="277">
        <v>564</v>
      </c>
      <c r="H16" s="277">
        <v>564</v>
      </c>
      <c r="I16" s="278">
        <v>564</v>
      </c>
      <c r="J16" s="277">
        <v>564</v>
      </c>
      <c r="K16" s="277">
        <v>558</v>
      </c>
      <c r="L16" s="28"/>
      <c r="M16"/>
      <c r="N16"/>
      <c r="O16" s="27"/>
      <c r="P16" s="27"/>
      <c r="Q16" s="27"/>
      <c r="R16" s="27"/>
      <c r="S16" s="27"/>
    </row>
    <row r="17" spans="1:138">
      <c r="A17" s="26" t="s">
        <v>909</v>
      </c>
      <c r="B17" s="58">
        <v>577</v>
      </c>
      <c r="C17" s="277">
        <v>574</v>
      </c>
      <c r="D17" s="277">
        <v>567</v>
      </c>
      <c r="E17" s="277">
        <v>567</v>
      </c>
      <c r="F17" s="277">
        <v>565</v>
      </c>
      <c r="G17" s="277">
        <v>566</v>
      </c>
      <c r="H17" s="277">
        <v>565</v>
      </c>
      <c r="I17" s="278">
        <v>566</v>
      </c>
      <c r="J17" s="277">
        <v>566</v>
      </c>
      <c r="K17" s="277">
        <v>564</v>
      </c>
      <c r="L17" s="28"/>
      <c r="M17"/>
      <c r="N17"/>
      <c r="O17" s="27"/>
      <c r="P17" s="27"/>
      <c r="Q17" s="27"/>
      <c r="R17" s="27"/>
      <c r="S17" s="27"/>
    </row>
    <row r="18" spans="1:138" customFormat="1" ht="12.75">
      <c r="B18" s="2"/>
      <c r="C18" s="280"/>
      <c r="D18" s="280"/>
      <c r="E18" s="280"/>
      <c r="F18" s="280"/>
      <c r="G18" s="280"/>
      <c r="H18" s="280"/>
      <c r="I18" s="280"/>
      <c r="J18" s="280"/>
      <c r="K18" s="280"/>
    </row>
    <row r="19" spans="1:138">
      <c r="A19" s="26" t="s">
        <v>910</v>
      </c>
      <c r="B19" s="58">
        <v>-32</v>
      </c>
      <c r="C19" s="241">
        <v>195</v>
      </c>
      <c r="D19" s="241">
        <v>-134</v>
      </c>
      <c r="E19" s="241">
        <v>17</v>
      </c>
      <c r="F19" s="241">
        <v>111</v>
      </c>
      <c r="G19" s="241">
        <v>-199</v>
      </c>
      <c r="H19" s="241">
        <v>31</v>
      </c>
      <c r="I19" s="272">
        <v>-80</v>
      </c>
      <c r="J19" s="241">
        <v>219</v>
      </c>
      <c r="K19" s="241">
        <v>2</v>
      </c>
      <c r="L19" s="28"/>
      <c r="M19"/>
      <c r="N19"/>
      <c r="O19" s="27"/>
      <c r="P19" s="27"/>
      <c r="Q19" s="27"/>
      <c r="R19" s="27"/>
      <c r="S19" s="27"/>
    </row>
    <row r="20" spans="1:138" ht="15">
      <c r="A20" s="10" t="s">
        <v>911</v>
      </c>
      <c r="B20" s="27">
        <f>B19+B12</f>
        <v>3891</v>
      </c>
      <c r="C20" s="27">
        <f t="shared" ref="C20:K20" si="5">C19+C12</f>
        <v>2639</v>
      </c>
      <c r="D20" s="27">
        <f t="shared" si="5"/>
        <v>1167</v>
      </c>
      <c r="E20" s="27">
        <f t="shared" si="5"/>
        <v>950</v>
      </c>
      <c r="F20" s="27">
        <f t="shared" si="5"/>
        <v>2895</v>
      </c>
      <c r="G20" s="27">
        <f t="shared" si="5"/>
        <v>1022</v>
      </c>
      <c r="H20" s="27">
        <f t="shared" si="5"/>
        <v>1241</v>
      </c>
      <c r="I20" s="27">
        <f t="shared" si="5"/>
        <v>1608</v>
      </c>
      <c r="J20" s="27">
        <f t="shared" si="5"/>
        <v>1555</v>
      </c>
      <c r="K20" s="27">
        <f t="shared" si="5"/>
        <v>2086</v>
      </c>
      <c r="L20" s="28"/>
      <c r="M20"/>
      <c r="N20"/>
      <c r="O20" s="27"/>
      <c r="P20" s="27"/>
      <c r="Q20" s="27"/>
      <c r="R20" s="27"/>
      <c r="S20" s="27"/>
    </row>
    <row r="21" spans="1:138" customFormat="1" ht="12.75">
      <c r="B21" s="2"/>
      <c r="C21" s="280"/>
      <c r="D21" s="280"/>
      <c r="E21" s="280"/>
      <c r="F21" s="280"/>
      <c r="G21" s="280"/>
      <c r="H21" s="280"/>
      <c r="I21" s="280"/>
      <c r="J21" s="280"/>
      <c r="K21" s="280"/>
    </row>
    <row r="22" spans="1:138">
      <c r="A22" s="22" t="s">
        <v>695</v>
      </c>
      <c r="B22" s="275">
        <v>-1993</v>
      </c>
      <c r="C22" s="275">
        <v>-455</v>
      </c>
      <c r="D22" s="275">
        <v>187</v>
      </c>
      <c r="E22" s="275">
        <v>-754</v>
      </c>
      <c r="F22" s="275">
        <v>-764</v>
      </c>
      <c r="G22" s="275">
        <v>-37</v>
      </c>
      <c r="H22" s="275">
        <v>-306</v>
      </c>
      <c r="I22" s="275">
        <v>-626</v>
      </c>
      <c r="J22" s="275">
        <v>-1261</v>
      </c>
      <c r="K22" s="275">
        <v>-415</v>
      </c>
      <c r="L22" s="33" t="s">
        <v>912</v>
      </c>
      <c r="M22" t="s">
        <v>913</v>
      </c>
      <c r="N22"/>
      <c r="O22" s="27"/>
      <c r="P22" s="30"/>
      <c r="Q22" s="27"/>
      <c r="R22" s="27"/>
      <c r="S22" s="27"/>
    </row>
    <row r="23" spans="1:138">
      <c r="A23" s="26" t="s">
        <v>914</v>
      </c>
      <c r="B23" s="241">
        <f>B27-B42-B28</f>
        <v>-277</v>
      </c>
      <c r="C23" s="241">
        <f>C27-C42-C28</f>
        <v>-1632</v>
      </c>
      <c r="D23" s="241">
        <f t="shared" ref="D23:K23" si="6">D27-D42-D28</f>
        <v>-357</v>
      </c>
      <c r="E23" s="241">
        <f t="shared" si="6"/>
        <v>2102</v>
      </c>
      <c r="F23" s="241">
        <f t="shared" si="6"/>
        <v>1387</v>
      </c>
      <c r="G23" s="241">
        <f t="shared" si="6"/>
        <v>-189</v>
      </c>
      <c r="H23" s="241">
        <f t="shared" si="6"/>
        <v>2602</v>
      </c>
      <c r="I23" s="241">
        <f t="shared" si="6"/>
        <v>2346</v>
      </c>
      <c r="J23" s="241">
        <f t="shared" si="6"/>
        <v>2328</v>
      </c>
      <c r="K23" s="241">
        <f t="shared" si="6"/>
        <v>2485</v>
      </c>
      <c r="L23" s="33"/>
      <c r="M23"/>
      <c r="N23"/>
      <c r="O23" s="27"/>
      <c r="P23" s="30"/>
      <c r="Q23" s="27"/>
      <c r="R23" s="27"/>
      <c r="S23" s="27"/>
    </row>
    <row r="24" spans="1:138">
      <c r="A24" s="7">
        <v>2625</v>
      </c>
      <c r="B24" s="741"/>
      <c r="C24" s="741"/>
      <c r="D24" s="741"/>
      <c r="E24" s="741"/>
      <c r="F24" s="741"/>
      <c r="G24" s="741"/>
      <c r="H24" s="741"/>
      <c r="I24" s="741"/>
      <c r="J24" s="741"/>
      <c r="K24" s="741"/>
      <c r="L24" s="7"/>
      <c r="M24"/>
      <c r="N24"/>
      <c r="O24" s="27">
        <v>1111</v>
      </c>
      <c r="P24" s="27">
        <v>1617</v>
      </c>
      <c r="Q24" s="27">
        <v>1159</v>
      </c>
      <c r="R24" s="27">
        <v>1084</v>
      </c>
      <c r="S24" s="27">
        <v>1029</v>
      </c>
    </row>
    <row r="25" spans="1:138" ht="15">
      <c r="A25" s="48" t="s">
        <v>501</v>
      </c>
      <c r="B25" s="48"/>
      <c r="C25" s="281">
        <v>2625</v>
      </c>
      <c r="D25" s="281">
        <v>2625</v>
      </c>
      <c r="E25" s="281">
        <v>2625</v>
      </c>
      <c r="F25" s="281">
        <v>2625</v>
      </c>
      <c r="G25" s="281">
        <v>2625</v>
      </c>
      <c r="H25" s="281">
        <v>2625</v>
      </c>
      <c r="I25" s="281">
        <v>2625</v>
      </c>
      <c r="J25" s="281">
        <v>2625</v>
      </c>
      <c r="K25" s="281">
        <v>2625</v>
      </c>
      <c r="L25" s="7">
        <v>2625</v>
      </c>
      <c r="M25"/>
      <c r="N25"/>
      <c r="O25" s="27">
        <v>1776</v>
      </c>
      <c r="P25" s="27">
        <v>-244</v>
      </c>
      <c r="Q25" s="27">
        <v>-312</v>
      </c>
      <c r="R25" s="27">
        <v>-449</v>
      </c>
      <c r="S25" s="27">
        <v>-110</v>
      </c>
    </row>
    <row r="26" spans="1:138" ht="15">
      <c r="A26" s="95" t="s">
        <v>915</v>
      </c>
      <c r="B26" s="48"/>
      <c r="C26" s="317"/>
      <c r="D26" s="317"/>
      <c r="E26" s="317"/>
      <c r="F26" s="317"/>
      <c r="G26" s="317"/>
      <c r="H26" s="317"/>
      <c r="I26" s="317"/>
      <c r="J26" s="317"/>
      <c r="K26" s="317"/>
      <c r="L26" s="7">
        <v>1922</v>
      </c>
      <c r="M26" s="7">
        <v>2625</v>
      </c>
      <c r="N26"/>
      <c r="O26" s="27"/>
      <c r="P26" s="27"/>
      <c r="Q26" s="27"/>
      <c r="R26" s="27"/>
      <c r="S26" s="27"/>
    </row>
    <row r="27" spans="1:138" ht="15">
      <c r="A27" s="10" t="s">
        <v>916</v>
      </c>
      <c r="B27" s="48">
        <v>30368</v>
      </c>
      <c r="C27" s="240">
        <v>25384</v>
      </c>
      <c r="D27" s="240">
        <v>21206</v>
      </c>
      <c r="E27" s="240">
        <v>16801</v>
      </c>
      <c r="F27" s="240">
        <v>17278</v>
      </c>
      <c r="G27" s="240">
        <v>19678</v>
      </c>
      <c r="H27" s="240">
        <v>14433</v>
      </c>
      <c r="I27" s="240">
        <v>14358</v>
      </c>
      <c r="J27" s="240">
        <v>15928</v>
      </c>
      <c r="K27" s="240">
        <v>11826</v>
      </c>
      <c r="L27" s="7"/>
      <c r="M27" s="7"/>
      <c r="N27"/>
      <c r="O27" s="27"/>
      <c r="P27" s="27"/>
      <c r="Q27" s="27"/>
      <c r="R27" s="27"/>
      <c r="S27" s="27"/>
    </row>
    <row r="28" spans="1:138" ht="15">
      <c r="A28" s="92" t="s">
        <v>326</v>
      </c>
      <c r="B28" s="560">
        <v>18337</v>
      </c>
      <c r="C28" s="241">
        <v>16509</v>
      </c>
      <c r="D28" s="241">
        <v>13427</v>
      </c>
      <c r="E28" s="241">
        <v>8824</v>
      </c>
      <c r="F28" s="241">
        <v>9588</v>
      </c>
      <c r="G28" s="241">
        <v>13458</v>
      </c>
      <c r="H28" s="241">
        <v>7931</v>
      </c>
      <c r="I28" s="241">
        <v>7816</v>
      </c>
      <c r="J28" s="241">
        <v>8512</v>
      </c>
      <c r="K28" s="241">
        <v>6228</v>
      </c>
      <c r="L28" s="36" t="s">
        <v>917</v>
      </c>
      <c r="M28" t="s">
        <v>326</v>
      </c>
      <c r="N28"/>
      <c r="O28" s="35"/>
      <c r="P28" s="35"/>
      <c r="Q28" s="34"/>
      <c r="R28" s="34"/>
      <c r="S28" s="34"/>
    </row>
    <row r="29" spans="1:138" ht="15">
      <c r="A29" s="93" t="s">
        <v>703</v>
      </c>
      <c r="B29" s="562">
        <v>852</v>
      </c>
      <c r="C29" s="241">
        <v>733</v>
      </c>
      <c r="D29" s="241">
        <v>638</v>
      </c>
      <c r="E29" s="241">
        <v>803</v>
      </c>
      <c r="F29" s="241">
        <v>685</v>
      </c>
      <c r="G29" s="241">
        <v>582</v>
      </c>
      <c r="H29" s="241">
        <v>630</v>
      </c>
      <c r="I29" s="241">
        <v>649</v>
      </c>
      <c r="J29" s="241">
        <v>680</v>
      </c>
      <c r="K29" s="241">
        <v>600</v>
      </c>
      <c r="L29" s="36" t="s">
        <v>917</v>
      </c>
      <c r="M29" t="s">
        <v>703</v>
      </c>
      <c r="N29"/>
      <c r="O29" s="35"/>
      <c r="P29" s="35"/>
      <c r="Q29" s="34"/>
      <c r="R29" s="34"/>
      <c r="S29" s="34"/>
    </row>
    <row r="30" spans="1:138">
      <c r="A30" s="92" t="s">
        <v>328</v>
      </c>
      <c r="B30" s="560">
        <v>7096</v>
      </c>
      <c r="C30" s="241">
        <v>7099</v>
      </c>
      <c r="D30" s="241">
        <v>6319</v>
      </c>
      <c r="E30" s="241">
        <v>6658</v>
      </c>
      <c r="F30" s="241">
        <v>6186</v>
      </c>
      <c r="G30" s="241">
        <v>4943</v>
      </c>
      <c r="H30" s="241">
        <v>5302</v>
      </c>
      <c r="I30" s="241">
        <v>5345</v>
      </c>
      <c r="J30" s="241">
        <v>5438</v>
      </c>
      <c r="K30" s="241">
        <v>4455</v>
      </c>
      <c r="L30" s="36" t="s">
        <v>917</v>
      </c>
      <c r="M30" t="s">
        <v>328</v>
      </c>
      <c r="N30"/>
      <c r="O30" s="27">
        <v>6081</v>
      </c>
      <c r="P30" s="27">
        <v>5490</v>
      </c>
      <c r="Q30" s="27">
        <v>3057</v>
      </c>
      <c r="R30" s="27">
        <v>3592</v>
      </c>
      <c r="S30" s="27">
        <v>4867</v>
      </c>
    </row>
    <row r="31" spans="1:138" s="23" customFormat="1">
      <c r="A31" s="92" t="s">
        <v>918</v>
      </c>
      <c r="B31" s="241">
        <f t="shared" ref="B31:C31" si="7">B27-SUM(B28:B30)</f>
        <v>4083</v>
      </c>
      <c r="C31" s="241">
        <f t="shared" si="7"/>
        <v>1043</v>
      </c>
      <c r="D31" s="241">
        <f t="shared" ref="D31:K31" si="8">D27-SUM(D28:D30)</f>
        <v>822</v>
      </c>
      <c r="E31" s="241">
        <f t="shared" si="8"/>
        <v>516</v>
      </c>
      <c r="F31" s="241">
        <f t="shared" si="8"/>
        <v>819</v>
      </c>
      <c r="G31" s="241">
        <f t="shared" si="8"/>
        <v>695</v>
      </c>
      <c r="H31" s="241">
        <f t="shared" si="8"/>
        <v>570</v>
      </c>
      <c r="I31" s="241">
        <f t="shared" si="8"/>
        <v>548</v>
      </c>
      <c r="J31" s="241">
        <f t="shared" si="8"/>
        <v>1298</v>
      </c>
      <c r="K31" s="241">
        <f t="shared" si="8"/>
        <v>543</v>
      </c>
      <c r="L31" s="36" t="s">
        <v>917</v>
      </c>
      <c r="M31" t="s">
        <v>328</v>
      </c>
      <c r="N31"/>
      <c r="O31" s="31">
        <v>33499</v>
      </c>
      <c r="P31" s="31">
        <v>33911</v>
      </c>
      <c r="Q31" s="31">
        <v>31031</v>
      </c>
      <c r="R31" s="31">
        <v>28849</v>
      </c>
      <c r="S31" s="31">
        <v>27162</v>
      </c>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row>
    <row r="32" spans="1:138" s="23" customFormat="1" ht="15">
      <c r="A32" s="10" t="s">
        <v>919</v>
      </c>
      <c r="B32" s="240">
        <f t="shared" ref="B32:K32" si="9">B38-B27</f>
        <v>10519</v>
      </c>
      <c r="C32" s="240">
        <f t="shared" si="9"/>
        <v>14602</v>
      </c>
      <c r="D32" s="240">
        <f t="shared" si="9"/>
        <v>14153</v>
      </c>
      <c r="E32" s="240">
        <f t="shared" si="9"/>
        <v>13660</v>
      </c>
      <c r="F32" s="240">
        <f t="shared" si="9"/>
        <v>10761</v>
      </c>
      <c r="G32" s="240">
        <f t="shared" si="9"/>
        <v>5974</v>
      </c>
      <c r="H32" s="240">
        <f t="shared" si="9"/>
        <v>5727</v>
      </c>
      <c r="I32" s="240">
        <f t="shared" si="9"/>
        <v>5767</v>
      </c>
      <c r="J32" s="240">
        <f t="shared" si="9"/>
        <v>4522</v>
      </c>
      <c r="K32" s="240">
        <f t="shared" si="9"/>
        <v>4092</v>
      </c>
      <c r="L32" s="36"/>
      <c r="M32"/>
      <c r="N32"/>
      <c r="O32" s="31"/>
      <c r="P32" s="31"/>
      <c r="Q32" s="31"/>
      <c r="R32" s="31"/>
      <c r="S32" s="31"/>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row>
    <row r="33" spans="1:19">
      <c r="A33" s="94" t="s">
        <v>704</v>
      </c>
      <c r="B33" s="561">
        <v>6908</v>
      </c>
      <c r="C33" s="241">
        <v>6590</v>
      </c>
      <c r="D33" s="241">
        <v>5922</v>
      </c>
      <c r="E33" s="241">
        <v>5938</v>
      </c>
      <c r="F33" s="241">
        <v>2728</v>
      </c>
      <c r="G33" s="241">
        <v>2325</v>
      </c>
      <c r="H33" s="241">
        <v>2558</v>
      </c>
      <c r="I33" s="241">
        <v>2476</v>
      </c>
      <c r="J33" s="241">
        <v>2446</v>
      </c>
      <c r="K33" s="241">
        <v>1966</v>
      </c>
      <c r="L33" s="36"/>
      <c r="M33"/>
      <c r="N33"/>
      <c r="O33" s="27">
        <v>12625</v>
      </c>
      <c r="P33" s="27">
        <v>15547</v>
      </c>
      <c r="Q33" s="27">
        <v>14544</v>
      </c>
      <c r="R33" s="27">
        <v>9587</v>
      </c>
      <c r="S33" s="27">
        <v>6360</v>
      </c>
    </row>
    <row r="34" spans="1:19">
      <c r="A34" s="94" t="s">
        <v>920</v>
      </c>
      <c r="B34" s="561" t="s">
        <v>98</v>
      </c>
      <c r="C34" s="561" t="s">
        <v>98</v>
      </c>
      <c r="D34" s="561" t="s">
        <v>98</v>
      </c>
      <c r="E34" s="561" t="s">
        <v>98</v>
      </c>
      <c r="F34" s="561" t="s">
        <v>98</v>
      </c>
      <c r="G34" s="561" t="s">
        <v>98</v>
      </c>
      <c r="H34" s="561" t="s">
        <v>98</v>
      </c>
      <c r="I34" s="561" t="s">
        <v>98</v>
      </c>
      <c r="J34" s="561" t="s">
        <v>98</v>
      </c>
      <c r="K34" s="561" t="s">
        <v>98</v>
      </c>
      <c r="L34" s="36"/>
      <c r="M34"/>
      <c r="N34"/>
      <c r="O34" s="27"/>
      <c r="P34" s="27"/>
      <c r="Q34" s="27"/>
      <c r="R34" s="27"/>
      <c r="S34" s="27"/>
    </row>
    <row r="35" spans="1:19">
      <c r="A35" s="94" t="s">
        <v>921</v>
      </c>
      <c r="B35" s="561">
        <v>1208</v>
      </c>
      <c r="C35" s="241">
        <v>810</v>
      </c>
      <c r="D35" s="241">
        <v>1415</v>
      </c>
      <c r="E35" s="241">
        <v>720</v>
      </c>
      <c r="F35" s="241">
        <v>1017</v>
      </c>
      <c r="G35" s="241">
        <v>2102</v>
      </c>
      <c r="H35" s="241">
        <v>1469</v>
      </c>
      <c r="I35" s="241">
        <v>1481</v>
      </c>
      <c r="J35" s="241">
        <v>196</v>
      </c>
      <c r="K35" s="241">
        <v>367</v>
      </c>
      <c r="L35" s="36"/>
      <c r="M35"/>
      <c r="N35"/>
      <c r="O35" s="27"/>
      <c r="P35" s="27"/>
      <c r="Q35" s="27"/>
      <c r="R35" s="27"/>
      <c r="S35" s="27"/>
    </row>
    <row r="36" spans="1:19">
      <c r="A36" s="94" t="s">
        <v>922</v>
      </c>
      <c r="B36" s="241">
        <f>B32-SUM(B33:B35)</f>
        <v>2403</v>
      </c>
      <c r="C36" s="241">
        <f t="shared" ref="C36" si="10">C32-SUM(C33:C35)</f>
        <v>7202</v>
      </c>
      <c r="D36" s="241">
        <f t="shared" ref="D36" si="11">D32-SUM(D33:D35)</f>
        <v>6816</v>
      </c>
      <c r="E36" s="241">
        <f t="shared" ref="E36" si="12">E32-SUM(E33:E35)</f>
        <v>7002</v>
      </c>
      <c r="F36" s="241">
        <f>F32-SUM(F33:F35)</f>
        <v>7016</v>
      </c>
      <c r="G36" s="241">
        <f t="shared" ref="G36" si="13">G32-SUM(G33:G35)</f>
        <v>1547</v>
      </c>
      <c r="H36" s="241">
        <f t="shared" ref="H36" si="14">H32-SUM(H33:H35)</f>
        <v>1700</v>
      </c>
      <c r="I36" s="241">
        <f t="shared" ref="I36" si="15">I32-SUM(I33:I35)</f>
        <v>1810</v>
      </c>
      <c r="J36" s="241">
        <f t="shared" ref="J36" si="16">J32-SUM(J33:J35)</f>
        <v>1880</v>
      </c>
      <c r="K36" s="241">
        <f t="shared" ref="K36" si="17">K32-SUM(K33:K35)</f>
        <v>1759</v>
      </c>
      <c r="L36" s="36" t="s">
        <v>917</v>
      </c>
      <c r="M36" t="s">
        <v>704</v>
      </c>
      <c r="N36"/>
      <c r="O36" s="27"/>
      <c r="P36" s="27"/>
      <c r="Q36" s="27"/>
      <c r="R36" s="27"/>
      <c r="S36" s="27"/>
    </row>
    <row r="37" spans="1:19">
      <c r="A37" s="22" t="s">
        <v>705</v>
      </c>
      <c r="B37" s="275">
        <f>B31+B36</f>
        <v>6486</v>
      </c>
      <c r="C37" s="275">
        <f>C31+C36</f>
        <v>8245</v>
      </c>
      <c r="D37" s="275">
        <f>D31+D36</f>
        <v>7638</v>
      </c>
      <c r="E37" s="275">
        <f t="shared" ref="E37:K37" si="18">E31+E36</f>
        <v>7518</v>
      </c>
      <c r="F37" s="275">
        <f t="shared" si="18"/>
        <v>7835</v>
      </c>
      <c r="G37" s="275">
        <f t="shared" si="18"/>
        <v>2242</v>
      </c>
      <c r="H37" s="275">
        <f t="shared" si="18"/>
        <v>2270</v>
      </c>
      <c r="I37" s="275">
        <f t="shared" si="18"/>
        <v>2358</v>
      </c>
      <c r="J37" s="275">
        <f t="shared" si="18"/>
        <v>3178</v>
      </c>
      <c r="K37" s="275">
        <f t="shared" si="18"/>
        <v>2302</v>
      </c>
      <c r="L37" s="36" t="s">
        <v>917</v>
      </c>
      <c r="M37"/>
      <c r="N37"/>
      <c r="O37" s="27"/>
      <c r="P37" s="27"/>
      <c r="Q37" s="27"/>
      <c r="R37" s="27"/>
      <c r="S37" s="27"/>
    </row>
    <row r="38" spans="1:19" ht="15">
      <c r="A38" s="10" t="s">
        <v>62</v>
      </c>
      <c r="B38" s="48">
        <v>40887</v>
      </c>
      <c r="C38" s="240">
        <v>39986</v>
      </c>
      <c r="D38" s="240">
        <v>35359</v>
      </c>
      <c r="E38" s="240">
        <v>30461</v>
      </c>
      <c r="F38" s="240">
        <v>28039</v>
      </c>
      <c r="G38" s="240">
        <v>25652</v>
      </c>
      <c r="H38" s="240">
        <v>20160</v>
      </c>
      <c r="I38" s="240">
        <v>20125</v>
      </c>
      <c r="J38" s="240">
        <v>20450</v>
      </c>
      <c r="K38" s="240">
        <v>15918</v>
      </c>
      <c r="L38" s="36" t="s">
        <v>917</v>
      </c>
      <c r="M38" t="s">
        <v>62</v>
      </c>
      <c r="N38"/>
      <c r="O38" s="27">
        <v>17075</v>
      </c>
      <c r="P38" s="27">
        <v>16461</v>
      </c>
      <c r="Q38" s="27">
        <v>14395</v>
      </c>
      <c r="R38" s="27">
        <v>12539</v>
      </c>
      <c r="S38" s="27">
        <v>12386</v>
      </c>
    </row>
    <row r="39" spans="1:19">
      <c r="C39" s="275"/>
      <c r="D39" s="275"/>
      <c r="E39" s="275"/>
      <c r="F39" s="275"/>
      <c r="G39" s="275"/>
      <c r="H39" s="275"/>
      <c r="I39" s="275"/>
      <c r="J39" s="275"/>
      <c r="K39" s="275"/>
      <c r="L39" s="36" t="s">
        <v>917</v>
      </c>
      <c r="M39"/>
      <c r="N39"/>
      <c r="O39" s="24">
        <f t="shared" ref="O39:S39" si="19">O40-SUM(O30:O38)</f>
        <v>15616</v>
      </c>
      <c r="P39" s="24">
        <f t="shared" si="19"/>
        <v>17947</v>
      </c>
      <c r="Q39" s="24">
        <f t="shared" si="19"/>
        <v>18419</v>
      </c>
      <c r="R39" s="24">
        <f t="shared" si="19"/>
        <v>9453</v>
      </c>
      <c r="S39" s="24">
        <f t="shared" si="19"/>
        <v>9263</v>
      </c>
    </row>
    <row r="40" spans="1:19" ht="15">
      <c r="C40" s="275"/>
      <c r="D40" s="275"/>
      <c r="E40" s="275"/>
      <c r="F40" s="275"/>
      <c r="G40" s="275"/>
      <c r="H40" s="275"/>
      <c r="I40" s="275"/>
      <c r="J40" s="275"/>
      <c r="K40" s="275"/>
      <c r="L40" s="36" t="s">
        <v>917</v>
      </c>
      <c r="M40"/>
      <c r="N40"/>
      <c r="O40" s="37">
        <v>84896</v>
      </c>
      <c r="P40" s="37">
        <v>89356</v>
      </c>
      <c r="Q40" s="37">
        <v>81446</v>
      </c>
      <c r="R40" s="37">
        <v>64020</v>
      </c>
      <c r="S40" s="37">
        <v>60038</v>
      </c>
    </row>
    <row r="41" spans="1:19" ht="15">
      <c r="A41" s="95" t="s">
        <v>923</v>
      </c>
      <c r="B41" s="48"/>
      <c r="C41" s="240"/>
      <c r="D41" s="240"/>
      <c r="E41" s="240"/>
      <c r="F41" s="240"/>
      <c r="G41" s="240"/>
      <c r="H41" s="240"/>
      <c r="I41" s="240"/>
      <c r="J41" s="240"/>
      <c r="K41" s="240"/>
      <c r="L41" s="36" t="s">
        <v>917</v>
      </c>
      <c r="M41"/>
      <c r="N41"/>
      <c r="O41" s="29"/>
      <c r="P41" s="29"/>
      <c r="Q41" s="29"/>
      <c r="R41" s="29"/>
      <c r="S41" s="29"/>
    </row>
    <row r="42" spans="1:19" ht="15">
      <c r="A42" s="10" t="s">
        <v>332</v>
      </c>
      <c r="B42" s="34">
        <v>12308</v>
      </c>
      <c r="C42" s="240">
        <v>10507</v>
      </c>
      <c r="D42" s="240">
        <v>8136</v>
      </c>
      <c r="E42" s="240">
        <v>5875</v>
      </c>
      <c r="F42" s="240">
        <v>6303</v>
      </c>
      <c r="G42" s="240">
        <v>6409</v>
      </c>
      <c r="H42" s="240">
        <v>3900</v>
      </c>
      <c r="I42" s="240">
        <v>4196</v>
      </c>
      <c r="J42" s="240">
        <v>5088</v>
      </c>
      <c r="K42" s="240">
        <v>3113</v>
      </c>
      <c r="L42" s="36" t="s">
        <v>917</v>
      </c>
      <c r="M42" t="s">
        <v>332</v>
      </c>
      <c r="N42"/>
      <c r="O42" s="29"/>
      <c r="P42" s="29"/>
      <c r="Q42" s="29"/>
      <c r="R42" s="29"/>
      <c r="S42" s="29"/>
    </row>
    <row r="43" spans="1:19" ht="15">
      <c r="A43" s="92" t="s">
        <v>924</v>
      </c>
      <c r="B43" s="562">
        <v>1617</v>
      </c>
      <c r="C43" s="241">
        <v>2013</v>
      </c>
      <c r="D43" s="241">
        <v>1450</v>
      </c>
      <c r="E43" s="241">
        <v>1188</v>
      </c>
      <c r="F43" s="241">
        <v>1458</v>
      </c>
      <c r="G43" s="241">
        <v>888</v>
      </c>
      <c r="H43" s="241">
        <v>466</v>
      </c>
      <c r="I43" s="241">
        <v>487</v>
      </c>
      <c r="J43" s="241">
        <v>457</v>
      </c>
      <c r="K43" s="241">
        <v>526</v>
      </c>
      <c r="L43" s="36"/>
      <c r="M43"/>
      <c r="N43"/>
      <c r="O43" s="35"/>
      <c r="P43" s="35"/>
      <c r="Q43" s="34"/>
      <c r="R43" s="34"/>
      <c r="S43" s="34"/>
    </row>
    <row r="44" spans="1:19" s="10" customFormat="1" ht="15">
      <c r="A44" s="26" t="s">
        <v>707</v>
      </c>
      <c r="B44" s="27">
        <v>5833</v>
      </c>
      <c r="C44" s="241">
        <v>5309</v>
      </c>
      <c r="D44" s="241">
        <v>4097</v>
      </c>
      <c r="E44" s="241">
        <v>2477</v>
      </c>
      <c r="F44" s="241">
        <v>2713</v>
      </c>
      <c r="G44" s="241">
        <v>3897</v>
      </c>
      <c r="H44" s="241">
        <v>1685</v>
      </c>
      <c r="I44" s="241">
        <v>2021</v>
      </c>
      <c r="J44" s="241">
        <v>2502</v>
      </c>
      <c r="K44" s="241">
        <v>1175</v>
      </c>
      <c r="L44" s="36" t="s">
        <v>917</v>
      </c>
      <c r="M44" t="s">
        <v>925</v>
      </c>
      <c r="N44"/>
      <c r="O44" s="37">
        <v>27297</v>
      </c>
      <c r="P44" s="37">
        <v>29415</v>
      </c>
      <c r="Q44" s="37">
        <f>93+3895+8161+3386+2410+2691+298+1967+558+5102</f>
        <v>28561</v>
      </c>
      <c r="R44" s="37">
        <f>204+3852+5856+2880+1670+1831+281+1521+495+3430</f>
        <v>22020</v>
      </c>
      <c r="S44" s="37">
        <f>433+3650+2993+3351+797+1217+262+888+302+5399</f>
        <v>19292</v>
      </c>
    </row>
    <row r="45" spans="1:19" s="10" customFormat="1" ht="15">
      <c r="A45" s="26" t="s">
        <v>708</v>
      </c>
      <c r="B45" s="58">
        <v>645</v>
      </c>
      <c r="C45" s="241">
        <v>648</v>
      </c>
      <c r="D45" s="241">
        <v>590</v>
      </c>
      <c r="E45" s="241">
        <v>613</v>
      </c>
      <c r="F45" s="241">
        <v>363</v>
      </c>
      <c r="G45" s="241">
        <v>4</v>
      </c>
      <c r="H45" s="241">
        <v>53</v>
      </c>
      <c r="I45" s="241">
        <v>77</v>
      </c>
      <c r="J45" s="241">
        <v>186</v>
      </c>
      <c r="K45" s="241">
        <v>76</v>
      </c>
      <c r="L45" s="36"/>
      <c r="M45"/>
      <c r="N45"/>
      <c r="O45" s="37"/>
      <c r="P45" s="37"/>
      <c r="Q45" s="37"/>
      <c r="R45" s="37"/>
      <c r="S45" s="37"/>
    </row>
    <row r="46" spans="1:19">
      <c r="A46" s="92" t="s">
        <v>709</v>
      </c>
      <c r="B46" s="241">
        <f t="shared" ref="B46:C46" si="20">B42-SUM(B43:B45)</f>
        <v>4213</v>
      </c>
      <c r="C46" s="241">
        <f t="shared" si="20"/>
        <v>2537</v>
      </c>
      <c r="D46" s="241">
        <f t="shared" ref="D46:K46" si="21">D42-SUM(D43:D45)</f>
        <v>1999</v>
      </c>
      <c r="E46" s="241">
        <f t="shared" si="21"/>
        <v>1597</v>
      </c>
      <c r="F46" s="241">
        <f t="shared" si="21"/>
        <v>1769</v>
      </c>
      <c r="G46" s="241">
        <f>G42-SUM(G43:G45)</f>
        <v>1620</v>
      </c>
      <c r="H46" s="241">
        <f t="shared" si="21"/>
        <v>1696</v>
      </c>
      <c r="I46" s="241">
        <f t="shared" si="21"/>
        <v>1611</v>
      </c>
      <c r="J46" s="241">
        <f t="shared" si="21"/>
        <v>1943</v>
      </c>
      <c r="K46" s="241">
        <f t="shared" si="21"/>
        <v>1336</v>
      </c>
      <c r="L46" s="36" t="s">
        <v>917</v>
      </c>
      <c r="M46"/>
      <c r="N46"/>
      <c r="O46" s="31">
        <v>3679</v>
      </c>
      <c r="P46" s="31">
        <v>5287</v>
      </c>
      <c r="Q46" s="31">
        <v>5660</v>
      </c>
      <c r="R46" s="31">
        <v>3925</v>
      </c>
      <c r="S46" s="31">
        <v>5701</v>
      </c>
    </row>
    <row r="47" spans="1:19" ht="15">
      <c r="A47" s="10" t="s">
        <v>710</v>
      </c>
      <c r="B47" s="240">
        <f t="shared" ref="B47:K47" si="22">B51-B42</f>
        <v>9620</v>
      </c>
      <c r="C47" s="240">
        <f t="shared" si="22"/>
        <v>9665</v>
      </c>
      <c r="D47" s="240">
        <f t="shared" si="22"/>
        <v>9449</v>
      </c>
      <c r="E47" s="240">
        <f t="shared" si="22"/>
        <v>7450</v>
      </c>
      <c r="F47" s="240">
        <f t="shared" si="22"/>
        <v>4785</v>
      </c>
      <c r="G47" s="240">
        <f t="shared" si="22"/>
        <v>4612</v>
      </c>
      <c r="H47" s="240">
        <f t="shared" si="22"/>
        <v>731</v>
      </c>
      <c r="I47" s="240">
        <f t="shared" si="22"/>
        <v>882</v>
      </c>
      <c r="J47" s="240">
        <f t="shared" si="22"/>
        <v>941</v>
      </c>
      <c r="K47" s="240">
        <f t="shared" si="22"/>
        <v>841</v>
      </c>
      <c r="L47" s="36" t="s">
        <v>917</v>
      </c>
      <c r="M47" t="s">
        <v>926</v>
      </c>
      <c r="N47"/>
      <c r="O47" s="31"/>
      <c r="P47" s="31"/>
      <c r="Q47" s="31"/>
      <c r="R47" s="31"/>
      <c r="S47" s="31"/>
    </row>
    <row r="48" spans="1:19">
      <c r="A48" s="26" t="s">
        <v>711</v>
      </c>
      <c r="B48" s="27">
        <v>5954</v>
      </c>
      <c r="C48" s="241">
        <v>5948</v>
      </c>
      <c r="D48" s="241">
        <v>5937</v>
      </c>
      <c r="E48" s="241">
        <v>3951</v>
      </c>
      <c r="F48" s="241">
        <v>3948</v>
      </c>
      <c r="G48" s="241">
        <v>4263</v>
      </c>
      <c r="H48" s="241">
        <v>374</v>
      </c>
      <c r="I48" s="241">
        <v>351</v>
      </c>
      <c r="J48" s="241">
        <v>376</v>
      </c>
      <c r="K48" s="241">
        <v>294</v>
      </c>
      <c r="L48" s="36" t="s">
        <v>917</v>
      </c>
      <c r="M48" t="s">
        <v>927</v>
      </c>
      <c r="N48"/>
      <c r="O48" s="24">
        <f t="shared" ref="O48:S48" si="23">O44-O46</f>
        <v>23618</v>
      </c>
      <c r="P48" s="24">
        <f t="shared" si="23"/>
        <v>24128</v>
      </c>
      <c r="Q48" s="24">
        <f t="shared" si="23"/>
        <v>22901</v>
      </c>
      <c r="R48" s="24">
        <f t="shared" si="23"/>
        <v>18095</v>
      </c>
      <c r="S48" s="24">
        <f t="shared" si="23"/>
        <v>13591</v>
      </c>
    </row>
    <row r="49" spans="1:19" s="10" customFormat="1" ht="15">
      <c r="A49" s="26" t="s">
        <v>712</v>
      </c>
      <c r="B49" s="27">
        <v>3239</v>
      </c>
      <c r="C49" s="241">
        <v>3101</v>
      </c>
      <c r="D49" s="241">
        <v>2927</v>
      </c>
      <c r="E49" s="241">
        <v>2702</v>
      </c>
      <c r="F49" s="241">
        <v>36</v>
      </c>
      <c r="G49" s="241">
        <v>25</v>
      </c>
      <c r="H49" s="241">
        <v>28</v>
      </c>
      <c r="I49" s="241">
        <v>28</v>
      </c>
      <c r="J49" s="241">
        <v>29</v>
      </c>
      <c r="K49" s="241">
        <v>24</v>
      </c>
      <c r="L49" s="36"/>
      <c r="M49"/>
      <c r="N49"/>
      <c r="O49" s="37">
        <v>36721</v>
      </c>
      <c r="P49" s="37">
        <v>41973</v>
      </c>
      <c r="Q49" s="37">
        <f>8415+16529+10956+3583</f>
        <v>39483</v>
      </c>
      <c r="R49" s="37">
        <f>4505+15932+7584+2654</f>
        <v>30675</v>
      </c>
      <c r="S49" s="37">
        <f>5652+16195+7420+2179</f>
        <v>31446</v>
      </c>
    </row>
    <row r="50" spans="1:19">
      <c r="A50" s="92" t="s">
        <v>713</v>
      </c>
      <c r="B50" s="241">
        <f t="shared" ref="B50:C50" si="24">B47-SUM(B48:B49)</f>
        <v>427</v>
      </c>
      <c r="C50" s="241">
        <f t="shared" si="24"/>
        <v>616</v>
      </c>
      <c r="D50" s="241">
        <f t="shared" ref="D50:K50" si="25">D47-SUM(D48:D49)</f>
        <v>585</v>
      </c>
      <c r="E50" s="241">
        <f t="shared" si="25"/>
        <v>797</v>
      </c>
      <c r="F50" s="241">
        <f t="shared" si="25"/>
        <v>801</v>
      </c>
      <c r="G50" s="241">
        <f t="shared" si="25"/>
        <v>324</v>
      </c>
      <c r="H50" s="241">
        <f t="shared" si="25"/>
        <v>329</v>
      </c>
      <c r="I50" s="241">
        <f t="shared" si="25"/>
        <v>503</v>
      </c>
      <c r="J50" s="241">
        <f t="shared" si="25"/>
        <v>536</v>
      </c>
      <c r="K50" s="241">
        <f t="shared" si="25"/>
        <v>523</v>
      </c>
      <c r="L50" s="36" t="s">
        <v>917</v>
      </c>
      <c r="M50" t="s">
        <v>928</v>
      </c>
      <c r="N50"/>
      <c r="O50" s="27">
        <v>26719</v>
      </c>
      <c r="P50" s="27">
        <v>27752</v>
      </c>
      <c r="Q50" s="27">
        <v>24944</v>
      </c>
      <c r="R50" s="27">
        <v>20437</v>
      </c>
      <c r="S50" s="27">
        <v>21847</v>
      </c>
    </row>
    <row r="51" spans="1:19" ht="15">
      <c r="A51" s="10" t="s">
        <v>68</v>
      </c>
      <c r="B51" s="34">
        <v>21928</v>
      </c>
      <c r="C51" s="240">
        <v>20172</v>
      </c>
      <c r="D51" s="240">
        <v>17585</v>
      </c>
      <c r="E51" s="240">
        <v>13325</v>
      </c>
      <c r="F51" s="240">
        <v>11088</v>
      </c>
      <c r="G51" s="240">
        <v>11021</v>
      </c>
      <c r="H51" s="240">
        <v>4631</v>
      </c>
      <c r="I51" s="240">
        <v>5078</v>
      </c>
      <c r="J51" s="240">
        <v>6029</v>
      </c>
      <c r="K51" s="240">
        <v>3954</v>
      </c>
      <c r="L51" s="36" t="s">
        <v>917</v>
      </c>
      <c r="M51" t="s">
        <v>68</v>
      </c>
      <c r="N51"/>
      <c r="O51" s="27"/>
      <c r="P51" s="27"/>
      <c r="Q51" s="27"/>
      <c r="R51" s="27"/>
      <c r="S51" s="27"/>
    </row>
    <row r="52" spans="1:19">
      <c r="C52" s="275"/>
      <c r="D52" s="275"/>
      <c r="E52" s="275"/>
      <c r="F52" s="275"/>
      <c r="G52" s="275"/>
      <c r="H52" s="275"/>
      <c r="I52" s="275"/>
      <c r="J52" s="275"/>
      <c r="K52" s="275"/>
      <c r="L52" s="36" t="s">
        <v>917</v>
      </c>
      <c r="M52"/>
      <c r="N52"/>
      <c r="O52" s="24">
        <f t="shared" ref="O52:S52" si="26">O49-O50</f>
        <v>10002</v>
      </c>
      <c r="P52" s="24">
        <f t="shared" si="26"/>
        <v>14221</v>
      </c>
      <c r="Q52" s="24">
        <f t="shared" si="26"/>
        <v>14539</v>
      </c>
      <c r="R52" s="24">
        <f t="shared" si="26"/>
        <v>10238</v>
      </c>
      <c r="S52" s="24">
        <f t="shared" si="26"/>
        <v>9599</v>
      </c>
    </row>
    <row r="53" spans="1:19" s="10" customFormat="1" ht="15">
      <c r="A53" s="22"/>
      <c r="B53" s="559"/>
      <c r="C53" s="275"/>
      <c r="D53" s="275"/>
      <c r="E53" s="275"/>
      <c r="F53" s="275"/>
      <c r="G53" s="275"/>
      <c r="H53" s="275"/>
      <c r="I53" s="275"/>
      <c r="J53" s="275"/>
      <c r="K53" s="275"/>
      <c r="L53" s="36" t="s">
        <v>917</v>
      </c>
      <c r="M53"/>
      <c r="N53"/>
      <c r="O53" s="34">
        <f>O44+O49</f>
        <v>64018</v>
      </c>
      <c r="P53" s="34">
        <f>P49+P44</f>
        <v>71388</v>
      </c>
      <c r="Q53" s="34">
        <f>Q49+Q44</f>
        <v>68044</v>
      </c>
      <c r="R53" s="34">
        <f>R49+R44</f>
        <v>52695</v>
      </c>
      <c r="S53" s="34">
        <f>S49+S44</f>
        <v>50738</v>
      </c>
    </row>
    <row r="54" spans="1:19" ht="15">
      <c r="A54" s="38" t="s">
        <v>715</v>
      </c>
      <c r="B54" s="563">
        <v>60</v>
      </c>
      <c r="C54" s="279">
        <v>49</v>
      </c>
      <c r="D54" s="279">
        <v>110</v>
      </c>
      <c r="E54" s="279">
        <v>123</v>
      </c>
      <c r="F54" s="279">
        <v>88</v>
      </c>
      <c r="G54" s="279">
        <v>7</v>
      </c>
      <c r="H54" s="279">
        <v>0</v>
      </c>
      <c r="I54" s="279">
        <v>0</v>
      </c>
      <c r="J54" s="279">
        <v>-1</v>
      </c>
      <c r="K54" s="279">
        <v>-6</v>
      </c>
      <c r="L54" s="36" t="s">
        <v>917</v>
      </c>
      <c r="M54" t="s">
        <v>715</v>
      </c>
      <c r="N54"/>
    </row>
    <row r="55" spans="1:19">
      <c r="C55" s="275"/>
      <c r="D55" s="275"/>
      <c r="E55" s="275"/>
      <c r="F55" s="275"/>
      <c r="G55" s="275"/>
      <c r="H55" s="275"/>
      <c r="I55" s="275"/>
      <c r="J55" s="275"/>
      <c r="K55" s="275"/>
      <c r="L55" s="36" t="s">
        <v>917</v>
      </c>
      <c r="M55"/>
      <c r="N55"/>
    </row>
    <row r="56" spans="1:19" s="10" customFormat="1" ht="15">
      <c r="A56" s="10" t="s">
        <v>716</v>
      </c>
      <c r="B56" s="240">
        <f t="shared" ref="B56:K56" si="27">B38-B51</f>
        <v>18959</v>
      </c>
      <c r="C56" s="240">
        <f t="shared" si="27"/>
        <v>19814</v>
      </c>
      <c r="D56" s="240">
        <f t="shared" si="27"/>
        <v>17774</v>
      </c>
      <c r="E56" s="240">
        <f t="shared" si="27"/>
        <v>17136</v>
      </c>
      <c r="F56" s="240">
        <f t="shared" si="27"/>
        <v>16951</v>
      </c>
      <c r="G56" s="240">
        <f t="shared" si="27"/>
        <v>14631</v>
      </c>
      <c r="H56" s="240">
        <f t="shared" si="27"/>
        <v>15529</v>
      </c>
      <c r="I56" s="240">
        <f t="shared" si="27"/>
        <v>15047</v>
      </c>
      <c r="J56" s="240">
        <f t="shared" si="27"/>
        <v>14421</v>
      </c>
      <c r="K56" s="240">
        <f t="shared" si="27"/>
        <v>11964</v>
      </c>
      <c r="L56" s="36" t="s">
        <v>917</v>
      </c>
      <c r="M56"/>
      <c r="N56"/>
    </row>
    <row r="57" spans="1:19" ht="15">
      <c r="A57" s="10"/>
      <c r="B57" s="48"/>
      <c r="C57" s="240"/>
      <c r="D57" s="240"/>
      <c r="E57" s="240"/>
      <c r="F57" s="240"/>
      <c r="G57" s="240"/>
      <c r="H57" s="240"/>
      <c r="I57" s="240"/>
      <c r="J57" s="240"/>
      <c r="K57" s="240"/>
      <c r="L57" s="36"/>
      <c r="M57"/>
      <c r="N57"/>
    </row>
    <row r="58" spans="1:19" ht="15">
      <c r="A58" s="48" t="s">
        <v>929</v>
      </c>
      <c r="B58" s="564"/>
      <c r="C58" s="564"/>
      <c r="D58" s="564"/>
      <c r="E58" s="240"/>
      <c r="F58" s="240"/>
      <c r="G58" s="240"/>
      <c r="H58" s="240"/>
      <c r="I58" s="240"/>
      <c r="J58" s="240"/>
      <c r="K58" s="240"/>
      <c r="L58" s="36"/>
      <c r="M58"/>
      <c r="N58"/>
    </row>
    <row r="59" spans="1:19" ht="15">
      <c r="A59" s="10" t="s">
        <v>150</v>
      </c>
      <c r="B59" s="564">
        <v>4491</v>
      </c>
      <c r="C59" s="564">
        <v>4638</v>
      </c>
      <c r="D59" s="564">
        <v>3218</v>
      </c>
      <c r="E59" s="564">
        <v>2370</v>
      </c>
      <c r="F59" s="564">
        <v>2026</v>
      </c>
      <c r="G59" s="564">
        <v>2384</v>
      </c>
      <c r="H59" s="564">
        <v>1619</v>
      </c>
      <c r="I59" s="564">
        <v>1964</v>
      </c>
      <c r="J59" s="564">
        <v>1704</v>
      </c>
      <c r="K59" s="564">
        <v>2494</v>
      </c>
      <c r="L59" s="36"/>
      <c r="M59"/>
      <c r="N59"/>
    </row>
    <row r="60" spans="1:19">
      <c r="A60" s="26" t="s">
        <v>87</v>
      </c>
      <c r="B60" s="241">
        <f t="shared" ref="B60:K60" si="28">B12</f>
        <v>3923</v>
      </c>
      <c r="C60" s="241">
        <f t="shared" si="28"/>
        <v>2444</v>
      </c>
      <c r="D60" s="241">
        <f t="shared" si="28"/>
        <v>1301</v>
      </c>
      <c r="E60" s="241">
        <f t="shared" si="28"/>
        <v>933</v>
      </c>
      <c r="F60" s="241">
        <f t="shared" si="28"/>
        <v>2784</v>
      </c>
      <c r="G60" s="241">
        <f t="shared" si="28"/>
        <v>1221</v>
      </c>
      <c r="H60" s="241">
        <f t="shared" si="28"/>
        <v>1210</v>
      </c>
      <c r="I60" s="241">
        <f t="shared" si="28"/>
        <v>1688</v>
      </c>
      <c r="J60" s="241">
        <f t="shared" si="28"/>
        <v>1336</v>
      </c>
      <c r="K60" s="241">
        <f t="shared" si="28"/>
        <v>2084</v>
      </c>
      <c r="L60" s="36"/>
      <c r="M60"/>
      <c r="N60"/>
    </row>
    <row r="61" spans="1:19">
      <c r="A61" s="92" t="s">
        <v>78</v>
      </c>
      <c r="B61" s="562">
        <v>1472</v>
      </c>
      <c r="C61" s="241">
        <v>1550</v>
      </c>
      <c r="D61" s="241">
        <v>1518</v>
      </c>
      <c r="E61" s="241">
        <v>1488</v>
      </c>
      <c r="F61" s="241">
        <v>808</v>
      </c>
      <c r="G61" s="241">
        <v>537</v>
      </c>
      <c r="H61" s="241">
        <v>561</v>
      </c>
      <c r="I61" s="241">
        <v>550</v>
      </c>
      <c r="J61" s="241">
        <v>501</v>
      </c>
      <c r="K61" s="241">
        <v>429</v>
      </c>
      <c r="L61" s="36"/>
      <c r="M61"/>
      <c r="N61"/>
    </row>
    <row r="62" spans="1:19">
      <c r="A62" s="92" t="s">
        <v>930</v>
      </c>
      <c r="B62" s="562">
        <v>-1993</v>
      </c>
      <c r="C62" s="241">
        <v>-455</v>
      </c>
      <c r="D62" s="241">
        <v>187</v>
      </c>
      <c r="E62" s="241">
        <v>-754</v>
      </c>
      <c r="F62" s="241">
        <v>-764</v>
      </c>
      <c r="G62" s="241">
        <v>-37</v>
      </c>
      <c r="H62" s="241">
        <v>-306</v>
      </c>
      <c r="I62" s="241">
        <v>-626</v>
      </c>
      <c r="J62" s="241">
        <v>-1261</v>
      </c>
      <c r="K62" s="241">
        <v>-415</v>
      </c>
      <c r="L62" s="36"/>
      <c r="M62"/>
      <c r="N62"/>
    </row>
    <row r="63" spans="1:19">
      <c r="A63" s="92" t="s">
        <v>931</v>
      </c>
      <c r="B63" s="241">
        <f t="shared" ref="B63:C63" si="29">B59-B60-B61-B62</f>
        <v>1089</v>
      </c>
      <c r="C63" s="241">
        <f t="shared" si="29"/>
        <v>1099</v>
      </c>
      <c r="D63" s="241">
        <f t="shared" ref="D63" si="30">D59-D60-D61-D62</f>
        <v>212</v>
      </c>
      <c r="E63" s="241">
        <f>E59-E60-E61-E62</f>
        <v>703</v>
      </c>
      <c r="F63" s="241">
        <f t="shared" ref="F63:K63" si="31">F59-F60-F61-F62</f>
        <v>-802</v>
      </c>
      <c r="G63" s="241">
        <f t="shared" si="31"/>
        <v>663</v>
      </c>
      <c r="H63" s="241">
        <f t="shared" si="31"/>
        <v>154</v>
      </c>
      <c r="I63" s="241">
        <f t="shared" si="31"/>
        <v>352</v>
      </c>
      <c r="J63" s="241">
        <f t="shared" si="31"/>
        <v>1128</v>
      </c>
      <c r="K63" s="241">
        <f t="shared" si="31"/>
        <v>396</v>
      </c>
      <c r="L63" s="36"/>
      <c r="M63"/>
      <c r="N63"/>
    </row>
    <row r="64" spans="1:19" ht="15">
      <c r="A64" s="10" t="s">
        <v>151</v>
      </c>
      <c r="B64" s="564">
        <v>-2073</v>
      </c>
      <c r="C64" s="240">
        <v>-2278</v>
      </c>
      <c r="D64" s="240">
        <v>-2195</v>
      </c>
      <c r="E64" s="240">
        <v>-826</v>
      </c>
      <c r="F64" s="240">
        <v>-2838</v>
      </c>
      <c r="G64" s="240">
        <v>-3299</v>
      </c>
      <c r="H64" s="240">
        <v>-475</v>
      </c>
      <c r="I64" s="240">
        <v>-1287</v>
      </c>
      <c r="J64" s="240">
        <v>-343</v>
      </c>
      <c r="K64" s="240">
        <v>-846</v>
      </c>
      <c r="L64" s="36"/>
      <c r="M64"/>
      <c r="N64"/>
    </row>
    <row r="65" spans="1:14">
      <c r="A65" s="92" t="s">
        <v>152</v>
      </c>
      <c r="B65" s="560">
        <v>-984</v>
      </c>
      <c r="C65" s="241">
        <v>-875</v>
      </c>
      <c r="D65" s="241">
        <v>-513</v>
      </c>
      <c r="E65" s="241">
        <v>-737</v>
      </c>
      <c r="F65" s="241">
        <v>-826</v>
      </c>
      <c r="G65" s="241">
        <v>-487</v>
      </c>
      <c r="H65" s="241">
        <v>-599</v>
      </c>
      <c r="I65" s="241">
        <v>-710</v>
      </c>
      <c r="J65" s="241">
        <v>-708</v>
      </c>
      <c r="K65" s="241">
        <v>-675</v>
      </c>
      <c r="L65" s="36"/>
      <c r="M65"/>
      <c r="N65"/>
    </row>
    <row r="66" spans="1:14">
      <c r="A66" s="92" t="s">
        <v>153</v>
      </c>
      <c r="B66" s="562">
        <v>-1045</v>
      </c>
      <c r="C66" s="241">
        <v>-1175</v>
      </c>
      <c r="D66" s="241">
        <v>-1315</v>
      </c>
      <c r="E66" s="241">
        <v>-70</v>
      </c>
      <c r="F66" s="241">
        <v>-1993</v>
      </c>
      <c r="G66" s="241">
        <v>-2201</v>
      </c>
      <c r="H66" s="241">
        <v>146</v>
      </c>
      <c r="I66" s="241">
        <v>-550</v>
      </c>
      <c r="J66" s="241">
        <v>414</v>
      </c>
      <c r="K66" s="241">
        <v>-136</v>
      </c>
      <c r="L66" s="36"/>
      <c r="M66"/>
      <c r="N66"/>
    </row>
    <row r="67" spans="1:14">
      <c r="A67" s="92" t="s">
        <v>932</v>
      </c>
      <c r="B67" s="241">
        <f>B64-B65-B66</f>
        <v>-44</v>
      </c>
      <c r="C67" s="241">
        <f>C64-C65-C66</f>
        <v>-228</v>
      </c>
      <c r="D67" s="241">
        <f>D64-D65-D66</f>
        <v>-367</v>
      </c>
      <c r="E67" s="241">
        <f>E64-E65-E66</f>
        <v>-19</v>
      </c>
      <c r="F67" s="241">
        <f t="shared" ref="F67" si="32">F64-F65-F66</f>
        <v>-19</v>
      </c>
      <c r="G67" s="241">
        <f t="shared" ref="G67:K67" si="33">G64-G65-G66</f>
        <v>-611</v>
      </c>
      <c r="H67" s="241">
        <f t="shared" si="33"/>
        <v>-22</v>
      </c>
      <c r="I67" s="241">
        <f t="shared" si="33"/>
        <v>-27</v>
      </c>
      <c r="J67" s="241">
        <f t="shared" si="33"/>
        <v>-49</v>
      </c>
      <c r="K67" s="241">
        <f t="shared" si="33"/>
        <v>-35</v>
      </c>
      <c r="L67" s="36"/>
      <c r="M67"/>
      <c r="N67"/>
    </row>
    <row r="68" spans="1:14" ht="15">
      <c r="A68" s="10" t="s">
        <v>154</v>
      </c>
      <c r="B68" s="564">
        <v>-2318</v>
      </c>
      <c r="C68" s="240">
        <v>-1767</v>
      </c>
      <c r="D68" s="240">
        <v>906</v>
      </c>
      <c r="E68" s="240">
        <v>-1923</v>
      </c>
      <c r="F68" s="240">
        <v>-1456</v>
      </c>
      <c r="G68" s="240">
        <v>2853</v>
      </c>
      <c r="H68" s="240">
        <v>-958</v>
      </c>
      <c r="I68" s="240">
        <v>-1201</v>
      </c>
      <c r="J68" s="240">
        <v>-642</v>
      </c>
      <c r="K68" s="240">
        <v>-426</v>
      </c>
      <c r="L68" s="36"/>
      <c r="M68"/>
      <c r="N68"/>
    </row>
    <row r="69" spans="1:14">
      <c r="A69" s="92" t="s">
        <v>933</v>
      </c>
      <c r="B69" s="560">
        <v>4</v>
      </c>
      <c r="C69" s="241">
        <v>1</v>
      </c>
      <c r="D69" s="241">
        <v>2072</v>
      </c>
      <c r="E69" s="241">
        <v>0</v>
      </c>
      <c r="F69" s="241">
        <v>11</v>
      </c>
      <c r="G69" s="241">
        <v>3992</v>
      </c>
      <c r="H69" s="241">
        <v>101</v>
      </c>
      <c r="I69" s="241">
        <v>105</v>
      </c>
      <c r="J69" s="241">
        <v>160</v>
      </c>
      <c r="K69" s="241">
        <v>58</v>
      </c>
      <c r="L69" s="36"/>
      <c r="M69"/>
      <c r="N69"/>
    </row>
    <row r="70" spans="1:14">
      <c r="A70" s="92" t="s">
        <v>934</v>
      </c>
      <c r="B70" s="560">
        <v>-694</v>
      </c>
      <c r="C70" s="241">
        <v>-648</v>
      </c>
      <c r="D70" s="241">
        <v>-646</v>
      </c>
      <c r="E70" s="241">
        <v>-953</v>
      </c>
      <c r="F70" s="241">
        <v>-329</v>
      </c>
      <c r="G70" s="241">
        <v>-84</v>
      </c>
      <c r="H70" s="241">
        <v>-133</v>
      </c>
      <c r="I70" s="241">
        <v>-206</v>
      </c>
      <c r="J70" s="241">
        <v>-87</v>
      </c>
      <c r="K70" s="241">
        <v>-123</v>
      </c>
      <c r="L70" s="36"/>
      <c r="M70"/>
      <c r="N70"/>
    </row>
    <row r="71" spans="1:14">
      <c r="A71" s="92" t="s">
        <v>935</v>
      </c>
      <c r="B71" s="560" t="s">
        <v>98</v>
      </c>
      <c r="C71" s="560" t="s">
        <v>98</v>
      </c>
      <c r="D71" s="560" t="s">
        <v>98</v>
      </c>
      <c r="E71" s="560" t="s">
        <v>98</v>
      </c>
      <c r="F71" s="560" t="s">
        <v>98</v>
      </c>
      <c r="G71" s="560" t="s">
        <v>98</v>
      </c>
      <c r="H71" s="560" t="s">
        <v>98</v>
      </c>
      <c r="I71" s="560" t="s">
        <v>98</v>
      </c>
      <c r="J71" s="560" t="s">
        <v>98</v>
      </c>
      <c r="K71" s="560" t="s">
        <v>98</v>
      </c>
      <c r="L71" s="36"/>
      <c r="M71"/>
      <c r="N71"/>
    </row>
    <row r="72" spans="1:14">
      <c r="A72" s="92" t="s">
        <v>936</v>
      </c>
      <c r="B72" s="560" t="s">
        <v>98</v>
      </c>
      <c r="C72" s="560" t="s">
        <v>98</v>
      </c>
      <c r="D72" s="560" t="s">
        <v>98</v>
      </c>
      <c r="E72" s="560" t="s">
        <v>98</v>
      </c>
      <c r="F72" s="560" t="s">
        <v>98</v>
      </c>
      <c r="G72" s="560" t="s">
        <v>98</v>
      </c>
      <c r="H72" s="560" t="s">
        <v>98</v>
      </c>
      <c r="I72" s="560" t="s">
        <v>98</v>
      </c>
      <c r="J72" s="560" t="s">
        <v>98</v>
      </c>
      <c r="K72" s="560" t="s">
        <v>98</v>
      </c>
      <c r="L72" s="36"/>
      <c r="M72"/>
      <c r="N72"/>
    </row>
    <row r="73" spans="1:14">
      <c r="A73" s="92" t="s">
        <v>155</v>
      </c>
      <c r="B73" s="562">
        <v>-1851</v>
      </c>
      <c r="C73" s="241">
        <v>-1041</v>
      </c>
      <c r="D73" s="241">
        <v>-529</v>
      </c>
      <c r="E73" s="241">
        <v>-1017</v>
      </c>
      <c r="F73" s="241">
        <v>-926</v>
      </c>
      <c r="G73" s="241">
        <v>-918</v>
      </c>
      <c r="H73" s="241">
        <v>-878</v>
      </c>
      <c r="I73" s="272">
        <v>-854</v>
      </c>
      <c r="J73" s="241">
        <v>-650</v>
      </c>
      <c r="K73" s="272">
        <v>-452</v>
      </c>
      <c r="L73" s="33" t="s">
        <v>937</v>
      </c>
      <c r="M73" t="s">
        <v>938</v>
      </c>
      <c r="N73"/>
    </row>
    <row r="74" spans="1:14">
      <c r="A74" s="92" t="s">
        <v>677</v>
      </c>
      <c r="B74" s="560">
        <v>198</v>
      </c>
      <c r="C74" s="241">
        <v>-8</v>
      </c>
      <c r="D74" s="241">
        <v>32</v>
      </c>
      <c r="E74" s="241">
        <v>13</v>
      </c>
      <c r="F74" s="241">
        <v>-74</v>
      </c>
      <c r="G74" s="241">
        <v>-71</v>
      </c>
      <c r="H74" s="241">
        <v>-48</v>
      </c>
      <c r="I74" s="272">
        <v>-94</v>
      </c>
      <c r="J74" s="241">
        <v>-65</v>
      </c>
      <c r="K74" s="272">
        <v>91</v>
      </c>
      <c r="L74" s="33" t="s">
        <v>937</v>
      </c>
      <c r="M74" t="str">
        <f>+A74</f>
        <v>Share buyback</v>
      </c>
      <c r="N74"/>
    </row>
    <row r="75" spans="1:14">
      <c r="A75" s="92" t="s">
        <v>932</v>
      </c>
      <c r="B75" s="241">
        <f>B68-B69-B70-B73-B74</f>
        <v>25</v>
      </c>
      <c r="C75" s="241">
        <f t="shared" ref="C75:K75" si="34">C68-C69-C70-C73-C74</f>
        <v>-71</v>
      </c>
      <c r="D75" s="241">
        <f t="shared" si="34"/>
        <v>-23</v>
      </c>
      <c r="E75" s="241">
        <f t="shared" si="34"/>
        <v>34</v>
      </c>
      <c r="F75" s="241">
        <f t="shared" si="34"/>
        <v>-138</v>
      </c>
      <c r="G75" s="241">
        <f t="shared" si="34"/>
        <v>-66</v>
      </c>
      <c r="H75" s="241">
        <f t="shared" si="34"/>
        <v>0</v>
      </c>
      <c r="I75" s="241">
        <f t="shared" si="34"/>
        <v>-152</v>
      </c>
      <c r="J75" s="241">
        <f t="shared" si="34"/>
        <v>0</v>
      </c>
      <c r="K75" s="241">
        <f t="shared" si="34"/>
        <v>0</v>
      </c>
      <c r="L75" s="36"/>
      <c r="M75"/>
      <c r="N75"/>
    </row>
    <row r="76" spans="1:14" ht="15">
      <c r="A76" s="10" t="s">
        <v>158</v>
      </c>
      <c r="B76" s="48">
        <v>-32</v>
      </c>
      <c r="C76" s="240">
        <v>195</v>
      </c>
      <c r="D76" s="240">
        <v>-134</v>
      </c>
      <c r="E76" s="240">
        <v>17</v>
      </c>
      <c r="F76" s="240">
        <v>111</v>
      </c>
      <c r="G76" s="240">
        <v>-199</v>
      </c>
      <c r="H76" s="240">
        <v>31</v>
      </c>
      <c r="I76" s="240">
        <v>-80</v>
      </c>
      <c r="J76" s="240">
        <v>219</v>
      </c>
      <c r="K76" s="240">
        <v>2</v>
      </c>
      <c r="L76" s="36"/>
      <c r="M76"/>
      <c r="N76"/>
    </row>
    <row r="77" spans="1:14" ht="15">
      <c r="A77" s="10" t="s">
        <v>717</v>
      </c>
      <c r="B77" s="240">
        <f t="shared" ref="B77:C77" si="35">B59+B64+B68+B76</f>
        <v>68</v>
      </c>
      <c r="C77" s="240">
        <f t="shared" si="35"/>
        <v>788</v>
      </c>
      <c r="D77" s="240">
        <f t="shared" ref="D77:K77" si="36">D59+D64+D68+D76</f>
        <v>1795</v>
      </c>
      <c r="E77" s="240">
        <f t="shared" si="36"/>
        <v>-362</v>
      </c>
      <c r="F77" s="240">
        <f t="shared" si="36"/>
        <v>-2157</v>
      </c>
      <c r="G77" s="240">
        <f t="shared" si="36"/>
        <v>1739</v>
      </c>
      <c r="H77" s="240">
        <f t="shared" si="36"/>
        <v>217</v>
      </c>
      <c r="I77" s="240">
        <f t="shared" si="36"/>
        <v>-604</v>
      </c>
      <c r="J77" s="240">
        <f t="shared" si="36"/>
        <v>938</v>
      </c>
      <c r="K77" s="240">
        <f t="shared" si="36"/>
        <v>1224</v>
      </c>
      <c r="L77" s="36"/>
      <c r="M77"/>
      <c r="N77"/>
    </row>
    <row r="78" spans="1:14">
      <c r="N78" s="24"/>
    </row>
    <row r="79" spans="1:14" ht="15">
      <c r="A79" s="48" t="s">
        <v>939</v>
      </c>
      <c r="B79" s="48"/>
      <c r="C79" s="48"/>
      <c r="D79" s="48"/>
      <c r="E79" s="48"/>
      <c r="F79" s="1359" t="s">
        <v>726</v>
      </c>
      <c r="G79" s="1359"/>
      <c r="H79" s="1359"/>
      <c r="I79" s="1359" t="s">
        <v>940</v>
      </c>
      <c r="J79" s="1359"/>
      <c r="K79" s="48" t="s">
        <v>728</v>
      </c>
      <c r="L79" s="48" t="s">
        <v>729</v>
      </c>
      <c r="M79" s="48" t="s">
        <v>730</v>
      </c>
      <c r="N79" s="34"/>
    </row>
    <row r="80" spans="1:14">
      <c r="A80" s="26" t="s">
        <v>941</v>
      </c>
      <c r="B80" s="58">
        <v>33959</v>
      </c>
      <c r="C80" s="39" t="s">
        <v>942</v>
      </c>
      <c r="D80" s="39" t="s">
        <v>942</v>
      </c>
      <c r="E80" s="24"/>
      <c r="F80" s="1360"/>
      <c r="G80" s="1360"/>
      <c r="H80" s="1360"/>
      <c r="I80" s="1361"/>
      <c r="J80" s="1361"/>
      <c r="K80" s="59"/>
      <c r="L80" s="58"/>
      <c r="M80" s="58"/>
      <c r="N80" s="24"/>
    </row>
    <row r="81" spans="1:14">
      <c r="A81" s="26" t="s">
        <v>943</v>
      </c>
      <c r="B81" s="58">
        <v>518</v>
      </c>
      <c r="C81" s="39" t="s">
        <v>944</v>
      </c>
      <c r="D81" s="39" t="s">
        <v>944</v>
      </c>
      <c r="E81" s="24"/>
      <c r="F81" s="1360"/>
      <c r="G81" s="1360"/>
      <c r="H81" s="1360"/>
      <c r="I81" s="1361"/>
      <c r="J81" s="1361"/>
      <c r="K81" s="59"/>
      <c r="L81" s="58"/>
      <c r="M81" s="58"/>
      <c r="N81" s="24"/>
    </row>
    <row r="82" spans="1:14">
      <c r="A82" s="26" t="s">
        <v>66</v>
      </c>
      <c r="B82" s="58">
        <v>513.4</v>
      </c>
      <c r="C82" s="39" t="s">
        <v>944</v>
      </c>
      <c r="D82" s="39" t="s">
        <v>944</v>
      </c>
      <c r="E82" s="60"/>
      <c r="F82" s="1360"/>
      <c r="G82" s="1360"/>
      <c r="H82" s="1360"/>
      <c r="I82" s="1361"/>
      <c r="J82" s="1361"/>
      <c r="K82" s="59"/>
      <c r="L82" s="58"/>
      <c r="M82" s="58"/>
      <c r="N82" s="62"/>
    </row>
    <row r="83" spans="1:14">
      <c r="A83" s="26" t="s">
        <v>71</v>
      </c>
      <c r="B83" s="565">
        <v>0</v>
      </c>
      <c r="C83" s="39" t="s">
        <v>944</v>
      </c>
      <c r="D83" s="39" t="s">
        <v>944</v>
      </c>
      <c r="E83" s="61"/>
      <c r="F83" s="1360"/>
      <c r="G83" s="1360"/>
      <c r="H83" s="1360"/>
      <c r="I83" s="1361"/>
      <c r="J83" s="1361"/>
      <c r="K83" s="59"/>
      <c r="L83" s="58"/>
      <c r="M83" s="58"/>
      <c r="N83" s="62"/>
    </row>
    <row r="84" spans="1:14">
      <c r="A84" s="26" t="s">
        <v>721</v>
      </c>
      <c r="B84" s="58" t="s">
        <v>722</v>
      </c>
      <c r="C84" s="39" t="s">
        <v>942</v>
      </c>
      <c r="D84" s="39" t="s">
        <v>942</v>
      </c>
      <c r="E84" s="24"/>
      <c r="F84" s="1360"/>
      <c r="G84" s="1360"/>
      <c r="H84" s="1360"/>
      <c r="I84" s="1361"/>
      <c r="J84" s="1361"/>
      <c r="K84" s="59"/>
      <c r="L84" s="58"/>
      <c r="M84" s="58"/>
      <c r="N84" s="24"/>
    </row>
    <row r="85" spans="1:14">
      <c r="A85" s="26" t="s">
        <v>945</v>
      </c>
      <c r="B85" s="58">
        <v>2.38</v>
      </c>
      <c r="C85" s="39" t="s">
        <v>944</v>
      </c>
      <c r="D85" s="39" t="s">
        <v>944</v>
      </c>
      <c r="E85" s="24"/>
      <c r="F85" s="1360"/>
      <c r="G85" s="1360"/>
      <c r="H85" s="1360"/>
      <c r="I85" s="1361"/>
      <c r="J85" s="1361"/>
      <c r="K85" s="58"/>
      <c r="L85" s="58"/>
      <c r="M85" s="58"/>
      <c r="N85" s="24"/>
    </row>
    <row r="86" spans="1:14">
      <c r="A86" s="26" t="s">
        <v>724</v>
      </c>
      <c r="B86" s="979">
        <v>1.2829999999999999</v>
      </c>
      <c r="C86" s="39" t="s">
        <v>946</v>
      </c>
      <c r="D86" s="39" t="s">
        <v>946</v>
      </c>
      <c r="E86" s="24"/>
      <c r="F86" s="1360"/>
      <c r="G86" s="1360"/>
      <c r="H86" s="1360"/>
      <c r="I86" s="1361"/>
      <c r="J86" s="1361"/>
      <c r="K86" s="58"/>
      <c r="L86" s="58"/>
      <c r="M86" s="58"/>
      <c r="N86" s="24"/>
    </row>
    <row r="87" spans="1:14" ht="15">
      <c r="C87" s="48">
        <f>A87+1</f>
        <v>1</v>
      </c>
      <c r="D87" s="48">
        <f>C87+1</f>
        <v>2</v>
      </c>
      <c r="E87" s="48">
        <f>D87+1</f>
        <v>3</v>
      </c>
      <c r="F87" s="40"/>
      <c r="H87" s="40"/>
      <c r="I87" s="40"/>
      <c r="J87" s="40"/>
      <c r="K87" s="40"/>
      <c r="L87" s="40"/>
      <c r="M87" s="40"/>
      <c r="N87" s="40"/>
    </row>
    <row r="88" spans="1:14">
      <c r="A88" s="26" t="s">
        <v>725</v>
      </c>
      <c r="B88" s="58" t="s">
        <v>98</v>
      </c>
      <c r="F88" s="39" t="s">
        <v>946</v>
      </c>
      <c r="L88" s="22"/>
      <c r="M88" s="22"/>
    </row>
    <row r="89" spans="1:14">
      <c r="A89" s="26" t="s">
        <v>91</v>
      </c>
      <c r="B89" s="558">
        <f>(B6+B73)/B81</f>
        <v>34.945945945945944</v>
      </c>
      <c r="C89" s="496"/>
      <c r="D89" s="496"/>
      <c r="E89" s="496"/>
      <c r="F89" s="39" t="s">
        <v>946</v>
      </c>
      <c r="L89" s="22"/>
      <c r="M89" s="22"/>
    </row>
    <row r="90" spans="1:14">
      <c r="N90"/>
    </row>
    <row r="91" spans="1:14">
      <c r="M91"/>
      <c r="N91"/>
    </row>
    <row r="92" spans="1:14">
      <c r="K92" s="24"/>
      <c r="M92"/>
      <c r="N92"/>
    </row>
    <row r="93" spans="1:14">
      <c r="K93" s="24"/>
      <c r="M93"/>
      <c r="N93"/>
    </row>
    <row r="94" spans="1:14">
      <c r="K94" s="24"/>
      <c r="M94"/>
      <c r="N94"/>
    </row>
    <row r="95" spans="1:14">
      <c r="K95" s="24"/>
      <c r="M95"/>
      <c r="N95"/>
    </row>
    <row r="96" spans="1:14">
      <c r="K96" s="24"/>
      <c r="M96"/>
      <c r="N96"/>
    </row>
    <row r="97" spans="1:14">
      <c r="K97" s="24"/>
      <c r="M97"/>
      <c r="N97"/>
    </row>
    <row r="98" spans="1:14">
      <c r="H98"/>
      <c r="N98"/>
    </row>
    <row r="99" spans="1:14">
      <c r="A99"/>
      <c r="B99" s="2"/>
      <c r="C99"/>
      <c r="D99"/>
      <c r="E99"/>
      <c r="F99"/>
      <c r="G99"/>
      <c r="H99"/>
    </row>
    <row r="100" spans="1:14">
      <c r="A100"/>
      <c r="B100" s="2"/>
      <c r="C100"/>
      <c r="D100"/>
      <c r="E100"/>
      <c r="F100"/>
      <c r="G100"/>
      <c r="H100"/>
    </row>
  </sheetData>
  <mergeCells count="16">
    <mergeCell ref="I79:J79"/>
    <mergeCell ref="F79:H79"/>
    <mergeCell ref="F85:H85"/>
    <mergeCell ref="F86:H86"/>
    <mergeCell ref="I80:J80"/>
    <mergeCell ref="I81:J81"/>
    <mergeCell ref="I82:J82"/>
    <mergeCell ref="I83:J83"/>
    <mergeCell ref="I84:J84"/>
    <mergeCell ref="I85:J85"/>
    <mergeCell ref="I86:J86"/>
    <mergeCell ref="F80:H80"/>
    <mergeCell ref="F81:H81"/>
    <mergeCell ref="F82:H82"/>
    <mergeCell ref="F83:H83"/>
    <mergeCell ref="F84:H84"/>
  </mergeCells>
  <pageMargins left="0.75" right="0.75" top="1" bottom="1" header="0" footer="0"/>
  <pageSetup orientation="portrait" horizontalDpi="4294967292"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8"/>
  <sheetViews>
    <sheetView workbookViewId="0">
      <selection activeCell="M13" sqref="M13"/>
    </sheetView>
  </sheetViews>
  <sheetFormatPr defaultRowHeight="12.75"/>
  <cols>
    <col min="1" max="1" width="22.42578125" bestFit="1" customWidth="1"/>
    <col min="2" max="2" width="10.42578125" bestFit="1" customWidth="1"/>
    <col min="3" max="3" width="11.85546875" bestFit="1" customWidth="1"/>
    <col min="4" max="4" width="16.85546875" bestFit="1" customWidth="1"/>
    <col min="5" max="5" width="15.7109375" bestFit="1" customWidth="1"/>
    <col min="6" max="6" width="15.140625" bestFit="1" customWidth="1"/>
    <col min="8" max="8" width="21.28515625" bestFit="1" customWidth="1"/>
  </cols>
  <sheetData>
    <row r="1" spans="1:10">
      <c r="A1" s="571" t="s">
        <v>947</v>
      </c>
      <c r="B1" s="572" t="s">
        <v>948</v>
      </c>
      <c r="C1" s="573" t="s">
        <v>949</v>
      </c>
      <c r="D1" s="573" t="s">
        <v>950</v>
      </c>
      <c r="E1" s="574" t="s">
        <v>951</v>
      </c>
      <c r="F1" s="573" t="s">
        <v>952</v>
      </c>
    </row>
    <row r="2" spans="1:10" ht="13.5" thickBot="1">
      <c r="A2" s="575" t="s">
        <v>953</v>
      </c>
      <c r="B2" s="576" t="s">
        <v>954</v>
      </c>
      <c r="C2" s="577">
        <v>5.3E-3</v>
      </c>
      <c r="D2" s="577">
        <v>7.4999999999999997E-3</v>
      </c>
      <c r="E2" s="578">
        <v>5.7500000000000002E-2</v>
      </c>
      <c r="F2" s="577">
        <v>0.15</v>
      </c>
      <c r="H2" s="1362" t="s">
        <v>955</v>
      </c>
      <c r="I2" s="1362"/>
      <c r="J2" s="1362"/>
    </row>
    <row r="3" spans="1:10" ht="13.5" thickTop="1">
      <c r="A3" s="575" t="s">
        <v>956</v>
      </c>
      <c r="B3" s="576" t="s">
        <v>957</v>
      </c>
      <c r="C3" s="577">
        <v>4.82E-2</v>
      </c>
      <c r="D3" s="577">
        <v>6.83E-2</v>
      </c>
      <c r="E3" s="578">
        <v>0.1183</v>
      </c>
      <c r="F3" s="577">
        <v>0.15</v>
      </c>
      <c r="H3" s="582" t="s">
        <v>958</v>
      </c>
      <c r="I3" s="585">
        <f>AVERAGE(I4:I11)</f>
        <v>8.3175000000000013E-2</v>
      </c>
    </row>
    <row r="4" spans="1:10">
      <c r="A4" s="575" t="s">
        <v>959</v>
      </c>
      <c r="B4" s="576" t="s">
        <v>960</v>
      </c>
      <c r="C4" s="577">
        <v>3.85E-2</v>
      </c>
      <c r="D4" s="577">
        <v>5.4600000000000003E-2</v>
      </c>
      <c r="E4" s="578">
        <v>0.1046</v>
      </c>
      <c r="F4" s="577">
        <v>0.26</v>
      </c>
      <c r="H4" s="583" t="s">
        <v>961</v>
      </c>
      <c r="I4" s="246">
        <f>E18</f>
        <v>5.91E-2</v>
      </c>
    </row>
    <row r="5" spans="1:10">
      <c r="A5" s="575" t="s">
        <v>962</v>
      </c>
      <c r="B5" s="576" t="s">
        <v>963</v>
      </c>
      <c r="C5" s="577">
        <v>2.0400000000000001E-2</v>
      </c>
      <c r="D5" s="577">
        <v>2.8899999999999999E-2</v>
      </c>
      <c r="E5" s="578">
        <v>7.8899999999999998E-2</v>
      </c>
      <c r="F5" s="577">
        <v>0.1898</v>
      </c>
      <c r="H5" s="583" t="s">
        <v>208</v>
      </c>
      <c r="I5" s="246">
        <f>E156</f>
        <v>0.05</v>
      </c>
    </row>
    <row r="6" spans="1:10">
      <c r="A6" s="575" t="s">
        <v>964</v>
      </c>
      <c r="B6" s="576" t="s">
        <v>965</v>
      </c>
      <c r="C6" s="577">
        <v>6.9500000000000006E-2</v>
      </c>
      <c r="D6" s="577">
        <v>9.8599999999999993E-2</v>
      </c>
      <c r="E6" s="578">
        <v>0.14860000000000001</v>
      </c>
      <c r="F6" s="577">
        <v>0.25</v>
      </c>
      <c r="H6" s="583" t="s">
        <v>207</v>
      </c>
      <c r="I6" s="246">
        <f>E56</f>
        <v>5.7500000000000002E-2</v>
      </c>
    </row>
    <row r="7" spans="1:10">
      <c r="A7" s="575" t="s">
        <v>966</v>
      </c>
      <c r="B7" s="576" t="s">
        <v>967</v>
      </c>
      <c r="C7" s="577">
        <v>0.12839999999999999</v>
      </c>
      <c r="D7" s="577">
        <v>0.18210000000000001</v>
      </c>
      <c r="E7" s="578">
        <v>0.2321</v>
      </c>
      <c r="F7" s="577">
        <v>0.35</v>
      </c>
      <c r="H7" s="583" t="s">
        <v>968</v>
      </c>
      <c r="I7" s="246">
        <f>E60</f>
        <v>0.05</v>
      </c>
    </row>
    <row r="8" spans="1:10">
      <c r="A8" s="575" t="s">
        <v>969</v>
      </c>
      <c r="B8" s="576" t="s">
        <v>970</v>
      </c>
      <c r="C8" s="577">
        <v>3.85E-2</v>
      </c>
      <c r="D8" s="577">
        <v>5.4600000000000003E-2</v>
      </c>
      <c r="E8" s="578">
        <v>0.1046</v>
      </c>
      <c r="F8" s="577">
        <v>0.18</v>
      </c>
      <c r="H8" s="583" t="s">
        <v>971</v>
      </c>
      <c r="I8" s="246">
        <f>E80</f>
        <v>8.3299999999999999E-2</v>
      </c>
    </row>
    <row r="9" spans="1:10">
      <c r="A9" s="579" t="s">
        <v>972</v>
      </c>
      <c r="B9" s="580" t="s">
        <v>963</v>
      </c>
      <c r="C9" s="581">
        <v>2.0400000000000001E-2</v>
      </c>
      <c r="D9" s="581">
        <v>2.8899999999999999E-2</v>
      </c>
      <c r="E9" s="578">
        <v>7.8899999999999998E-2</v>
      </c>
      <c r="F9" s="581">
        <v>0.25</v>
      </c>
      <c r="H9" s="583" t="s">
        <v>973</v>
      </c>
      <c r="I9" s="246">
        <f>E135</f>
        <v>0.2321</v>
      </c>
    </row>
    <row r="10" spans="1:10">
      <c r="A10" s="575" t="s">
        <v>974</v>
      </c>
      <c r="B10" s="576" t="s">
        <v>975</v>
      </c>
      <c r="C10" s="577">
        <v>0</v>
      </c>
      <c r="D10" s="577">
        <v>0</v>
      </c>
      <c r="E10" s="578">
        <v>0.05</v>
      </c>
      <c r="F10" s="577">
        <v>0.3</v>
      </c>
      <c r="H10" s="583" t="s">
        <v>976</v>
      </c>
      <c r="I10" s="246">
        <f>E148</f>
        <v>7.4300000000000005E-2</v>
      </c>
    </row>
    <row r="11" spans="1:10">
      <c r="A11" s="575" t="s">
        <v>977</v>
      </c>
      <c r="B11" s="576" t="s">
        <v>978</v>
      </c>
      <c r="C11" s="577">
        <v>4.3E-3</v>
      </c>
      <c r="D11" s="577">
        <v>6.1000000000000004E-3</v>
      </c>
      <c r="E11" s="578">
        <v>5.6099999999999997E-2</v>
      </c>
      <c r="F11" s="577">
        <v>0.24</v>
      </c>
      <c r="H11" s="583" t="s">
        <v>979</v>
      </c>
      <c r="I11" s="246">
        <f>E170</f>
        <v>5.91E-2</v>
      </c>
    </row>
    <row r="12" spans="1:10">
      <c r="A12" s="575" t="s">
        <v>980</v>
      </c>
      <c r="B12" s="576" t="s">
        <v>981</v>
      </c>
      <c r="C12" s="577">
        <v>2.6800000000000001E-2</v>
      </c>
      <c r="D12" s="577">
        <v>3.7999999999999999E-2</v>
      </c>
      <c r="E12" s="578">
        <v>8.7999999999999995E-2</v>
      </c>
      <c r="F12" s="577">
        <v>0.2</v>
      </c>
      <c r="H12" s="584" t="s">
        <v>982</v>
      </c>
      <c r="I12" s="585">
        <f>AVERAGE(I13:I16)</f>
        <v>6.8649999999999989E-2</v>
      </c>
    </row>
    <row r="13" spans="1:10">
      <c r="A13" s="575" t="s">
        <v>983</v>
      </c>
      <c r="B13" s="576" t="s">
        <v>957</v>
      </c>
      <c r="C13" s="577">
        <v>4.82E-2</v>
      </c>
      <c r="D13" s="577">
        <v>6.83E-2</v>
      </c>
      <c r="E13" s="578">
        <v>0.1183</v>
      </c>
      <c r="F13" s="577">
        <v>0</v>
      </c>
      <c r="H13" s="583" t="s">
        <v>984</v>
      </c>
      <c r="I13" s="246">
        <f>E171</f>
        <v>0.05</v>
      </c>
    </row>
    <row r="14" spans="1:10">
      <c r="A14" s="575" t="s">
        <v>985</v>
      </c>
      <c r="B14" s="576" t="s">
        <v>986</v>
      </c>
      <c r="C14" s="577">
        <v>5.8799999999999998E-2</v>
      </c>
      <c r="D14" s="577">
        <v>8.3500000000000005E-2</v>
      </c>
      <c r="E14" s="578">
        <v>0.13350000000000001</v>
      </c>
      <c r="F14" s="577">
        <v>0</v>
      </c>
      <c r="H14" s="583" t="s">
        <v>987</v>
      </c>
      <c r="I14" s="246">
        <f>E25</f>
        <v>9.5699999999999993E-2</v>
      </c>
    </row>
    <row r="15" spans="1:10">
      <c r="A15" s="575" t="s">
        <v>988</v>
      </c>
      <c r="B15" s="576" t="s">
        <v>957</v>
      </c>
      <c r="C15" s="577">
        <v>4.82E-2</v>
      </c>
      <c r="D15" s="577">
        <v>6.83E-2</v>
      </c>
      <c r="E15" s="578">
        <v>0.1183</v>
      </c>
      <c r="F15" s="577">
        <v>0.32500000000000001</v>
      </c>
      <c r="H15" s="583" t="s">
        <v>989</v>
      </c>
      <c r="I15" s="246">
        <f>E31</f>
        <v>0.05</v>
      </c>
    </row>
    <row r="16" spans="1:10">
      <c r="A16" s="575" t="s">
        <v>990</v>
      </c>
      <c r="B16" s="576" t="s">
        <v>991</v>
      </c>
      <c r="C16" s="577">
        <v>8.0199999999999994E-2</v>
      </c>
      <c r="D16" s="577">
        <v>0.1138</v>
      </c>
      <c r="E16" s="578">
        <v>0.1638</v>
      </c>
      <c r="F16" s="577">
        <v>5.5E-2</v>
      </c>
      <c r="H16" s="583" t="s">
        <v>992</v>
      </c>
      <c r="I16" s="246">
        <f>E108</f>
        <v>7.8899999999999998E-2</v>
      </c>
    </row>
    <row r="17" spans="1:9">
      <c r="A17" s="579" t="s">
        <v>993</v>
      </c>
      <c r="B17" s="580" t="s">
        <v>411</v>
      </c>
      <c r="C17" s="581">
        <v>0.17499999999999999</v>
      </c>
      <c r="D17" s="581">
        <v>0.2482</v>
      </c>
      <c r="E17" s="578">
        <v>0.29820000000000002</v>
      </c>
      <c r="F17" s="581">
        <v>0.18</v>
      </c>
      <c r="H17" s="584" t="s">
        <v>994</v>
      </c>
      <c r="I17" s="585">
        <f>E35</f>
        <v>6.0699999999999997E-2</v>
      </c>
    </row>
    <row r="18" spans="1:9">
      <c r="A18" s="575" t="s">
        <v>961</v>
      </c>
      <c r="B18" s="576" t="s">
        <v>995</v>
      </c>
      <c r="C18" s="577">
        <v>6.4000000000000003E-3</v>
      </c>
      <c r="D18" s="577">
        <v>9.1000000000000004E-3</v>
      </c>
      <c r="E18" s="578">
        <v>5.91E-2</v>
      </c>
      <c r="F18" s="577">
        <v>0.25</v>
      </c>
      <c r="H18" s="584" t="s">
        <v>996</v>
      </c>
      <c r="I18" s="585">
        <f>AVERAGE(I19:I28)</f>
        <v>5.8799999999999998E-2</v>
      </c>
    </row>
    <row r="19" spans="1:9">
      <c r="A19" s="575" t="s">
        <v>997</v>
      </c>
      <c r="B19" s="576" t="s">
        <v>998</v>
      </c>
      <c r="C19" s="577">
        <v>9.6299999999999997E-2</v>
      </c>
      <c r="D19" s="577">
        <v>0.1366</v>
      </c>
      <c r="E19" s="578">
        <v>0.18659999999999999</v>
      </c>
      <c r="F19" s="577">
        <v>0.27179999999999999</v>
      </c>
      <c r="H19" s="583" t="s">
        <v>999</v>
      </c>
      <c r="I19" s="246">
        <f>E70</f>
        <v>5.91E-2</v>
      </c>
    </row>
    <row r="20" spans="1:9">
      <c r="A20" s="575" t="s">
        <v>1000</v>
      </c>
      <c r="B20" s="576" t="s">
        <v>957</v>
      </c>
      <c r="C20" s="577">
        <v>4.82E-2</v>
      </c>
      <c r="D20" s="577">
        <v>6.83E-2</v>
      </c>
      <c r="E20" s="578">
        <v>0.1183</v>
      </c>
      <c r="F20" s="577">
        <v>0.3</v>
      </c>
      <c r="H20" s="583" t="s">
        <v>1001</v>
      </c>
      <c r="I20" s="246">
        <f>E99</f>
        <v>5.91E-2</v>
      </c>
    </row>
    <row r="21" spans="1:9">
      <c r="A21" s="575" t="s">
        <v>1002</v>
      </c>
      <c r="B21" s="576" t="s">
        <v>1003</v>
      </c>
      <c r="C21" s="577">
        <v>9.1000000000000004E-3</v>
      </c>
      <c r="D21" s="577">
        <v>1.2800000000000001E-2</v>
      </c>
      <c r="E21" s="578">
        <v>6.2799999999999995E-2</v>
      </c>
      <c r="F21" s="577">
        <v>0</v>
      </c>
      <c r="H21" s="583" t="s">
        <v>974</v>
      </c>
      <c r="I21" s="246">
        <f>E10</f>
        <v>0.05</v>
      </c>
    </row>
    <row r="22" spans="1:9">
      <c r="A22" s="575" t="s">
        <v>1004</v>
      </c>
      <c r="B22" s="576" t="s">
        <v>991</v>
      </c>
      <c r="C22" s="577">
        <v>8.0199999999999994E-2</v>
      </c>
      <c r="D22" s="577">
        <v>0.1138</v>
      </c>
      <c r="E22" s="578">
        <v>0.1638</v>
      </c>
      <c r="F22" s="577">
        <v>0.25</v>
      </c>
      <c r="H22" s="583" t="s">
        <v>1005</v>
      </c>
      <c r="I22" s="246">
        <f>E103</f>
        <v>6.8199999999999997E-2</v>
      </c>
    </row>
    <row r="23" spans="1:9">
      <c r="A23" s="579" t="s">
        <v>1006</v>
      </c>
      <c r="B23" s="580" t="s">
        <v>965</v>
      </c>
      <c r="C23" s="581">
        <v>6.9500000000000006E-2</v>
      </c>
      <c r="D23" s="581">
        <v>9.8599999999999993E-2</v>
      </c>
      <c r="E23" s="578">
        <v>0.14860000000000001</v>
      </c>
      <c r="F23" s="581">
        <v>0.1</v>
      </c>
      <c r="H23" s="583" t="s">
        <v>1007</v>
      </c>
      <c r="I23" s="246">
        <f>E142</f>
        <v>0.05</v>
      </c>
    </row>
    <row r="24" spans="1:9">
      <c r="A24" s="579" t="s">
        <v>1008</v>
      </c>
      <c r="B24" s="580" t="s">
        <v>1009</v>
      </c>
      <c r="C24" s="581">
        <v>1.2800000000000001E-2</v>
      </c>
      <c r="D24" s="581">
        <v>1.8200000000000001E-2</v>
      </c>
      <c r="E24" s="578">
        <v>6.8199999999999997E-2</v>
      </c>
      <c r="F24" s="581">
        <v>0.22</v>
      </c>
      <c r="H24" s="583" t="s">
        <v>1010</v>
      </c>
      <c r="I24" s="246">
        <f>E158</f>
        <v>5.91E-2</v>
      </c>
    </row>
    <row r="25" spans="1:9">
      <c r="A25" s="579" t="s">
        <v>987</v>
      </c>
      <c r="B25" s="580" t="s">
        <v>1011</v>
      </c>
      <c r="C25" s="581">
        <v>3.2199999999999999E-2</v>
      </c>
      <c r="D25" s="581">
        <v>4.5699999999999998E-2</v>
      </c>
      <c r="E25" s="578">
        <v>9.5699999999999993E-2</v>
      </c>
      <c r="F25" s="581">
        <v>0.34</v>
      </c>
      <c r="H25" s="583" t="s">
        <v>1012</v>
      </c>
      <c r="I25" s="246">
        <f>E161</f>
        <v>7.4300000000000005E-2</v>
      </c>
    </row>
    <row r="26" spans="1:9">
      <c r="A26" s="575" t="s">
        <v>1013</v>
      </c>
      <c r="B26" s="576" t="s">
        <v>960</v>
      </c>
      <c r="C26" s="577">
        <v>6.4000000000000003E-3</v>
      </c>
      <c r="D26" s="577">
        <v>9.1000000000000004E-3</v>
      </c>
      <c r="E26" s="578">
        <v>5.91E-2</v>
      </c>
      <c r="F26" s="577">
        <v>0.185</v>
      </c>
      <c r="H26" s="583" t="s">
        <v>204</v>
      </c>
      <c r="I26" s="246">
        <f>E82</f>
        <v>6.0699999999999997E-2</v>
      </c>
    </row>
    <row r="27" spans="1:9">
      <c r="A27" s="575" t="s">
        <v>1014</v>
      </c>
      <c r="B27" s="576" t="s">
        <v>1015</v>
      </c>
      <c r="C27" s="577">
        <v>1.7100000000000001E-2</v>
      </c>
      <c r="D27" s="577">
        <v>2.4299999999999999E-2</v>
      </c>
      <c r="E27" s="578">
        <v>7.4300000000000005E-2</v>
      </c>
      <c r="F27" s="577">
        <v>0.1</v>
      </c>
      <c r="H27" s="583" t="s">
        <v>1016</v>
      </c>
      <c r="I27" s="246">
        <f>E118</f>
        <v>0.05</v>
      </c>
    </row>
    <row r="28" spans="1:9">
      <c r="A28" s="575" t="s">
        <v>1017</v>
      </c>
      <c r="B28" s="576" t="s">
        <v>991</v>
      </c>
      <c r="C28" s="577">
        <v>8.0199999999999994E-2</v>
      </c>
      <c r="D28" s="577">
        <v>0.1138</v>
      </c>
      <c r="E28" s="578">
        <v>0.1638</v>
      </c>
      <c r="F28" s="577">
        <v>0.28000000000000003</v>
      </c>
      <c r="H28" s="583" t="s">
        <v>1018</v>
      </c>
      <c r="I28" s="246">
        <f>E87</f>
        <v>5.7500000000000002E-2</v>
      </c>
    </row>
    <row r="29" spans="1:9">
      <c r="A29" s="575" t="s">
        <v>1019</v>
      </c>
      <c r="B29" s="576" t="s">
        <v>986</v>
      </c>
      <c r="C29" s="577">
        <v>5.8799999999999998E-2</v>
      </c>
      <c r="D29" s="577">
        <v>8.3500000000000005E-2</v>
      </c>
      <c r="E29" s="578">
        <v>0.13350000000000001</v>
      </c>
      <c r="F29" s="577">
        <v>0.2</v>
      </c>
      <c r="H29" s="584" t="s">
        <v>1020</v>
      </c>
      <c r="I29" s="585">
        <f>AVERAGE(I30:I33)</f>
        <v>7.4299999999999991E-2</v>
      </c>
    </row>
    <row r="30" spans="1:9">
      <c r="A30" s="575" t="s">
        <v>1021</v>
      </c>
      <c r="B30" s="576" t="s">
        <v>986</v>
      </c>
      <c r="C30" s="577">
        <v>5.8799999999999998E-2</v>
      </c>
      <c r="D30" s="577">
        <v>8.3500000000000005E-2</v>
      </c>
      <c r="E30" s="578">
        <v>0.13350000000000001</v>
      </c>
      <c r="F30" s="577">
        <v>0.33</v>
      </c>
      <c r="H30" s="583" t="s">
        <v>1022</v>
      </c>
      <c r="I30" s="246">
        <f>E73</f>
        <v>8.3299999999999999E-2</v>
      </c>
    </row>
    <row r="31" spans="1:9">
      <c r="A31" s="575" t="s">
        <v>989</v>
      </c>
      <c r="B31" s="576" t="s">
        <v>975</v>
      </c>
      <c r="C31" s="577">
        <v>0</v>
      </c>
      <c r="D31" s="577">
        <v>0</v>
      </c>
      <c r="E31" s="578">
        <v>0.05</v>
      </c>
      <c r="F31" s="577">
        <v>0.25</v>
      </c>
      <c r="H31" s="583" t="s">
        <v>1023</v>
      </c>
      <c r="I31" s="246">
        <f>E137</f>
        <v>6.0699999999999997E-2</v>
      </c>
    </row>
    <row r="32" spans="1:9">
      <c r="A32" s="575" t="s">
        <v>1024</v>
      </c>
      <c r="B32" s="576" t="s">
        <v>965</v>
      </c>
      <c r="C32" s="577">
        <v>6.9500000000000006E-2</v>
      </c>
      <c r="D32" s="577">
        <v>9.8599999999999993E-2</v>
      </c>
      <c r="E32" s="578">
        <v>0.14860000000000001</v>
      </c>
      <c r="F32" s="577">
        <v>0</v>
      </c>
      <c r="H32" s="583" t="s">
        <v>1025</v>
      </c>
      <c r="I32" s="246">
        <f>E147</f>
        <v>9.5699999999999993E-2</v>
      </c>
    </row>
    <row r="33" spans="1:9">
      <c r="A33" s="575" t="s">
        <v>1026</v>
      </c>
      <c r="B33" s="576" t="s">
        <v>995</v>
      </c>
      <c r="C33" s="577">
        <v>6.4000000000000003E-3</v>
      </c>
      <c r="D33" s="577">
        <v>9.1000000000000004E-3</v>
      </c>
      <c r="E33" s="578">
        <v>5.91E-2</v>
      </c>
      <c r="F33" s="577">
        <v>0</v>
      </c>
      <c r="H33" s="583" t="s">
        <v>1027</v>
      </c>
      <c r="I33" s="246">
        <f>E169</f>
        <v>5.7500000000000002E-2</v>
      </c>
    </row>
    <row r="34" spans="1:9">
      <c r="A34" s="575" t="s">
        <v>1028</v>
      </c>
      <c r="B34" s="576" t="s">
        <v>1003</v>
      </c>
      <c r="C34" s="577">
        <v>9.1000000000000004E-3</v>
      </c>
      <c r="D34" s="577">
        <v>1.2800000000000001E-2</v>
      </c>
      <c r="E34" s="578">
        <v>6.2799999999999995E-2</v>
      </c>
      <c r="F34" s="577">
        <v>0.27</v>
      </c>
    </row>
    <row r="35" spans="1:9">
      <c r="A35" s="575" t="s">
        <v>590</v>
      </c>
      <c r="B35" s="576" t="s">
        <v>1029</v>
      </c>
      <c r="C35" s="577">
        <v>7.4999999999999997E-3</v>
      </c>
      <c r="D35" s="577">
        <v>1.0699999999999999E-2</v>
      </c>
      <c r="E35" s="578">
        <v>6.0699999999999997E-2</v>
      </c>
      <c r="F35" s="577">
        <v>0.25</v>
      </c>
    </row>
    <row r="36" spans="1:9">
      <c r="A36" s="575" t="s">
        <v>1030</v>
      </c>
      <c r="B36" s="576" t="s">
        <v>963</v>
      </c>
      <c r="C36" s="577">
        <v>2.0400000000000001E-2</v>
      </c>
      <c r="D36" s="577">
        <v>2.8899999999999999E-2</v>
      </c>
      <c r="E36" s="578">
        <v>7.8899999999999998E-2</v>
      </c>
      <c r="F36" s="577">
        <v>0.35</v>
      </c>
    </row>
    <row r="37" spans="1:9">
      <c r="A37" s="575" t="s">
        <v>1031</v>
      </c>
      <c r="B37" s="576" t="s">
        <v>965</v>
      </c>
      <c r="C37" s="577">
        <v>6.9500000000000006E-2</v>
      </c>
      <c r="D37" s="577">
        <v>9.8599999999999993E-2</v>
      </c>
      <c r="E37" s="578">
        <v>0.14860000000000001</v>
      </c>
      <c r="F37" s="577">
        <v>0.3</v>
      </c>
    </row>
    <row r="38" spans="1:9">
      <c r="A38" s="575" t="s">
        <v>1032</v>
      </c>
      <c r="B38" s="576" t="s">
        <v>998</v>
      </c>
      <c r="C38" s="577">
        <v>9.6299999999999997E-2</v>
      </c>
      <c r="D38" s="577">
        <v>0.1366</v>
      </c>
      <c r="E38" s="578">
        <v>0.18659999999999999</v>
      </c>
      <c r="F38" s="577">
        <v>0.28000000000000003</v>
      </c>
    </row>
    <row r="39" spans="1:9">
      <c r="A39" s="575" t="s">
        <v>1033</v>
      </c>
      <c r="B39" s="576" t="s">
        <v>986</v>
      </c>
      <c r="C39" s="577">
        <v>5.8799999999999998E-2</v>
      </c>
      <c r="D39" s="577">
        <v>8.3500000000000005E-2</v>
      </c>
      <c r="E39" s="578">
        <v>0.13350000000000001</v>
      </c>
      <c r="F39" s="577">
        <v>0.2843</v>
      </c>
    </row>
    <row r="40" spans="1:9">
      <c r="A40" s="575" t="s">
        <v>1034</v>
      </c>
      <c r="B40" s="576" t="s">
        <v>986</v>
      </c>
      <c r="C40" s="577">
        <v>5.8799999999999998E-2</v>
      </c>
      <c r="D40" s="577">
        <v>8.3500000000000005E-2</v>
      </c>
      <c r="E40" s="578">
        <v>0.13350000000000001</v>
      </c>
      <c r="F40" s="577">
        <v>0.3</v>
      </c>
    </row>
    <row r="41" spans="1:9">
      <c r="A41" s="575" t="s">
        <v>1035</v>
      </c>
      <c r="B41" s="576" t="s">
        <v>970</v>
      </c>
      <c r="C41" s="577">
        <v>3.85E-2</v>
      </c>
      <c r="D41" s="577">
        <v>5.4600000000000003E-2</v>
      </c>
      <c r="E41" s="578">
        <v>0.1046</v>
      </c>
      <c r="F41" s="577">
        <v>0.25</v>
      </c>
    </row>
    <row r="42" spans="1:9">
      <c r="A42" s="575" t="s">
        <v>1036</v>
      </c>
      <c r="B42" s="576" t="s">
        <v>963</v>
      </c>
      <c r="C42" s="577">
        <v>2.0400000000000001E-2</v>
      </c>
      <c r="D42" s="577">
        <v>2.8899999999999999E-2</v>
      </c>
      <c r="E42" s="578">
        <v>7.8899999999999998E-2</v>
      </c>
      <c r="F42" s="577">
        <v>0.18</v>
      </c>
    </row>
    <row r="43" spans="1:9">
      <c r="A43" s="575" t="s">
        <v>1037</v>
      </c>
      <c r="B43" s="576" t="s">
        <v>967</v>
      </c>
      <c r="C43" s="577">
        <v>0.12839999999999999</v>
      </c>
      <c r="D43" s="577">
        <v>0.18210000000000001</v>
      </c>
      <c r="E43" s="578">
        <v>0.2321</v>
      </c>
      <c r="F43" s="577">
        <v>0.27179999999999999</v>
      </c>
    </row>
    <row r="44" spans="1:9">
      <c r="A44" s="575" t="s">
        <v>1038</v>
      </c>
      <c r="B44" s="576" t="s">
        <v>963</v>
      </c>
      <c r="C44" s="577">
        <v>2.0400000000000001E-2</v>
      </c>
      <c r="D44" s="577">
        <v>2.8899999999999999E-2</v>
      </c>
      <c r="E44" s="578">
        <v>7.8899999999999998E-2</v>
      </c>
      <c r="F44" s="577">
        <v>0.22</v>
      </c>
    </row>
    <row r="45" spans="1:9">
      <c r="A45" s="575" t="s">
        <v>1039</v>
      </c>
      <c r="B45" s="576" t="s">
        <v>981</v>
      </c>
      <c r="C45" s="577">
        <v>2.6800000000000001E-2</v>
      </c>
      <c r="D45" s="577">
        <v>3.7999999999999999E-2</v>
      </c>
      <c r="E45" s="578">
        <v>8.7999999999999995E-2</v>
      </c>
      <c r="F45" s="577">
        <v>0.125</v>
      </c>
    </row>
    <row r="46" spans="1:9">
      <c r="A46" s="575" t="s">
        <v>1040</v>
      </c>
      <c r="B46" s="576" t="s">
        <v>995</v>
      </c>
      <c r="C46" s="577">
        <v>6.4000000000000003E-3</v>
      </c>
      <c r="D46" s="577">
        <v>9.1000000000000004E-3</v>
      </c>
      <c r="E46" s="578">
        <v>5.91E-2</v>
      </c>
      <c r="F46" s="577">
        <v>0.19</v>
      </c>
    </row>
    <row r="47" spans="1:9">
      <c r="A47" s="575" t="s">
        <v>1041</v>
      </c>
      <c r="B47" s="576" t="s">
        <v>975</v>
      </c>
      <c r="C47" s="577">
        <v>0</v>
      </c>
      <c r="D47" s="577">
        <v>0</v>
      </c>
      <c r="E47" s="578">
        <v>0.05</v>
      </c>
      <c r="F47" s="577">
        <v>0.22</v>
      </c>
    </row>
    <row r="48" spans="1:9">
      <c r="A48" s="579" t="s">
        <v>1042</v>
      </c>
      <c r="B48" s="580" t="s">
        <v>970</v>
      </c>
      <c r="C48" s="581">
        <v>3.85E-2</v>
      </c>
      <c r="D48" s="581">
        <v>5.4600000000000003E-2</v>
      </c>
      <c r="E48" s="578">
        <v>0.1046</v>
      </c>
      <c r="F48" s="581">
        <v>0.27</v>
      </c>
    </row>
    <row r="49" spans="1:6">
      <c r="A49" s="575" t="s">
        <v>1043</v>
      </c>
      <c r="B49" s="576" t="s">
        <v>1044</v>
      </c>
      <c r="C49" s="577">
        <v>0.107</v>
      </c>
      <c r="D49" s="577">
        <v>0.15179999999999999</v>
      </c>
      <c r="E49" s="578">
        <v>0.20180000000000001</v>
      </c>
      <c r="F49" s="577">
        <v>0.25</v>
      </c>
    </row>
    <row r="50" spans="1:6">
      <c r="A50" s="575" t="s">
        <v>1045</v>
      </c>
      <c r="B50" s="576" t="s">
        <v>965</v>
      </c>
      <c r="C50" s="577">
        <v>6.9500000000000006E-2</v>
      </c>
      <c r="D50" s="577">
        <v>9.8599999999999993E-2</v>
      </c>
      <c r="E50" s="578">
        <v>0.14860000000000001</v>
      </c>
      <c r="F50" s="577">
        <v>0.22500000000000001</v>
      </c>
    </row>
    <row r="51" spans="1:6">
      <c r="A51" s="575" t="s">
        <v>1046</v>
      </c>
      <c r="B51" s="576" t="s">
        <v>1044</v>
      </c>
      <c r="C51" s="577">
        <v>0.107</v>
      </c>
      <c r="D51" s="577">
        <v>0.15179999999999999</v>
      </c>
      <c r="E51" s="578">
        <v>0.20180000000000001</v>
      </c>
      <c r="F51" s="577">
        <v>0.3</v>
      </c>
    </row>
    <row r="52" spans="1:6">
      <c r="A52" s="575" t="s">
        <v>1047</v>
      </c>
      <c r="B52" s="576" t="s">
        <v>1029</v>
      </c>
      <c r="C52" s="577">
        <v>7.4999999999999997E-3</v>
      </c>
      <c r="D52" s="577">
        <v>1.0699999999999999E-2</v>
      </c>
      <c r="E52" s="578">
        <v>6.0699999999999997E-2</v>
      </c>
      <c r="F52" s="577">
        <v>0.2</v>
      </c>
    </row>
    <row r="53" spans="1:6">
      <c r="A53" s="575" t="s">
        <v>1048</v>
      </c>
      <c r="B53" s="576" t="s">
        <v>998</v>
      </c>
      <c r="C53" s="577">
        <v>9.6299999999999997E-2</v>
      </c>
      <c r="D53" s="577">
        <v>0.1366</v>
      </c>
      <c r="E53" s="578">
        <v>0.18659999999999999</v>
      </c>
      <c r="F53" s="577">
        <v>0.3</v>
      </c>
    </row>
    <row r="54" spans="1:6">
      <c r="A54" s="575" t="s">
        <v>1049</v>
      </c>
      <c r="B54" s="576" t="s">
        <v>957</v>
      </c>
      <c r="C54" s="577">
        <v>4.82E-2</v>
      </c>
      <c r="D54" s="577">
        <v>6.83E-2</v>
      </c>
      <c r="E54" s="578">
        <v>0.1183</v>
      </c>
      <c r="F54" s="577">
        <v>0.2</v>
      </c>
    </row>
    <row r="55" spans="1:6">
      <c r="A55" s="575" t="s">
        <v>1050</v>
      </c>
      <c r="B55" s="576" t="s">
        <v>978</v>
      </c>
      <c r="C55" s="577">
        <v>4.3E-3</v>
      </c>
      <c r="D55" s="577">
        <v>6.1000000000000004E-3</v>
      </c>
      <c r="E55" s="578">
        <v>5.6099999999999997E-2</v>
      </c>
      <c r="F55" s="577">
        <v>0.2</v>
      </c>
    </row>
    <row r="56" spans="1:6">
      <c r="A56" s="575" t="s">
        <v>207</v>
      </c>
      <c r="B56" s="576" t="s">
        <v>954</v>
      </c>
      <c r="C56" s="577">
        <v>5.3E-3</v>
      </c>
      <c r="D56" s="577">
        <v>7.4999999999999997E-3</v>
      </c>
      <c r="E56" s="578">
        <v>5.7500000000000002E-2</v>
      </c>
      <c r="F56" s="577">
        <v>0.25</v>
      </c>
    </row>
    <row r="57" spans="1:6">
      <c r="A57" s="575" t="s">
        <v>1051</v>
      </c>
      <c r="B57" s="576" t="s">
        <v>991</v>
      </c>
      <c r="C57" s="577">
        <v>8.0199999999999994E-2</v>
      </c>
      <c r="D57" s="577">
        <v>0.1138</v>
      </c>
      <c r="E57" s="578">
        <v>0.1638</v>
      </c>
      <c r="F57" s="577">
        <v>0.3</v>
      </c>
    </row>
    <row r="58" spans="1:6">
      <c r="A58" s="575" t="s">
        <v>1052</v>
      </c>
      <c r="B58" s="576" t="s">
        <v>960</v>
      </c>
      <c r="C58" s="577">
        <v>5.8799999999999998E-2</v>
      </c>
      <c r="D58" s="577">
        <v>8.3500000000000005E-2</v>
      </c>
      <c r="E58" s="578">
        <v>0.13350000000000001</v>
      </c>
      <c r="F58" s="577">
        <v>0.31</v>
      </c>
    </row>
    <row r="59" spans="1:6">
      <c r="A59" s="575" t="s">
        <v>1053</v>
      </c>
      <c r="B59" s="576" t="s">
        <v>1011</v>
      </c>
      <c r="C59" s="577">
        <v>3.2199999999999999E-2</v>
      </c>
      <c r="D59" s="577">
        <v>4.5699999999999998E-2</v>
      </c>
      <c r="E59" s="578">
        <v>9.5699999999999993E-2</v>
      </c>
      <c r="F59" s="577">
        <v>0.15</v>
      </c>
    </row>
    <row r="60" spans="1:6">
      <c r="A60" s="575" t="s">
        <v>968</v>
      </c>
      <c r="B60" s="576" t="s">
        <v>975</v>
      </c>
      <c r="C60" s="577">
        <v>0</v>
      </c>
      <c r="D60" s="577">
        <v>0</v>
      </c>
      <c r="E60" s="578">
        <v>0.05</v>
      </c>
      <c r="F60" s="577">
        <v>0.3</v>
      </c>
    </row>
    <row r="61" spans="1:6">
      <c r="A61" s="575" t="s">
        <v>1054</v>
      </c>
      <c r="B61" s="576" t="s">
        <v>967</v>
      </c>
      <c r="C61" s="577">
        <v>0.12839999999999999</v>
      </c>
      <c r="D61" s="577">
        <v>0.18210000000000001</v>
      </c>
      <c r="E61" s="578">
        <v>0.2321</v>
      </c>
      <c r="F61" s="577">
        <v>0.25</v>
      </c>
    </row>
    <row r="62" spans="1:6">
      <c r="A62" s="579" t="s">
        <v>1055</v>
      </c>
      <c r="B62" s="580" t="s">
        <v>970</v>
      </c>
      <c r="C62" s="581">
        <v>3.85E-2</v>
      </c>
      <c r="D62" s="581">
        <v>5.4600000000000003E-2</v>
      </c>
      <c r="E62" s="578">
        <v>0.1046</v>
      </c>
      <c r="F62" s="581">
        <v>0.22</v>
      </c>
    </row>
    <row r="63" spans="1:6">
      <c r="A63" s="575" t="s">
        <v>1056</v>
      </c>
      <c r="B63" s="576" t="s">
        <v>981</v>
      </c>
      <c r="C63" s="577">
        <v>2.6800000000000001E-2</v>
      </c>
      <c r="D63" s="577">
        <v>3.7999999999999999E-2</v>
      </c>
      <c r="E63" s="578">
        <v>8.7999999999999995E-2</v>
      </c>
      <c r="F63" s="577">
        <v>0.25</v>
      </c>
    </row>
    <row r="64" spans="1:6">
      <c r="A64" s="575" t="s">
        <v>1057</v>
      </c>
      <c r="B64" s="576" t="s">
        <v>954</v>
      </c>
      <c r="C64" s="577">
        <v>5.3E-3</v>
      </c>
      <c r="D64" s="577">
        <v>7.4999999999999997E-3</v>
      </c>
      <c r="E64" s="578">
        <v>5.7500000000000002E-2</v>
      </c>
      <c r="F64" s="577">
        <v>0</v>
      </c>
    </row>
    <row r="65" spans="1:6">
      <c r="A65" s="575" t="s">
        <v>1058</v>
      </c>
      <c r="B65" s="576" t="s">
        <v>960</v>
      </c>
      <c r="C65" s="577">
        <v>9.6299999999999997E-2</v>
      </c>
      <c r="D65" s="577">
        <v>0.1366</v>
      </c>
      <c r="E65" s="578">
        <v>0.18659999999999999</v>
      </c>
      <c r="F65" s="577">
        <v>0.29149999999999998</v>
      </c>
    </row>
    <row r="66" spans="1:6">
      <c r="A66" s="575" t="s">
        <v>1059</v>
      </c>
      <c r="B66" s="576" t="s">
        <v>960</v>
      </c>
      <c r="C66" s="577">
        <v>5.8799999999999998E-2</v>
      </c>
      <c r="D66" s="577">
        <v>8.3500000000000005E-2</v>
      </c>
      <c r="E66" s="578">
        <v>0.13350000000000001</v>
      </c>
      <c r="F66" s="577">
        <v>0.29149999999999998</v>
      </c>
    </row>
    <row r="67" spans="1:6">
      <c r="A67" s="575" t="s">
        <v>1060</v>
      </c>
      <c r="B67" s="576" t="s">
        <v>960</v>
      </c>
      <c r="C67" s="577">
        <v>1.7100000000000001E-2</v>
      </c>
      <c r="D67" s="577">
        <v>2.4299999999999999E-2</v>
      </c>
      <c r="E67" s="578">
        <v>7.4300000000000005E-2</v>
      </c>
      <c r="F67" s="577">
        <v>0.18640000000000001</v>
      </c>
    </row>
    <row r="68" spans="1:6">
      <c r="A68" s="575" t="s">
        <v>1061</v>
      </c>
      <c r="B68" s="576" t="s">
        <v>960</v>
      </c>
      <c r="C68" s="577">
        <v>0.12839999999999999</v>
      </c>
      <c r="D68" s="577">
        <v>0.18210000000000001</v>
      </c>
      <c r="E68" s="578">
        <v>0.2321</v>
      </c>
      <c r="F68" s="577">
        <v>0.18640000000000001</v>
      </c>
    </row>
    <row r="69" spans="1:6">
      <c r="A69" s="575" t="s">
        <v>1062</v>
      </c>
      <c r="B69" s="576" t="s">
        <v>957</v>
      </c>
      <c r="C69" s="577">
        <v>4.82E-2</v>
      </c>
      <c r="D69" s="577">
        <v>6.83E-2</v>
      </c>
      <c r="E69" s="578">
        <v>0.1183</v>
      </c>
      <c r="F69" s="577">
        <v>0.25</v>
      </c>
    </row>
    <row r="70" spans="1:6">
      <c r="A70" s="575" t="s">
        <v>999</v>
      </c>
      <c r="B70" s="576" t="s">
        <v>995</v>
      </c>
      <c r="C70" s="577">
        <v>6.4000000000000003E-3</v>
      </c>
      <c r="D70" s="577">
        <v>9.1000000000000004E-3</v>
      </c>
      <c r="E70" s="578">
        <v>5.91E-2</v>
      </c>
      <c r="F70" s="577">
        <v>0.16500000000000001</v>
      </c>
    </row>
    <row r="71" spans="1:6">
      <c r="A71" s="579" t="s">
        <v>1063</v>
      </c>
      <c r="B71" s="580" t="s">
        <v>963</v>
      </c>
      <c r="C71" s="581">
        <v>2.0400000000000001E-2</v>
      </c>
      <c r="D71" s="581">
        <v>2.8899999999999999E-2</v>
      </c>
      <c r="E71" s="578">
        <v>7.8899999999999998E-2</v>
      </c>
      <c r="F71" s="581">
        <v>0.09</v>
      </c>
    </row>
    <row r="72" spans="1:6">
      <c r="A72" s="575" t="s">
        <v>1064</v>
      </c>
      <c r="B72" s="576" t="s">
        <v>1003</v>
      </c>
      <c r="C72" s="577">
        <v>9.1000000000000004E-3</v>
      </c>
      <c r="D72" s="577">
        <v>1.2800000000000001E-2</v>
      </c>
      <c r="E72" s="578">
        <v>6.2799999999999995E-2</v>
      </c>
      <c r="F72" s="577">
        <v>0.2</v>
      </c>
    </row>
    <row r="73" spans="1:6">
      <c r="A73" s="575" t="s">
        <v>1022</v>
      </c>
      <c r="B73" s="576" t="s">
        <v>1065</v>
      </c>
      <c r="C73" s="577">
        <v>2.35E-2</v>
      </c>
      <c r="D73" s="577">
        <v>3.3300000000000003E-2</v>
      </c>
      <c r="E73" s="578">
        <v>8.3299999999999999E-2</v>
      </c>
      <c r="F73" s="577">
        <v>0.3</v>
      </c>
    </row>
    <row r="74" spans="1:6">
      <c r="A74" s="575" t="s">
        <v>1066</v>
      </c>
      <c r="B74" s="576" t="s">
        <v>963</v>
      </c>
      <c r="C74" s="577">
        <v>2.0400000000000001E-2</v>
      </c>
      <c r="D74" s="577">
        <v>2.8899999999999999E-2</v>
      </c>
      <c r="E74" s="578">
        <v>7.8899999999999998E-2</v>
      </c>
      <c r="F74" s="577">
        <v>0.22</v>
      </c>
    </row>
    <row r="75" spans="1:6">
      <c r="A75" s="575" t="s">
        <v>1067</v>
      </c>
      <c r="B75" s="576" t="s">
        <v>960</v>
      </c>
      <c r="C75" s="577">
        <v>6.9500000000000006E-2</v>
      </c>
      <c r="D75" s="577">
        <v>9.8599999999999993E-2</v>
      </c>
      <c r="E75" s="578">
        <v>0.14860000000000001</v>
      </c>
      <c r="F75" s="577">
        <v>0.20230000000000001</v>
      </c>
    </row>
    <row r="76" spans="1:6">
      <c r="A76" s="575" t="s">
        <v>1068</v>
      </c>
      <c r="B76" s="576" t="s">
        <v>991</v>
      </c>
      <c r="C76" s="577">
        <v>8.0199999999999994E-2</v>
      </c>
      <c r="D76" s="577">
        <v>0.1138</v>
      </c>
      <c r="E76" s="578">
        <v>0.1638</v>
      </c>
      <c r="F76" s="577">
        <v>0.15</v>
      </c>
    </row>
    <row r="77" spans="1:6">
      <c r="A77" s="575" t="s">
        <v>1069</v>
      </c>
      <c r="B77" s="576" t="s">
        <v>995</v>
      </c>
      <c r="C77" s="577">
        <v>6.4000000000000003E-3</v>
      </c>
      <c r="D77" s="577">
        <v>9.1000000000000004E-3</v>
      </c>
      <c r="E77" s="578">
        <v>5.91E-2</v>
      </c>
      <c r="F77" s="577">
        <v>0.125</v>
      </c>
    </row>
    <row r="78" spans="1:6">
      <c r="A78" s="575" t="s">
        <v>1070</v>
      </c>
      <c r="B78" s="576" t="s">
        <v>995</v>
      </c>
      <c r="C78" s="577">
        <v>6.4000000000000003E-3</v>
      </c>
      <c r="D78" s="577">
        <v>9.1000000000000004E-3</v>
      </c>
      <c r="E78" s="578">
        <v>5.91E-2</v>
      </c>
      <c r="F78" s="577">
        <v>0</v>
      </c>
    </row>
    <row r="79" spans="1:6">
      <c r="A79" s="575" t="s">
        <v>1071</v>
      </c>
      <c r="B79" s="576" t="s">
        <v>1029</v>
      </c>
      <c r="C79" s="577">
        <v>7.4999999999999997E-3</v>
      </c>
      <c r="D79" s="577">
        <v>1.0699999999999999E-2</v>
      </c>
      <c r="E79" s="578">
        <v>6.0699999999999997E-2</v>
      </c>
      <c r="F79" s="577">
        <v>0.23</v>
      </c>
    </row>
    <row r="80" spans="1:6">
      <c r="A80" s="579" t="s">
        <v>971</v>
      </c>
      <c r="B80" s="580" t="s">
        <v>1065</v>
      </c>
      <c r="C80" s="581">
        <v>2.35E-2</v>
      </c>
      <c r="D80" s="581">
        <v>3.3300000000000003E-2</v>
      </c>
      <c r="E80" s="578">
        <v>8.3299999999999999E-2</v>
      </c>
      <c r="F80" s="581">
        <v>0.24</v>
      </c>
    </row>
    <row r="81" spans="1:6">
      <c r="A81" s="579" t="s">
        <v>1072</v>
      </c>
      <c r="B81" s="580" t="s">
        <v>986</v>
      </c>
      <c r="C81" s="581">
        <v>5.8799999999999998E-2</v>
      </c>
      <c r="D81" s="581">
        <v>8.3500000000000005E-2</v>
      </c>
      <c r="E81" s="578">
        <v>0.13350000000000001</v>
      </c>
      <c r="F81" s="581">
        <v>0.25</v>
      </c>
    </row>
    <row r="82" spans="1:6">
      <c r="A82" s="575" t="s">
        <v>204</v>
      </c>
      <c r="B82" s="576" t="s">
        <v>1029</v>
      </c>
      <c r="C82" s="577">
        <v>7.4999999999999997E-3</v>
      </c>
      <c r="D82" s="577">
        <v>1.0699999999999999E-2</v>
      </c>
      <c r="E82" s="578">
        <v>6.0699999999999997E-2</v>
      </c>
      <c r="F82" s="577">
        <v>0.23200000000000001</v>
      </c>
    </row>
    <row r="83" spans="1:6">
      <c r="A83" s="575" t="s">
        <v>1073</v>
      </c>
      <c r="B83" s="576" t="s">
        <v>995</v>
      </c>
      <c r="C83" s="577">
        <v>6.4000000000000003E-3</v>
      </c>
      <c r="D83" s="577">
        <v>9.1000000000000004E-3</v>
      </c>
      <c r="E83" s="578">
        <v>5.91E-2</v>
      </c>
      <c r="F83" s="577">
        <v>0</v>
      </c>
    </row>
    <row r="84" spans="1:6">
      <c r="A84" s="575" t="s">
        <v>1074</v>
      </c>
      <c r="B84" s="576" t="s">
        <v>957</v>
      </c>
      <c r="C84" s="577">
        <v>4.82E-2</v>
      </c>
      <c r="D84" s="577">
        <v>6.83E-2</v>
      </c>
      <c r="E84" s="578">
        <v>0.1183</v>
      </c>
      <c r="F84" s="577">
        <v>0.2</v>
      </c>
    </row>
    <row r="85" spans="1:6">
      <c r="A85" s="579" t="s">
        <v>1075</v>
      </c>
      <c r="B85" s="580" t="s">
        <v>963</v>
      </c>
      <c r="C85" s="581">
        <v>2.0400000000000001E-2</v>
      </c>
      <c r="D85" s="581">
        <v>2.8899999999999999E-2</v>
      </c>
      <c r="E85" s="578">
        <v>7.8899999999999998E-2</v>
      </c>
      <c r="F85" s="581">
        <v>0.2</v>
      </c>
    </row>
    <row r="86" spans="1:6">
      <c r="A86" s="575" t="s">
        <v>1076</v>
      </c>
      <c r="B86" s="576" t="s">
        <v>965</v>
      </c>
      <c r="C86" s="577">
        <v>6.9500000000000006E-2</v>
      </c>
      <c r="D86" s="577">
        <v>9.8599999999999993E-2</v>
      </c>
      <c r="E86" s="578">
        <v>0.14860000000000001</v>
      </c>
      <c r="F86" s="577">
        <v>0.3</v>
      </c>
    </row>
    <row r="87" spans="1:6">
      <c r="A87" s="575" t="s">
        <v>1018</v>
      </c>
      <c r="B87" s="576" t="s">
        <v>954</v>
      </c>
      <c r="C87" s="577">
        <v>5.3E-3</v>
      </c>
      <c r="D87" s="577">
        <v>7.4999999999999997E-3</v>
      </c>
      <c r="E87" s="578">
        <v>5.7500000000000002E-2</v>
      </c>
      <c r="F87" s="577">
        <v>0.25</v>
      </c>
    </row>
    <row r="88" spans="1:6">
      <c r="A88" s="575" t="s">
        <v>1077</v>
      </c>
      <c r="B88" s="576" t="s">
        <v>960</v>
      </c>
      <c r="C88" s="577">
        <v>0.12839999999999999</v>
      </c>
      <c r="D88" s="577">
        <v>0.18210000000000001</v>
      </c>
      <c r="E88" s="578">
        <v>0.2321</v>
      </c>
      <c r="F88" s="577">
        <v>0.23100000000000001</v>
      </c>
    </row>
    <row r="89" spans="1:6">
      <c r="A89" s="575" t="s">
        <v>1078</v>
      </c>
      <c r="B89" s="576" t="s">
        <v>1029</v>
      </c>
      <c r="C89" s="577">
        <v>7.4999999999999997E-3</v>
      </c>
      <c r="D89" s="577">
        <v>1.0699999999999999E-2</v>
      </c>
      <c r="E89" s="578">
        <v>6.0699999999999997E-2</v>
      </c>
      <c r="F89" s="577">
        <v>0.15</v>
      </c>
    </row>
    <row r="90" spans="1:6">
      <c r="A90" s="575" t="s">
        <v>1079</v>
      </c>
      <c r="B90" s="576" t="s">
        <v>965</v>
      </c>
      <c r="C90" s="577">
        <v>6.9500000000000006E-2</v>
      </c>
      <c r="D90" s="577">
        <v>9.8599999999999993E-2</v>
      </c>
      <c r="E90" s="578">
        <v>0.14860000000000001</v>
      </c>
      <c r="F90" s="577">
        <v>0.1</v>
      </c>
    </row>
    <row r="91" spans="1:6">
      <c r="A91" s="575" t="s">
        <v>1080</v>
      </c>
      <c r="B91" s="576" t="s">
        <v>1044</v>
      </c>
      <c r="C91" s="577">
        <v>0.107</v>
      </c>
      <c r="D91" s="577">
        <v>0.15179999999999999</v>
      </c>
      <c r="E91" s="578">
        <v>0.20180000000000001</v>
      </c>
      <c r="F91" s="577">
        <v>0.2281</v>
      </c>
    </row>
    <row r="92" spans="1:6">
      <c r="A92" s="575" t="s">
        <v>1081</v>
      </c>
      <c r="B92" s="576" t="s">
        <v>1009</v>
      </c>
      <c r="C92" s="577">
        <v>1.2800000000000001E-2</v>
      </c>
      <c r="D92" s="577">
        <v>1.8200000000000001E-2</v>
      </c>
      <c r="E92" s="578">
        <v>6.8199999999999997E-2</v>
      </c>
      <c r="F92" s="577">
        <v>0.2</v>
      </c>
    </row>
    <row r="93" spans="1:6">
      <c r="A93" s="575" t="s">
        <v>1082</v>
      </c>
      <c r="B93" s="576" t="s">
        <v>411</v>
      </c>
      <c r="C93" s="577">
        <v>0.17499999999999999</v>
      </c>
      <c r="D93" s="577">
        <v>0.2482</v>
      </c>
      <c r="E93" s="578">
        <v>0.29820000000000002</v>
      </c>
      <c r="F93" s="577">
        <v>0.17</v>
      </c>
    </row>
    <row r="94" spans="1:6">
      <c r="A94" s="575" t="s">
        <v>1083</v>
      </c>
      <c r="B94" s="576" t="s">
        <v>960</v>
      </c>
      <c r="C94" s="577">
        <v>0.107</v>
      </c>
      <c r="D94" s="577">
        <v>0.15179999999999999</v>
      </c>
      <c r="E94" s="578">
        <v>0.20180000000000001</v>
      </c>
      <c r="F94" s="577">
        <v>0.29149999999999998</v>
      </c>
    </row>
    <row r="95" spans="1:6">
      <c r="A95" s="575" t="s">
        <v>1084</v>
      </c>
      <c r="B95" s="576" t="s">
        <v>960</v>
      </c>
      <c r="C95" s="577">
        <v>2.0400000000000001E-2</v>
      </c>
      <c r="D95" s="577">
        <v>2.8899999999999999E-2</v>
      </c>
      <c r="E95" s="578">
        <v>7.8899999999999998E-2</v>
      </c>
      <c r="F95" s="577">
        <v>0.2</v>
      </c>
    </row>
    <row r="96" spans="1:6">
      <c r="A96" s="575" t="s">
        <v>1085</v>
      </c>
      <c r="B96" s="576" t="s">
        <v>975</v>
      </c>
      <c r="C96" s="577">
        <v>0</v>
      </c>
      <c r="D96" s="577">
        <v>0</v>
      </c>
      <c r="E96" s="578">
        <v>0.05</v>
      </c>
      <c r="F96" s="577">
        <v>0.125</v>
      </c>
    </row>
    <row r="97" spans="1:6">
      <c r="A97" s="575" t="s">
        <v>1086</v>
      </c>
      <c r="B97" s="576" t="s">
        <v>1003</v>
      </c>
      <c r="C97" s="577">
        <v>9.1000000000000004E-3</v>
      </c>
      <c r="D97" s="577">
        <v>1.2800000000000001E-2</v>
      </c>
      <c r="E97" s="578">
        <v>6.2799999999999995E-2</v>
      </c>
      <c r="F97" s="577">
        <v>0.15</v>
      </c>
    </row>
    <row r="98" spans="1:6">
      <c r="A98" s="575" t="s">
        <v>1087</v>
      </c>
      <c r="B98" s="576" t="s">
        <v>975</v>
      </c>
      <c r="C98" s="577">
        <v>0</v>
      </c>
      <c r="D98" s="577">
        <v>0</v>
      </c>
      <c r="E98" s="578">
        <v>0.05</v>
      </c>
      <c r="F98" s="577">
        <v>0.24940000000000001</v>
      </c>
    </row>
    <row r="99" spans="1:6">
      <c r="A99" s="575" t="s">
        <v>1001</v>
      </c>
      <c r="B99" s="576" t="s">
        <v>995</v>
      </c>
      <c r="C99" s="577">
        <v>6.4000000000000003E-3</v>
      </c>
      <c r="D99" s="577">
        <v>9.1000000000000004E-3</v>
      </c>
      <c r="E99" s="578">
        <v>5.91E-2</v>
      </c>
      <c r="F99" s="577">
        <v>0.2281</v>
      </c>
    </row>
    <row r="100" spans="1:6">
      <c r="A100" s="575" t="s">
        <v>1088</v>
      </c>
      <c r="B100" s="576" t="s">
        <v>970</v>
      </c>
      <c r="C100" s="577">
        <v>3.85E-2</v>
      </c>
      <c r="D100" s="577">
        <v>5.4600000000000003E-2</v>
      </c>
      <c r="E100" s="578">
        <v>0.1046</v>
      </c>
      <c r="F100" s="577">
        <v>0.1</v>
      </c>
    </row>
    <row r="101" spans="1:6">
      <c r="A101" s="575" t="s">
        <v>1089</v>
      </c>
      <c r="B101" s="576" t="s">
        <v>960</v>
      </c>
      <c r="C101" s="577">
        <v>6.9500000000000006E-2</v>
      </c>
      <c r="D101" s="577">
        <v>9.8599999999999993E-2</v>
      </c>
      <c r="E101" s="578">
        <v>0.14860000000000001</v>
      </c>
      <c r="F101" s="577">
        <v>0.2</v>
      </c>
    </row>
    <row r="102" spans="1:6">
      <c r="A102" s="575" t="s">
        <v>1090</v>
      </c>
      <c r="B102" s="576" t="s">
        <v>960</v>
      </c>
      <c r="C102" s="577">
        <v>0.12839999999999999</v>
      </c>
      <c r="D102" s="577">
        <v>0.18210000000000001</v>
      </c>
      <c r="E102" s="578">
        <v>0.2321</v>
      </c>
      <c r="F102" s="577">
        <v>0.3</v>
      </c>
    </row>
    <row r="103" spans="1:6">
      <c r="A103" s="575" t="s">
        <v>1005</v>
      </c>
      <c r="B103" s="576" t="s">
        <v>1009</v>
      </c>
      <c r="C103" s="577">
        <v>1.2800000000000001E-2</v>
      </c>
      <c r="D103" s="577">
        <v>1.8200000000000001E-2</v>
      </c>
      <c r="E103" s="578">
        <v>6.8199999999999997E-2</v>
      </c>
      <c r="F103" s="577">
        <v>0.24</v>
      </c>
    </row>
    <row r="104" spans="1:6">
      <c r="A104" s="575" t="s">
        <v>1091</v>
      </c>
      <c r="B104" s="576" t="s">
        <v>991</v>
      </c>
      <c r="C104" s="577">
        <v>8.0199999999999994E-2</v>
      </c>
      <c r="D104" s="577">
        <v>0.1138</v>
      </c>
      <c r="E104" s="578">
        <v>0.1638</v>
      </c>
      <c r="F104" s="577">
        <v>0.2281</v>
      </c>
    </row>
    <row r="105" spans="1:6">
      <c r="A105" s="575" t="s">
        <v>1092</v>
      </c>
      <c r="B105" s="576" t="s">
        <v>998</v>
      </c>
      <c r="C105" s="577">
        <v>9.6299999999999997E-2</v>
      </c>
      <c r="D105" s="577">
        <v>0.1366</v>
      </c>
      <c r="E105" s="578">
        <v>0.18659999999999999</v>
      </c>
      <c r="F105" s="577">
        <v>0.2281</v>
      </c>
    </row>
    <row r="106" spans="1:6">
      <c r="A106" s="575" t="s">
        <v>1093</v>
      </c>
      <c r="B106" s="576" t="s">
        <v>1003</v>
      </c>
      <c r="C106" s="577">
        <v>9.1000000000000004E-3</v>
      </c>
      <c r="D106" s="577">
        <v>1.2800000000000001E-2</v>
      </c>
      <c r="E106" s="578">
        <v>6.2799999999999995E-2</v>
      </c>
      <c r="F106" s="577">
        <v>0.35</v>
      </c>
    </row>
    <row r="107" spans="1:6">
      <c r="A107" s="575" t="s">
        <v>1094</v>
      </c>
      <c r="B107" s="576" t="s">
        <v>1065</v>
      </c>
      <c r="C107" s="577">
        <v>2.35E-2</v>
      </c>
      <c r="D107" s="577">
        <v>3.3300000000000003E-2</v>
      </c>
      <c r="E107" s="578">
        <v>8.3299999999999999E-2</v>
      </c>
      <c r="F107" s="577">
        <v>0.15</v>
      </c>
    </row>
    <row r="108" spans="1:6">
      <c r="A108" s="575" t="s">
        <v>992</v>
      </c>
      <c r="B108" s="576" t="s">
        <v>963</v>
      </c>
      <c r="C108" s="577">
        <v>2.0400000000000001E-2</v>
      </c>
      <c r="D108" s="577">
        <v>2.8899999999999999E-2</v>
      </c>
      <c r="E108" s="578">
        <v>7.8899999999999998E-2</v>
      </c>
      <c r="F108" s="577">
        <v>0.3</v>
      </c>
    </row>
    <row r="109" spans="1:6">
      <c r="A109" s="575" t="s">
        <v>1095</v>
      </c>
      <c r="B109" s="576" t="s">
        <v>965</v>
      </c>
      <c r="C109" s="577">
        <v>6.9500000000000006E-2</v>
      </c>
      <c r="D109" s="577">
        <v>9.8599999999999993E-2</v>
      </c>
      <c r="E109" s="578">
        <v>0.14860000000000001</v>
      </c>
      <c r="F109" s="577">
        <v>0.12</v>
      </c>
    </row>
    <row r="110" spans="1:6">
      <c r="A110" s="575" t="s">
        <v>1096</v>
      </c>
      <c r="B110" s="576" t="s">
        <v>965</v>
      </c>
      <c r="C110" s="577">
        <v>6.9500000000000006E-2</v>
      </c>
      <c r="D110" s="577">
        <v>9.8599999999999993E-2</v>
      </c>
      <c r="E110" s="578">
        <v>0.14860000000000001</v>
      </c>
      <c r="F110" s="577">
        <v>0.25</v>
      </c>
    </row>
    <row r="111" spans="1:6">
      <c r="A111" s="575" t="s">
        <v>1097</v>
      </c>
      <c r="B111" s="576" t="s">
        <v>957</v>
      </c>
      <c r="C111" s="577">
        <v>4.82E-2</v>
      </c>
      <c r="D111" s="577">
        <v>6.83E-2</v>
      </c>
      <c r="E111" s="578">
        <v>0.1183</v>
      </c>
      <c r="F111" s="577">
        <v>0.15</v>
      </c>
    </row>
    <row r="112" spans="1:6">
      <c r="A112" s="579" t="s">
        <v>1098</v>
      </c>
      <c r="B112" s="580" t="s">
        <v>1065</v>
      </c>
      <c r="C112" s="581">
        <v>2.35E-2</v>
      </c>
      <c r="D112" s="581">
        <v>3.3300000000000003E-2</v>
      </c>
      <c r="E112" s="578">
        <v>8.3299999999999999E-2</v>
      </c>
      <c r="F112" s="581">
        <v>0.27179999999999999</v>
      </c>
    </row>
    <row r="113" spans="1:6">
      <c r="A113" s="575" t="s">
        <v>1099</v>
      </c>
      <c r="B113" s="576" t="s">
        <v>981</v>
      </c>
      <c r="C113" s="577">
        <v>2.6800000000000001E-2</v>
      </c>
      <c r="D113" s="577">
        <v>3.7999999999999999E-2</v>
      </c>
      <c r="E113" s="578">
        <v>8.7999999999999995E-2</v>
      </c>
      <c r="F113" s="577">
        <v>0.31</v>
      </c>
    </row>
    <row r="114" spans="1:6">
      <c r="A114" s="575" t="s">
        <v>1100</v>
      </c>
      <c r="B114" s="576" t="s">
        <v>998</v>
      </c>
      <c r="C114" s="577">
        <v>9.6299999999999997E-2</v>
      </c>
      <c r="D114" s="577">
        <v>0.1366</v>
      </c>
      <c r="E114" s="578">
        <v>0.18659999999999999</v>
      </c>
      <c r="F114" s="577">
        <v>0.32</v>
      </c>
    </row>
    <row r="115" spans="1:6">
      <c r="A115" s="575" t="s">
        <v>1101</v>
      </c>
      <c r="B115" s="576" t="s">
        <v>960</v>
      </c>
      <c r="C115" s="577">
        <v>0.107</v>
      </c>
      <c r="D115" s="577">
        <v>0.15179999999999999</v>
      </c>
      <c r="E115" s="578">
        <v>0.20180000000000001</v>
      </c>
      <c r="F115" s="577">
        <v>0.25</v>
      </c>
    </row>
    <row r="116" spans="1:6">
      <c r="A116" s="575" t="s">
        <v>1102</v>
      </c>
      <c r="B116" s="576" t="s">
        <v>957</v>
      </c>
      <c r="C116" s="577">
        <v>4.82E-2</v>
      </c>
      <c r="D116" s="577">
        <v>6.83E-2</v>
      </c>
      <c r="E116" s="578">
        <v>0.1183</v>
      </c>
      <c r="F116" s="577">
        <v>0.32</v>
      </c>
    </row>
    <row r="117" spans="1:6">
      <c r="A117" s="575" t="s">
        <v>1103</v>
      </c>
      <c r="B117" s="576" t="s">
        <v>975</v>
      </c>
      <c r="C117" s="577">
        <v>0</v>
      </c>
      <c r="D117" s="577">
        <v>0</v>
      </c>
      <c r="E117" s="578">
        <v>0.05</v>
      </c>
      <c r="F117" s="577">
        <v>0.25800000000000001</v>
      </c>
    </row>
    <row r="118" spans="1:6">
      <c r="A118" s="575" t="s">
        <v>1016</v>
      </c>
      <c r="B118" s="576" t="s">
        <v>975</v>
      </c>
      <c r="C118" s="577">
        <v>0</v>
      </c>
      <c r="D118" s="577">
        <v>0</v>
      </c>
      <c r="E118" s="578">
        <v>0.05</v>
      </c>
      <c r="F118" s="577">
        <v>0.28000000000000003</v>
      </c>
    </row>
    <row r="119" spans="1:6">
      <c r="A119" s="575" t="s">
        <v>1104</v>
      </c>
      <c r="B119" s="576" t="s">
        <v>965</v>
      </c>
      <c r="C119" s="577">
        <v>6.9500000000000006E-2</v>
      </c>
      <c r="D119" s="577">
        <v>9.8599999999999993E-2</v>
      </c>
      <c r="E119" s="578">
        <v>0.14860000000000001</v>
      </c>
      <c r="F119" s="577">
        <v>0.3</v>
      </c>
    </row>
    <row r="120" spans="1:6">
      <c r="A120" s="575" t="s">
        <v>1105</v>
      </c>
      <c r="B120" s="576" t="s">
        <v>965</v>
      </c>
      <c r="C120" s="577">
        <v>6.9500000000000006E-2</v>
      </c>
      <c r="D120" s="577">
        <v>9.8599999999999993E-2</v>
      </c>
      <c r="E120" s="578">
        <v>0.14860000000000001</v>
      </c>
      <c r="F120" s="577">
        <v>0.2281</v>
      </c>
    </row>
    <row r="121" spans="1:6">
      <c r="A121" s="575" t="s">
        <v>1106</v>
      </c>
      <c r="B121" s="576" t="s">
        <v>991</v>
      </c>
      <c r="C121" s="577">
        <v>8.0199999999999994E-2</v>
      </c>
      <c r="D121" s="577">
        <v>0.1138</v>
      </c>
      <c r="E121" s="578">
        <v>0.1638</v>
      </c>
      <c r="F121" s="577">
        <v>0.3</v>
      </c>
    </row>
    <row r="122" spans="1:6">
      <c r="A122" s="579" t="s">
        <v>1107</v>
      </c>
      <c r="B122" s="580" t="s">
        <v>975</v>
      </c>
      <c r="C122" s="581">
        <v>0</v>
      </c>
      <c r="D122" s="581">
        <v>0</v>
      </c>
      <c r="E122" s="578">
        <v>0.05</v>
      </c>
      <c r="F122" s="581">
        <v>0.22</v>
      </c>
    </row>
    <row r="123" spans="1:6">
      <c r="A123" s="575" t="s">
        <v>1108</v>
      </c>
      <c r="B123" s="576" t="s">
        <v>1011</v>
      </c>
      <c r="C123" s="577">
        <v>3.2199999999999999E-2</v>
      </c>
      <c r="D123" s="577">
        <v>4.5699999999999998E-2</v>
      </c>
      <c r="E123" s="578">
        <v>9.5699999999999993E-2</v>
      </c>
      <c r="F123" s="577">
        <v>0.15</v>
      </c>
    </row>
    <row r="124" spans="1:6">
      <c r="A124" s="575" t="s">
        <v>1109</v>
      </c>
      <c r="B124" s="576" t="s">
        <v>1044</v>
      </c>
      <c r="C124" s="577">
        <v>0.107</v>
      </c>
      <c r="D124" s="577">
        <v>0.15179999999999999</v>
      </c>
      <c r="E124" s="578">
        <v>0.20180000000000001</v>
      </c>
      <c r="F124" s="577">
        <v>0.28999999999999998</v>
      </c>
    </row>
    <row r="125" spans="1:6">
      <c r="A125" s="575" t="s">
        <v>1110</v>
      </c>
      <c r="B125" s="576" t="s">
        <v>963</v>
      </c>
      <c r="C125" s="577">
        <v>2.0400000000000001E-2</v>
      </c>
      <c r="D125" s="577">
        <v>2.8899999999999999E-2</v>
      </c>
      <c r="E125" s="578">
        <v>7.8899999999999998E-2</v>
      </c>
      <c r="F125" s="577">
        <v>0.25</v>
      </c>
    </row>
    <row r="126" spans="1:6">
      <c r="A126" s="575" t="s">
        <v>1111</v>
      </c>
      <c r="B126" s="576" t="s">
        <v>986</v>
      </c>
      <c r="C126" s="577">
        <v>5.8799999999999998E-2</v>
      </c>
      <c r="D126" s="577">
        <v>8.3500000000000005E-2</v>
      </c>
      <c r="E126" s="578">
        <v>0.13350000000000001</v>
      </c>
      <c r="F126" s="577">
        <v>0.3</v>
      </c>
    </row>
    <row r="127" spans="1:6">
      <c r="A127" s="575" t="s">
        <v>1112</v>
      </c>
      <c r="B127" s="576" t="s">
        <v>981</v>
      </c>
      <c r="C127" s="577">
        <v>2.6800000000000001E-2</v>
      </c>
      <c r="D127" s="577">
        <v>3.7999999999999999E-2</v>
      </c>
      <c r="E127" s="578">
        <v>8.7999999999999995E-2</v>
      </c>
      <c r="F127" s="577">
        <v>0.1</v>
      </c>
    </row>
    <row r="128" spans="1:6">
      <c r="A128" s="575" t="s">
        <v>1113</v>
      </c>
      <c r="B128" s="576" t="s">
        <v>1015</v>
      </c>
      <c r="C128" s="577">
        <v>1.7100000000000001E-2</v>
      </c>
      <c r="D128" s="577">
        <v>2.4299999999999999E-2</v>
      </c>
      <c r="E128" s="578">
        <v>7.4300000000000005E-2</v>
      </c>
      <c r="F128" s="577">
        <v>0.29499999999999998</v>
      </c>
    </row>
    <row r="129" spans="1:6">
      <c r="A129" s="575" t="s">
        <v>1114</v>
      </c>
      <c r="B129" s="576" t="s">
        <v>963</v>
      </c>
      <c r="C129" s="577">
        <v>2.0400000000000001E-2</v>
      </c>
      <c r="D129" s="577">
        <v>2.8899999999999999E-2</v>
      </c>
      <c r="E129" s="578">
        <v>7.8899999999999998E-2</v>
      </c>
      <c r="F129" s="577">
        <v>0.25</v>
      </c>
    </row>
    <row r="130" spans="1:6">
      <c r="A130" s="575" t="s">
        <v>1115</v>
      </c>
      <c r="B130" s="576" t="s">
        <v>1003</v>
      </c>
      <c r="C130" s="577">
        <v>9.1000000000000004E-3</v>
      </c>
      <c r="D130" s="577">
        <v>1.2800000000000001E-2</v>
      </c>
      <c r="E130" s="578">
        <v>6.2799999999999995E-2</v>
      </c>
      <c r="F130" s="577">
        <v>0.19</v>
      </c>
    </row>
    <row r="131" spans="1:6">
      <c r="A131" s="575" t="s">
        <v>1116</v>
      </c>
      <c r="B131" s="576" t="s">
        <v>963</v>
      </c>
      <c r="C131" s="577">
        <v>2.0400000000000001E-2</v>
      </c>
      <c r="D131" s="577">
        <v>2.8899999999999999E-2</v>
      </c>
      <c r="E131" s="578">
        <v>7.8899999999999998E-2</v>
      </c>
      <c r="F131" s="577">
        <v>0.21</v>
      </c>
    </row>
    <row r="132" spans="1:6">
      <c r="A132" s="575" t="s">
        <v>1117</v>
      </c>
      <c r="B132" s="576" t="s">
        <v>995</v>
      </c>
      <c r="C132" s="577">
        <v>6.4000000000000003E-3</v>
      </c>
      <c r="D132" s="577">
        <v>9.1000000000000004E-3</v>
      </c>
      <c r="E132" s="578">
        <v>5.91E-2</v>
      </c>
      <c r="F132" s="577">
        <v>0.1</v>
      </c>
    </row>
    <row r="133" spans="1:6">
      <c r="A133" s="575" t="s">
        <v>1118</v>
      </c>
      <c r="B133" s="576" t="s">
        <v>1009</v>
      </c>
      <c r="C133" s="577">
        <v>1.2800000000000001E-2</v>
      </c>
      <c r="D133" s="577">
        <v>1.8200000000000001E-2</v>
      </c>
      <c r="E133" s="578">
        <v>6.8199999999999997E-2</v>
      </c>
      <c r="F133" s="577">
        <v>0</v>
      </c>
    </row>
    <row r="134" spans="1:6">
      <c r="A134" s="575" t="s">
        <v>1119</v>
      </c>
      <c r="B134" s="576" t="s">
        <v>1065</v>
      </c>
      <c r="C134" s="577">
        <v>2.35E-2</v>
      </c>
      <c r="D134" s="577">
        <v>3.3300000000000003E-2</v>
      </c>
      <c r="E134" s="578">
        <v>8.3299999999999999E-2</v>
      </c>
      <c r="F134" s="577">
        <v>0.16</v>
      </c>
    </row>
    <row r="135" spans="1:6">
      <c r="A135" s="575" t="s">
        <v>973</v>
      </c>
      <c r="B135" s="576" t="s">
        <v>967</v>
      </c>
      <c r="C135" s="577">
        <v>0.12839999999999999</v>
      </c>
      <c r="D135" s="577">
        <v>0.18210000000000001</v>
      </c>
      <c r="E135" s="578">
        <v>0.2321</v>
      </c>
      <c r="F135" s="577">
        <v>0.2</v>
      </c>
    </row>
    <row r="136" spans="1:6">
      <c r="A136" s="575" t="s">
        <v>1120</v>
      </c>
      <c r="B136" s="576" t="s">
        <v>986</v>
      </c>
      <c r="C136" s="577">
        <v>5.8799999999999998E-2</v>
      </c>
      <c r="D136" s="577">
        <v>8.3500000000000005E-2</v>
      </c>
      <c r="E136" s="578">
        <v>0.13350000000000001</v>
      </c>
      <c r="F136" s="577">
        <v>0.3</v>
      </c>
    </row>
    <row r="137" spans="1:6">
      <c r="A137" s="575" t="s">
        <v>1121</v>
      </c>
      <c r="B137" s="576" t="s">
        <v>1029</v>
      </c>
      <c r="C137" s="577">
        <v>7.4999999999999997E-3</v>
      </c>
      <c r="D137" s="577">
        <v>1.0699999999999999E-2</v>
      </c>
      <c r="E137" s="578">
        <v>6.0699999999999997E-2</v>
      </c>
      <c r="F137" s="577">
        <v>0.2</v>
      </c>
    </row>
    <row r="138" spans="1:6">
      <c r="A138" s="575" t="s">
        <v>1122</v>
      </c>
      <c r="B138" s="576" t="s">
        <v>970</v>
      </c>
      <c r="C138" s="577">
        <v>3.85E-2</v>
      </c>
      <c r="D138" s="577">
        <v>5.4600000000000003E-2</v>
      </c>
      <c r="E138" s="578">
        <v>0.1046</v>
      </c>
      <c r="F138" s="577">
        <v>0.3</v>
      </c>
    </row>
    <row r="139" spans="1:6">
      <c r="A139" s="575" t="s">
        <v>1123</v>
      </c>
      <c r="B139" s="576" t="s">
        <v>1011</v>
      </c>
      <c r="C139" s="577">
        <v>3.2199999999999999E-2</v>
      </c>
      <c r="D139" s="577">
        <v>4.5699999999999998E-2</v>
      </c>
      <c r="E139" s="578">
        <v>9.5699999999999993E-2</v>
      </c>
      <c r="F139" s="577">
        <v>0.15</v>
      </c>
    </row>
    <row r="140" spans="1:6">
      <c r="A140" s="575" t="s">
        <v>1124</v>
      </c>
      <c r="B140" s="576" t="s">
        <v>981</v>
      </c>
      <c r="C140" s="577">
        <v>2.6800000000000001E-2</v>
      </c>
      <c r="D140" s="577">
        <v>3.7999999999999999E-2</v>
      </c>
      <c r="E140" s="578">
        <v>8.7999999999999995E-2</v>
      </c>
      <c r="F140" s="577">
        <v>0</v>
      </c>
    </row>
    <row r="141" spans="1:6">
      <c r="A141" s="575" t="s">
        <v>1125</v>
      </c>
      <c r="B141" s="576" t="s">
        <v>960</v>
      </c>
      <c r="C141" s="577">
        <v>0.12839999999999999</v>
      </c>
      <c r="D141" s="577">
        <v>0.18210000000000001</v>
      </c>
      <c r="E141" s="578">
        <v>0.2321</v>
      </c>
      <c r="F141" s="577">
        <v>0.3</v>
      </c>
    </row>
    <row r="142" spans="1:6">
      <c r="A142" s="575" t="s">
        <v>1007</v>
      </c>
      <c r="B142" s="576" t="s">
        <v>975</v>
      </c>
      <c r="C142" s="577">
        <v>0</v>
      </c>
      <c r="D142" s="577">
        <v>0</v>
      </c>
      <c r="E142" s="578">
        <v>0.05</v>
      </c>
      <c r="F142" s="577">
        <v>0.17</v>
      </c>
    </row>
    <row r="143" spans="1:6">
      <c r="A143" s="575" t="s">
        <v>1126</v>
      </c>
      <c r="B143" s="576" t="s">
        <v>1003</v>
      </c>
      <c r="C143" s="577">
        <v>9.1000000000000004E-3</v>
      </c>
      <c r="D143" s="577">
        <v>1.2800000000000001E-2</v>
      </c>
      <c r="E143" s="578">
        <v>6.2799999999999995E-2</v>
      </c>
      <c r="F143" s="577">
        <v>0.21</v>
      </c>
    </row>
    <row r="144" spans="1:6">
      <c r="A144" s="575" t="s">
        <v>1127</v>
      </c>
      <c r="B144" s="576" t="s">
        <v>1009</v>
      </c>
      <c r="C144" s="577">
        <v>1.2800000000000001E-2</v>
      </c>
      <c r="D144" s="577">
        <v>1.8200000000000001E-2</v>
      </c>
      <c r="E144" s="578">
        <v>6.8199999999999997E-2</v>
      </c>
      <c r="F144" s="577">
        <v>0.19</v>
      </c>
    </row>
    <row r="145" spans="1:6">
      <c r="A145" s="575" t="s">
        <v>1128</v>
      </c>
      <c r="B145" s="576" t="s">
        <v>991</v>
      </c>
      <c r="C145" s="577">
        <v>8.0199999999999994E-2</v>
      </c>
      <c r="D145" s="577">
        <v>0.1138</v>
      </c>
      <c r="E145" s="578">
        <v>0.1638</v>
      </c>
      <c r="F145" s="577">
        <v>0.3</v>
      </c>
    </row>
    <row r="146" spans="1:6">
      <c r="A146" s="575" t="s">
        <v>1129</v>
      </c>
      <c r="B146" s="576" t="s">
        <v>960</v>
      </c>
      <c r="C146" s="577">
        <v>0.12839999999999999</v>
      </c>
      <c r="D146" s="577">
        <v>0.18210000000000001</v>
      </c>
      <c r="E146" s="578">
        <v>0.2321</v>
      </c>
      <c r="F146" s="577">
        <v>0.29149999999999998</v>
      </c>
    </row>
    <row r="147" spans="1:6">
      <c r="A147" s="575" t="s">
        <v>1130</v>
      </c>
      <c r="B147" s="576" t="s">
        <v>1011</v>
      </c>
      <c r="C147" s="577">
        <v>3.2199999999999999E-2</v>
      </c>
      <c r="D147" s="577">
        <v>4.5699999999999998E-2</v>
      </c>
      <c r="E147" s="578">
        <v>9.5699999999999993E-2</v>
      </c>
      <c r="F147" s="577">
        <v>0.27</v>
      </c>
    </row>
    <row r="148" spans="1:6">
      <c r="A148" s="575" t="s">
        <v>976</v>
      </c>
      <c r="B148" s="576" t="s">
        <v>1015</v>
      </c>
      <c r="C148" s="577">
        <v>1.7100000000000001E-2</v>
      </c>
      <c r="D148" s="577">
        <v>2.4299999999999999E-2</v>
      </c>
      <c r="E148" s="578">
        <v>7.4300000000000005E-2</v>
      </c>
      <c r="F148" s="577">
        <v>0.25</v>
      </c>
    </row>
    <row r="149" spans="1:6">
      <c r="A149" s="575" t="s">
        <v>1131</v>
      </c>
      <c r="B149" s="576" t="s">
        <v>967</v>
      </c>
      <c r="C149" s="577">
        <v>0.12839999999999999</v>
      </c>
      <c r="D149" s="577">
        <v>0.18210000000000001</v>
      </c>
      <c r="E149" s="578">
        <v>0.2321</v>
      </c>
      <c r="F149" s="577">
        <v>0.24</v>
      </c>
    </row>
    <row r="150" spans="1:6">
      <c r="A150" s="579" t="s">
        <v>1132</v>
      </c>
      <c r="B150" s="580" t="s">
        <v>1011</v>
      </c>
      <c r="C150" s="581">
        <v>3.2199999999999999E-2</v>
      </c>
      <c r="D150" s="581">
        <v>4.5699999999999998E-2</v>
      </c>
      <c r="E150" s="578">
        <v>9.5699999999999993E-2</v>
      </c>
      <c r="F150" s="581">
        <v>0.27179999999999999</v>
      </c>
    </row>
    <row r="151" spans="1:6">
      <c r="A151" s="575" t="s">
        <v>1133</v>
      </c>
      <c r="B151" s="576" t="s">
        <v>965</v>
      </c>
      <c r="C151" s="577">
        <v>6.9500000000000006E-2</v>
      </c>
      <c r="D151" s="577">
        <v>9.8599999999999993E-2</v>
      </c>
      <c r="E151" s="578">
        <v>0.14860000000000001</v>
      </c>
      <c r="F151" s="577">
        <v>0.27179999999999999</v>
      </c>
    </row>
    <row r="152" spans="1:6">
      <c r="A152" s="575" t="s">
        <v>1134</v>
      </c>
      <c r="B152" s="576" t="s">
        <v>960</v>
      </c>
      <c r="C152" s="577">
        <v>0.17499999999999999</v>
      </c>
      <c r="D152" s="577">
        <v>0.2482</v>
      </c>
      <c r="E152" s="578">
        <v>0.29820000000000002</v>
      </c>
      <c r="F152" s="577">
        <v>0.35</v>
      </c>
    </row>
    <row r="153" spans="1:6">
      <c r="A153" s="579" t="s">
        <v>1135</v>
      </c>
      <c r="B153" s="580" t="s">
        <v>1044</v>
      </c>
      <c r="C153" s="581">
        <v>0.107</v>
      </c>
      <c r="D153" s="581">
        <v>0.15179999999999999</v>
      </c>
      <c r="E153" s="578">
        <v>0.20180000000000001</v>
      </c>
      <c r="F153" s="581">
        <v>0.36</v>
      </c>
    </row>
    <row r="154" spans="1:6">
      <c r="A154" s="579" t="s">
        <v>1136</v>
      </c>
      <c r="B154" s="580" t="s">
        <v>965</v>
      </c>
      <c r="C154" s="581">
        <v>6.9500000000000006E-2</v>
      </c>
      <c r="D154" s="581">
        <v>9.8599999999999993E-2</v>
      </c>
      <c r="E154" s="578">
        <v>0.14860000000000001</v>
      </c>
      <c r="F154" s="581">
        <v>0.27500000000000002</v>
      </c>
    </row>
    <row r="155" spans="1:6">
      <c r="A155" s="575" t="s">
        <v>1137</v>
      </c>
      <c r="B155" s="576" t="s">
        <v>975</v>
      </c>
      <c r="C155" s="577">
        <v>0</v>
      </c>
      <c r="D155" s="577">
        <v>0</v>
      </c>
      <c r="E155" s="578">
        <v>0.05</v>
      </c>
      <c r="F155" s="577">
        <v>0.20599999999999999</v>
      </c>
    </row>
    <row r="156" spans="1:6">
      <c r="A156" s="575" t="s">
        <v>208</v>
      </c>
      <c r="B156" s="576" t="s">
        <v>975</v>
      </c>
      <c r="C156" s="577">
        <v>0</v>
      </c>
      <c r="D156" s="577">
        <v>0</v>
      </c>
      <c r="E156" s="578">
        <v>0.05</v>
      </c>
      <c r="F156" s="577">
        <v>0.18</v>
      </c>
    </row>
    <row r="157" spans="1:6">
      <c r="A157" s="579" t="s">
        <v>1138</v>
      </c>
      <c r="B157" s="580" t="s">
        <v>960</v>
      </c>
      <c r="C157" s="581">
        <v>0.17499999999999999</v>
      </c>
      <c r="D157" s="581">
        <v>0.2482</v>
      </c>
      <c r="E157" s="578">
        <v>0.29820000000000002</v>
      </c>
      <c r="F157" s="581">
        <v>0.28000000000000003</v>
      </c>
    </row>
    <row r="158" spans="1:6">
      <c r="A158" s="575" t="s">
        <v>1010</v>
      </c>
      <c r="B158" s="576" t="s">
        <v>995</v>
      </c>
      <c r="C158" s="577">
        <v>6.4000000000000003E-3</v>
      </c>
      <c r="D158" s="577">
        <v>9.1000000000000004E-3</v>
      </c>
      <c r="E158" s="578">
        <v>5.91E-2</v>
      </c>
      <c r="F158" s="577">
        <v>0.2</v>
      </c>
    </row>
    <row r="159" spans="1:6">
      <c r="A159" s="579" t="s">
        <v>1139</v>
      </c>
      <c r="B159" s="580" t="s">
        <v>965</v>
      </c>
      <c r="C159" s="581">
        <v>6.9500000000000006E-2</v>
      </c>
      <c r="D159" s="581">
        <v>9.8599999999999993E-2</v>
      </c>
      <c r="E159" s="578">
        <v>0.14860000000000001</v>
      </c>
      <c r="F159" s="581">
        <v>0.18</v>
      </c>
    </row>
    <row r="160" spans="1:6">
      <c r="A160" s="575" t="s">
        <v>1140</v>
      </c>
      <c r="B160" s="576" t="s">
        <v>986</v>
      </c>
      <c r="C160" s="577">
        <v>5.8799999999999998E-2</v>
      </c>
      <c r="D160" s="577">
        <v>8.3500000000000005E-2</v>
      </c>
      <c r="E160" s="578">
        <v>0.13350000000000001</v>
      </c>
      <c r="F160" s="577">
        <v>0.3</v>
      </c>
    </row>
    <row r="161" spans="1:6">
      <c r="A161" s="575" t="s">
        <v>1012</v>
      </c>
      <c r="B161" s="576" t="s">
        <v>1015</v>
      </c>
      <c r="C161" s="577">
        <v>1.7100000000000001E-2</v>
      </c>
      <c r="D161" s="577">
        <v>2.4299999999999999E-2</v>
      </c>
      <c r="E161" s="578">
        <v>7.4300000000000005E-2</v>
      </c>
      <c r="F161" s="577">
        <v>0.2</v>
      </c>
    </row>
    <row r="162" spans="1:6">
      <c r="A162" s="575" t="s">
        <v>1141</v>
      </c>
      <c r="B162" s="576" t="s">
        <v>965</v>
      </c>
      <c r="C162" s="577">
        <v>6.9500000000000006E-2</v>
      </c>
      <c r="D162" s="577">
        <v>9.8599999999999993E-2</v>
      </c>
      <c r="E162" s="578">
        <v>0.14860000000000001</v>
      </c>
      <c r="F162" s="577">
        <v>0.2281</v>
      </c>
    </row>
    <row r="163" spans="1:6">
      <c r="A163" s="575" t="s">
        <v>1142</v>
      </c>
      <c r="B163" s="576" t="s">
        <v>1011</v>
      </c>
      <c r="C163" s="577">
        <v>3.2199999999999999E-2</v>
      </c>
      <c r="D163" s="577">
        <v>4.5699999999999998E-2</v>
      </c>
      <c r="E163" s="578">
        <v>9.5699999999999993E-2</v>
      </c>
      <c r="F163" s="577">
        <v>0.3</v>
      </c>
    </row>
    <row r="164" spans="1:6">
      <c r="A164" s="575" t="s">
        <v>1143</v>
      </c>
      <c r="B164" s="576" t="s">
        <v>998</v>
      </c>
      <c r="C164" s="577">
        <v>9.6299999999999997E-2</v>
      </c>
      <c r="D164" s="577">
        <v>0.1366</v>
      </c>
      <c r="E164" s="578">
        <v>0.18659999999999999</v>
      </c>
      <c r="F164" s="577">
        <v>0.15</v>
      </c>
    </row>
    <row r="165" spans="1:6">
      <c r="A165" s="579" t="s">
        <v>1144</v>
      </c>
      <c r="B165" s="580" t="s">
        <v>965</v>
      </c>
      <c r="C165" s="581">
        <v>6.9500000000000006E-2</v>
      </c>
      <c r="D165" s="581">
        <v>9.8599999999999993E-2</v>
      </c>
      <c r="E165" s="578">
        <v>0.14860000000000001</v>
      </c>
      <c r="F165" s="581">
        <v>0.23</v>
      </c>
    </row>
    <row r="166" spans="1:6">
      <c r="A166" s="575" t="s">
        <v>1145</v>
      </c>
      <c r="B166" s="576" t="s">
        <v>1015</v>
      </c>
      <c r="C166" s="577">
        <v>1.7100000000000001E-2</v>
      </c>
      <c r="D166" s="577">
        <v>2.4299999999999999E-2</v>
      </c>
      <c r="E166" s="578">
        <v>7.4300000000000005E-2</v>
      </c>
      <c r="F166" s="577">
        <v>0</v>
      </c>
    </row>
    <row r="167" spans="1:6">
      <c r="A167" s="575" t="s">
        <v>1146</v>
      </c>
      <c r="B167" s="576" t="s">
        <v>986</v>
      </c>
      <c r="C167" s="577">
        <v>5.8799999999999998E-2</v>
      </c>
      <c r="D167" s="577">
        <v>8.3500000000000005E-2</v>
      </c>
      <c r="E167" s="578">
        <v>0.13350000000000001</v>
      </c>
      <c r="F167" s="577">
        <v>0.3</v>
      </c>
    </row>
    <row r="168" spans="1:6">
      <c r="A168" s="575" t="s">
        <v>1147</v>
      </c>
      <c r="B168" s="576" t="s">
        <v>967</v>
      </c>
      <c r="C168" s="577">
        <v>0.12839999999999999</v>
      </c>
      <c r="D168" s="577">
        <v>0.18210000000000001</v>
      </c>
      <c r="E168" s="578">
        <v>0.2321</v>
      </c>
      <c r="F168" s="577">
        <v>0.18</v>
      </c>
    </row>
    <row r="169" spans="1:6">
      <c r="A169" s="575" t="s">
        <v>1027</v>
      </c>
      <c r="B169" s="576" t="s">
        <v>954</v>
      </c>
      <c r="C169" s="577">
        <v>5.3E-3</v>
      </c>
      <c r="D169" s="577">
        <v>7.4999999999999997E-3</v>
      </c>
      <c r="E169" s="578">
        <v>5.7500000000000002E-2</v>
      </c>
      <c r="F169" s="577">
        <v>0</v>
      </c>
    </row>
    <row r="170" spans="1:6">
      <c r="A170" s="575" t="s">
        <v>1148</v>
      </c>
      <c r="B170" s="576" t="s">
        <v>995</v>
      </c>
      <c r="C170" s="577">
        <v>6.4000000000000003E-3</v>
      </c>
      <c r="D170" s="577">
        <v>9.1000000000000004E-3</v>
      </c>
      <c r="E170" s="578">
        <v>5.91E-2</v>
      </c>
      <c r="F170" s="577">
        <v>0.25</v>
      </c>
    </row>
    <row r="171" spans="1:6">
      <c r="A171" s="575" t="s">
        <v>1149</v>
      </c>
      <c r="B171" s="576" t="s">
        <v>975</v>
      </c>
      <c r="C171" s="577">
        <v>0</v>
      </c>
      <c r="D171" s="577">
        <v>0</v>
      </c>
      <c r="E171" s="578">
        <v>0.05</v>
      </c>
      <c r="F171" s="577">
        <v>0.25</v>
      </c>
    </row>
    <row r="172" spans="1:6">
      <c r="A172" s="575" t="s">
        <v>1150</v>
      </c>
      <c r="B172" s="576" t="s">
        <v>963</v>
      </c>
      <c r="C172" s="577">
        <v>2.0400000000000001E-2</v>
      </c>
      <c r="D172" s="577">
        <v>2.8899999999999999E-2</v>
      </c>
      <c r="E172" s="578">
        <v>7.8899999999999998E-2</v>
      </c>
      <c r="F172" s="577">
        <v>0.25</v>
      </c>
    </row>
    <row r="173" spans="1:6">
      <c r="A173" s="575" t="s">
        <v>1151</v>
      </c>
      <c r="B173" s="576" t="s">
        <v>970</v>
      </c>
      <c r="C173" s="577">
        <v>3.85E-2</v>
      </c>
      <c r="D173" s="577">
        <v>5.4600000000000003E-2</v>
      </c>
      <c r="E173" s="578">
        <v>0.1046</v>
      </c>
      <c r="F173" s="577">
        <v>0.15</v>
      </c>
    </row>
    <row r="174" spans="1:6">
      <c r="A174" s="575" t="s">
        <v>1152</v>
      </c>
      <c r="B174" s="576" t="s">
        <v>411</v>
      </c>
      <c r="C174" s="577">
        <v>0.17499999999999999</v>
      </c>
      <c r="D174" s="577">
        <v>0.2482</v>
      </c>
      <c r="E174" s="578">
        <v>0.29820000000000002</v>
      </c>
      <c r="F174" s="577">
        <v>0.34</v>
      </c>
    </row>
    <row r="175" spans="1:6">
      <c r="A175" s="575" t="s">
        <v>1153</v>
      </c>
      <c r="B175" s="576" t="s">
        <v>1011</v>
      </c>
      <c r="C175" s="577">
        <v>3.2199999999999999E-2</v>
      </c>
      <c r="D175" s="577">
        <v>4.5699999999999998E-2</v>
      </c>
      <c r="E175" s="578">
        <v>9.5699999999999993E-2</v>
      </c>
      <c r="F175" s="577">
        <v>0.2</v>
      </c>
    </row>
    <row r="176" spans="1:6">
      <c r="A176" s="575" t="s">
        <v>1154</v>
      </c>
      <c r="B176" s="576" t="s">
        <v>960</v>
      </c>
      <c r="C176" s="577">
        <v>0.107</v>
      </c>
      <c r="D176" s="577">
        <v>0.15179999999999999</v>
      </c>
      <c r="E176" s="578">
        <v>0.20180000000000001</v>
      </c>
      <c r="F176" s="577">
        <v>0.2</v>
      </c>
    </row>
    <row r="177" spans="1:6">
      <c r="A177" s="575" t="s">
        <v>1155</v>
      </c>
      <c r="B177" s="576" t="s">
        <v>967</v>
      </c>
      <c r="C177" s="577">
        <v>0.12839999999999999</v>
      </c>
      <c r="D177" s="577">
        <v>0.18210000000000001</v>
      </c>
      <c r="E177" s="578">
        <v>0.2321</v>
      </c>
      <c r="F177" s="577">
        <v>0.35</v>
      </c>
    </row>
    <row r="178" spans="1:6">
      <c r="A178" s="579" t="s">
        <v>1156</v>
      </c>
      <c r="B178" s="580" t="s">
        <v>960</v>
      </c>
      <c r="C178" s="581">
        <v>8.0199999999999994E-2</v>
      </c>
      <c r="D178" s="581">
        <v>0.1138</v>
      </c>
      <c r="E178" s="578">
        <v>0.1638</v>
      </c>
      <c r="F178" s="581">
        <v>0.25</v>
      </c>
    </row>
  </sheetData>
  <mergeCells count="1">
    <mergeCell ref="H2:J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E33FEE-1117-4802-A5BB-FA073D1C6E04}"/>
</file>

<file path=customXml/itemProps2.xml><?xml version="1.0" encoding="utf-8"?>
<ds:datastoreItem xmlns:ds="http://schemas.openxmlformats.org/officeDocument/2006/customXml" ds:itemID="{A881089C-6E2A-4FD7-A402-55E9C86C97B5}"/>
</file>

<file path=customXml/itemProps3.xml><?xml version="1.0" encoding="utf-8"?>
<ds:datastoreItem xmlns:ds="http://schemas.openxmlformats.org/officeDocument/2006/customXml" ds:itemID="{340D7929-833A-4DB3-858F-544DD36489C6}"/>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2025-01-20T17:04:33Z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