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Luxury 1 - TL Catarina Guimarães/Swatch Group/"/>
    </mc:Choice>
  </mc:AlternateContent>
  <xr:revisionPtr revIDLastSave="5427" documentId="11_3372231379B30B8E5BCC80459D629F3702D80709" xr6:coauthVersionLast="47" xr6:coauthVersionMax="47" xr10:uidLastSave="{C7A11B20-81C9-4E50-A418-07A3EEBC8E5C}"/>
  <bookViews>
    <workbookView xWindow="-28920" yWindow="-4620" windowWidth="29040" windowHeight="17640" tabRatio="644" firstSheet="10" activeTab="5" xr2:uid="{00000000-000D-0000-FFFF-FFFF00000000}"/>
  </bookViews>
  <sheets>
    <sheet name="OP" sheetId="1" r:id="rId1"/>
    <sheet name="Acuerdo" sheetId="11" state="hidden" r:id="rId2"/>
    <sheet name="Segments" sheetId="3" r:id="rId3"/>
    <sheet name="Peers" sheetId="10" r:id="rId4"/>
    <sheet name="ESG" sheetId="19" r:id="rId5"/>
    <sheet name="DCF" sheetId="4" r:id="rId6"/>
    <sheet name="Assumptions" sheetId="21" r:id="rId7"/>
    <sheet name="Fin. Data (Common Size)" sheetId="20" r:id="rId8"/>
    <sheet name="Fin. Data" sheetId="16" r:id="rId9"/>
    <sheet name="Sector Impact" sheetId="18" state="hidden" r:id="rId10"/>
    <sheet name="Inputs" sheetId="17" r:id="rId11"/>
    <sheet name="Damodaran" sheetId="22" r:id="rId12"/>
    <sheet name="Shares" sheetId="23" r:id="rId13"/>
  </sheets>
  <definedNames>
    <definedName name="_xlnm._FilterDatabase" localSheetId="11" hidden="1">Damodaran!$A$1:$F$1</definedName>
    <definedName name="_xlnm.Print_Area" localSheetId="0">OP!$A$1:$M$83</definedName>
    <definedName name="_xlnm.Print_Area" localSheetId="2">Segments!#REF!</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0" i="21" l="1"/>
  <c r="C138" i="21"/>
  <c r="H135" i="21"/>
  <c r="C135" i="21"/>
  <c r="P125" i="21"/>
  <c r="C127" i="21"/>
  <c r="D135" i="21"/>
  <c r="C132" i="21"/>
  <c r="G118" i="21"/>
  <c r="G117" i="21"/>
  <c r="B13" i="17"/>
  <c r="D41" i="3"/>
  <c r="D4" i="1" a="1"/>
  <c r="D4" i="1"/>
  <c r="D11" i="17"/>
  <c r="C11" i="17"/>
  <c r="B23" i="17"/>
  <c r="L9" i="17"/>
  <c r="K10" i="17"/>
  <c r="K9" i="17"/>
  <c r="J9" i="17"/>
  <c r="H9" i="17"/>
  <c r="G9" i="17"/>
  <c r="F9" i="17"/>
  <c r="E9" i="17"/>
  <c r="L10" i="17"/>
  <c r="J10" i="17"/>
  <c r="I10" i="17"/>
  <c r="H10" i="17"/>
  <c r="G10" i="17"/>
  <c r="F10" i="17"/>
  <c r="E10" i="17"/>
  <c r="D9" i="17"/>
  <c r="D10" i="17"/>
  <c r="B14" i="17"/>
  <c r="C10" i="17"/>
  <c r="C9" i="17"/>
  <c r="B56" i="17"/>
  <c r="C13" i="17"/>
  <c r="B9" i="17"/>
  <c r="B10" i="17"/>
  <c r="C148" i="21"/>
  <c r="B20" i="17"/>
  <c r="B22" i="17"/>
  <c r="H37" i="21"/>
  <c r="I37" i="21"/>
  <c r="J37" i="21" s="1"/>
  <c r="K37" i="21" s="1"/>
  <c r="L37" i="21" s="1"/>
  <c r="B34" i="16"/>
  <c r="M19" i="16"/>
  <c r="I33" i="16"/>
  <c r="J43" i="16"/>
  <c r="I43" i="16"/>
  <c r="L43" i="16"/>
  <c r="M43" i="16"/>
  <c r="K42" i="16"/>
  <c r="D40" i="16"/>
  <c r="E40" i="16"/>
  <c r="F40" i="16"/>
  <c r="G40" i="16"/>
  <c r="H40" i="16"/>
  <c r="I40" i="16"/>
  <c r="J40" i="16"/>
  <c r="B14" i="16"/>
  <c r="D14" i="16"/>
  <c r="E14" i="16"/>
  <c r="F14" i="16"/>
  <c r="G14" i="16"/>
  <c r="H14" i="16"/>
  <c r="I14" i="16"/>
  <c r="J14" i="16"/>
  <c r="K34" i="16"/>
  <c r="D55" i="4"/>
  <c r="C55" i="4"/>
  <c r="F17" i="23"/>
  <c r="D233" i="21"/>
  <c r="E233" i="21" s="1"/>
  <c r="F233" i="21" s="1"/>
  <c r="G233" i="21" s="1"/>
  <c r="H233" i="21" s="1"/>
  <c r="I233" i="21" s="1"/>
  <c r="J233" i="21" s="1"/>
  <c r="K233" i="21" s="1"/>
  <c r="L233" i="21" s="1"/>
  <c r="M233" i="21" s="1"/>
  <c r="N233" i="21" s="1"/>
  <c r="O233" i="21" s="1"/>
  <c r="P233" i="21" s="1"/>
  <c r="Q233" i="21" s="1"/>
  <c r="R233" i="21" s="1"/>
  <c r="S233" i="21" s="1"/>
  <c r="T233" i="21" s="1"/>
  <c r="U233" i="21" s="1"/>
  <c r="V233" i="21" s="1"/>
  <c r="W233" i="21" s="1"/>
  <c r="X233" i="21" s="1"/>
  <c r="Y233" i="21" s="1"/>
  <c r="Z233" i="21" s="1"/>
  <c r="AA233" i="21" s="1"/>
  <c r="AB233" i="21" s="1"/>
  <c r="D232" i="21"/>
  <c r="E232" i="21" s="1"/>
  <c r="F232" i="21" s="1"/>
  <c r="G232" i="21" s="1"/>
  <c r="H232" i="21" s="1"/>
  <c r="I232" i="21" s="1"/>
  <c r="J232" i="21" s="1"/>
  <c r="K232" i="21" s="1"/>
  <c r="L232" i="21" s="1"/>
  <c r="M232" i="21" s="1"/>
  <c r="N232" i="21" s="1"/>
  <c r="O232" i="21" s="1"/>
  <c r="P232" i="21" s="1"/>
  <c r="Q232" i="21" s="1"/>
  <c r="R232" i="21" s="1"/>
  <c r="S232" i="21" s="1"/>
  <c r="T232" i="21" s="1"/>
  <c r="U232" i="21" s="1"/>
  <c r="V232" i="21" s="1"/>
  <c r="W232" i="21" s="1"/>
  <c r="X232" i="21" s="1"/>
  <c r="Y232" i="21" s="1"/>
  <c r="Z232" i="21" s="1"/>
  <c r="AA232" i="21" s="1"/>
  <c r="AB232" i="21" s="1"/>
  <c r="F36" i="10"/>
  <c r="F35" i="10"/>
  <c r="F34" i="10"/>
  <c r="F33" i="10"/>
  <c r="D149" i="21"/>
  <c r="E21" i="3"/>
  <c r="F21" i="3"/>
  <c r="G21" i="3"/>
  <c r="H21" i="3"/>
  <c r="I21" i="3"/>
  <c r="D210" i="21"/>
  <c r="E210" i="21"/>
  <c r="F210" i="21"/>
  <c r="G210" i="21"/>
  <c r="H210" i="21"/>
  <c r="I210" i="21"/>
  <c r="J210" i="21"/>
  <c r="K210" i="21"/>
  <c r="L210" i="21"/>
  <c r="M210" i="21"/>
  <c r="N210" i="21"/>
  <c r="D211" i="21"/>
  <c r="E211" i="21"/>
  <c r="F211" i="21"/>
  <c r="F212" i="21" s="1"/>
  <c r="G211" i="21"/>
  <c r="H211" i="21"/>
  <c r="I211" i="21"/>
  <c r="J211" i="21"/>
  <c r="J212" i="21" s="1"/>
  <c r="K211" i="21"/>
  <c r="L211" i="21"/>
  <c r="M211" i="21"/>
  <c r="N211" i="21"/>
  <c r="N212" i="21" s="1"/>
  <c r="C211" i="21"/>
  <c r="C220" i="21" s="1"/>
  <c r="C210" i="21"/>
  <c r="C219" i="21" s="1"/>
  <c r="D219" i="21" s="1"/>
  <c r="B20" i="23"/>
  <c r="D225" i="21"/>
  <c r="E225" i="21"/>
  <c r="F225" i="21"/>
  <c r="G225" i="21"/>
  <c r="H225" i="21"/>
  <c r="I225" i="21"/>
  <c r="J225" i="21"/>
  <c r="K225" i="21"/>
  <c r="L225" i="21"/>
  <c r="M225" i="21"/>
  <c r="N225" i="21"/>
  <c r="D226" i="21"/>
  <c r="E226" i="21"/>
  <c r="F226" i="21"/>
  <c r="G226" i="21"/>
  <c r="H226" i="21"/>
  <c r="I226" i="21"/>
  <c r="J226" i="21"/>
  <c r="K226" i="21"/>
  <c r="L226" i="21"/>
  <c r="M226" i="21"/>
  <c r="N226" i="21"/>
  <c r="C226" i="21"/>
  <c r="C225" i="21"/>
  <c r="R4" i="23"/>
  <c r="S4" i="23" s="1"/>
  <c r="T4" i="23" s="1"/>
  <c r="U4" i="23" s="1"/>
  <c r="V4" i="23" s="1"/>
  <c r="W4" i="23" s="1"/>
  <c r="X4" i="23" s="1"/>
  <c r="Y4" i="23" s="1"/>
  <c r="Z4" i="23" s="1"/>
  <c r="AA4" i="23" s="1"/>
  <c r="AB4" i="23" s="1"/>
  <c r="B9" i="23"/>
  <c r="G212" i="21"/>
  <c r="K212" i="21"/>
  <c r="C20" i="23"/>
  <c r="D20" i="23"/>
  <c r="E20" i="23"/>
  <c r="F20" i="23"/>
  <c r="G20" i="23"/>
  <c r="H20" i="23"/>
  <c r="I20" i="23"/>
  <c r="J20" i="23"/>
  <c r="K20" i="23"/>
  <c r="L20" i="23"/>
  <c r="M20" i="23"/>
  <c r="C11" i="23"/>
  <c r="C80" i="16" s="1"/>
  <c r="D11" i="23"/>
  <c r="D80" i="16" s="1"/>
  <c r="E11" i="23"/>
  <c r="E80" i="16" s="1"/>
  <c r="F11" i="23"/>
  <c r="F80" i="16" s="1"/>
  <c r="G11" i="23"/>
  <c r="G80" i="16" s="1"/>
  <c r="H11" i="23"/>
  <c r="H80" i="16" s="1"/>
  <c r="I11" i="23"/>
  <c r="I80" i="16" s="1"/>
  <c r="J11" i="23"/>
  <c r="J80" i="16" s="1"/>
  <c r="K11" i="23"/>
  <c r="K80" i="16" s="1"/>
  <c r="L11" i="23"/>
  <c r="L80" i="16" s="1"/>
  <c r="M11" i="23"/>
  <c r="M80" i="16" s="1"/>
  <c r="B11" i="23"/>
  <c r="M19" i="23"/>
  <c r="L19" i="23"/>
  <c r="K19" i="23"/>
  <c r="J19" i="23"/>
  <c r="I19" i="23"/>
  <c r="H19" i="23"/>
  <c r="G19" i="23"/>
  <c r="F19" i="23"/>
  <c r="E19" i="23"/>
  <c r="D19" i="23"/>
  <c r="C19" i="23"/>
  <c r="B19" i="23"/>
  <c r="M17" i="23"/>
  <c r="L17" i="23"/>
  <c r="K17" i="23"/>
  <c r="J17" i="23"/>
  <c r="I17" i="23"/>
  <c r="H17" i="23"/>
  <c r="G17" i="23"/>
  <c r="E17" i="23"/>
  <c r="D17" i="23"/>
  <c r="C17" i="23"/>
  <c r="B17" i="23"/>
  <c r="M10" i="23"/>
  <c r="L10" i="23"/>
  <c r="K10" i="23"/>
  <c r="J10" i="23"/>
  <c r="I10" i="23"/>
  <c r="H10" i="23"/>
  <c r="G10" i="23"/>
  <c r="F10" i="23"/>
  <c r="E10" i="23"/>
  <c r="D10" i="23"/>
  <c r="C10" i="23"/>
  <c r="B10" i="23"/>
  <c r="L9" i="23"/>
  <c r="K9" i="23"/>
  <c r="J9" i="23"/>
  <c r="I9" i="23"/>
  <c r="H9" i="23"/>
  <c r="G9" i="23"/>
  <c r="F9" i="23"/>
  <c r="E9" i="23"/>
  <c r="D9" i="23"/>
  <c r="C9" i="23"/>
  <c r="C6" i="23"/>
  <c r="D6" i="23"/>
  <c r="E6" i="23"/>
  <c r="F6" i="23"/>
  <c r="G6" i="23"/>
  <c r="H6" i="23"/>
  <c r="I6" i="23"/>
  <c r="J6" i="23"/>
  <c r="K6" i="23"/>
  <c r="L6" i="23"/>
  <c r="B6" i="23"/>
  <c r="B7" i="23"/>
  <c r="C7" i="23"/>
  <c r="D7" i="23"/>
  <c r="E7" i="23"/>
  <c r="F7" i="23"/>
  <c r="G7" i="23"/>
  <c r="H7" i="23"/>
  <c r="I7" i="23"/>
  <c r="J7" i="23"/>
  <c r="K7" i="23"/>
  <c r="L7" i="23"/>
  <c r="M7" i="23"/>
  <c r="C15" i="23"/>
  <c r="D15" i="23" s="1"/>
  <c r="E15" i="23" s="1"/>
  <c r="F15" i="23" s="1"/>
  <c r="G15" i="23" s="1"/>
  <c r="H15" i="23" s="1"/>
  <c r="I15" i="23" s="1"/>
  <c r="J15" i="23" s="1"/>
  <c r="K15" i="23" s="1"/>
  <c r="L15" i="23" s="1"/>
  <c r="M15" i="23" s="1"/>
  <c r="C4" i="23"/>
  <c r="D4" i="23" s="1"/>
  <c r="E4" i="23" s="1"/>
  <c r="F4" i="23" s="1"/>
  <c r="G4" i="23" s="1"/>
  <c r="H4" i="23" s="1"/>
  <c r="I4" i="23" s="1"/>
  <c r="J4" i="23" s="1"/>
  <c r="K4" i="23" s="1"/>
  <c r="L4" i="23" s="1"/>
  <c r="M4" i="23" s="1"/>
  <c r="F31" i="1"/>
  <c r="F22" i="1"/>
  <c r="F23" i="1"/>
  <c r="F24" i="1"/>
  <c r="F25" i="1"/>
  <c r="F26" i="1"/>
  <c r="F21" i="1"/>
  <c r="E45" i="10" a="1"/>
  <c r="E45" i="10" s="1"/>
  <c r="E73" i="10" s="1"/>
  <c r="H73" i="10"/>
  <c r="H46" i="10" s="1"/>
  <c r="F73" i="10"/>
  <c r="F46" i="10" s="1"/>
  <c r="C68" i="10"/>
  <c r="C67" i="10"/>
  <c r="C64" i="10"/>
  <c r="O6" i="3"/>
  <c r="N6" i="3"/>
  <c r="M6" i="3"/>
  <c r="L6" i="3"/>
  <c r="K6" i="3"/>
  <c r="O7" i="3"/>
  <c r="N7" i="3"/>
  <c r="M7" i="3"/>
  <c r="L7" i="3"/>
  <c r="K7" i="3"/>
  <c r="K19" i="3"/>
  <c r="L19" i="3"/>
  <c r="M19" i="3"/>
  <c r="N19" i="3"/>
  <c r="O19" i="3"/>
  <c r="T16" i="1" a="1"/>
  <c r="T16" i="1" s="1"/>
  <c r="S14" i="1" a="1"/>
  <c r="S14" i="1" s="1"/>
  <c r="T14" i="1" s="1"/>
  <c r="S13" i="1" a="1"/>
  <c r="S13" i="1" s="1"/>
  <c r="T13" i="1" s="1"/>
  <c r="E2" i="1"/>
  <c r="C20" i="1" s="1" a="1"/>
  <c r="C20" i="1" s="1"/>
  <c r="AF7" i="4"/>
  <c r="L212" i="21" l="1"/>
  <c r="H212" i="21"/>
  <c r="D212" i="21"/>
  <c r="N6" i="23"/>
  <c r="N19" i="23"/>
  <c r="I212" i="21"/>
  <c r="N10" i="23"/>
  <c r="N17" i="23"/>
  <c r="L21" i="3"/>
  <c r="M212" i="21"/>
  <c r="E212" i="21"/>
  <c r="T15" i="1"/>
  <c r="N7" i="23"/>
  <c r="N9" i="23"/>
  <c r="C237" i="21"/>
  <c r="D220" i="21"/>
  <c r="E220" i="21" s="1"/>
  <c r="F220" i="21" s="1"/>
  <c r="G220" i="21" s="1"/>
  <c r="H220" i="21" s="1"/>
  <c r="I220" i="21" s="1"/>
  <c r="J220" i="21" s="1"/>
  <c r="K220" i="21" s="1"/>
  <c r="L220" i="21" s="1"/>
  <c r="M220" i="21" s="1"/>
  <c r="N220" i="21" s="1"/>
  <c r="O220" i="21" s="1"/>
  <c r="P220" i="21" s="1"/>
  <c r="Q220" i="21" s="1"/>
  <c r="R220" i="21" s="1"/>
  <c r="S220" i="21" s="1"/>
  <c r="T220" i="21" s="1"/>
  <c r="U220" i="21" s="1"/>
  <c r="V220" i="21" s="1"/>
  <c r="W220" i="21" s="1"/>
  <c r="X220" i="21" s="1"/>
  <c r="Y220" i="21" s="1"/>
  <c r="Z220" i="21" s="1"/>
  <c r="AA220" i="21" s="1"/>
  <c r="AB220" i="21" s="1"/>
  <c r="D215" i="21"/>
  <c r="D216" i="21"/>
  <c r="H216" i="21"/>
  <c r="H215" i="21"/>
  <c r="B80" i="16"/>
  <c r="R6" i="23"/>
  <c r="S6" i="23"/>
  <c r="T6" i="23"/>
  <c r="U6" i="23"/>
  <c r="V6" i="23"/>
  <c r="W6" i="23"/>
  <c r="X6" i="23"/>
  <c r="Y6" i="23"/>
  <c r="Z6" i="23"/>
  <c r="AA6" i="23"/>
  <c r="AB6" i="23"/>
  <c r="Q6" i="23"/>
  <c r="R5" i="23"/>
  <c r="S5" i="23"/>
  <c r="T5" i="23"/>
  <c r="U5" i="23"/>
  <c r="V5" i="23"/>
  <c r="W5" i="23"/>
  <c r="X5" i="23"/>
  <c r="Y5" i="23"/>
  <c r="Z5" i="23"/>
  <c r="AA5" i="23"/>
  <c r="AB5" i="23"/>
  <c r="Q5" i="23"/>
  <c r="C221" i="21"/>
  <c r="C216" i="21"/>
  <c r="C215" i="21"/>
  <c r="C212" i="21"/>
  <c r="G216" i="21"/>
  <c r="G215" i="21"/>
  <c r="C22" i="1" a="1"/>
  <c r="C22" i="1" s="1"/>
  <c r="C10" i="10" s="1"/>
  <c r="H7" i="4"/>
  <c r="I7" i="4"/>
  <c r="J7" i="4"/>
  <c r="K7" i="4"/>
  <c r="L7" i="4"/>
  <c r="M7" i="4"/>
  <c r="N7" i="4"/>
  <c r="O7" i="4"/>
  <c r="P7" i="4"/>
  <c r="Q7" i="4"/>
  <c r="R7" i="4"/>
  <c r="S7" i="4"/>
  <c r="T7" i="4"/>
  <c r="U7" i="4"/>
  <c r="V7" i="4"/>
  <c r="W7" i="4"/>
  <c r="X7" i="4"/>
  <c r="Y7" i="4"/>
  <c r="Z7" i="4"/>
  <c r="AA7" i="4"/>
  <c r="AB7" i="4"/>
  <c r="AC7" i="4"/>
  <c r="AD7" i="4"/>
  <c r="AE7" i="4"/>
  <c r="G7" i="4"/>
  <c r="F28" i="4"/>
  <c r="D28" i="4"/>
  <c r="E28" i="4"/>
  <c r="D21" i="4"/>
  <c r="J7" i="16"/>
  <c r="C19" i="17"/>
  <c r="C20" i="17" s="1"/>
  <c r="D19" i="17"/>
  <c r="D20" i="17" s="1"/>
  <c r="E19" i="17"/>
  <c r="E20" i="17" s="1"/>
  <c r="F19" i="17"/>
  <c r="G19" i="17"/>
  <c r="G20" i="17" s="1"/>
  <c r="H19" i="17"/>
  <c r="H20" i="17" s="1"/>
  <c r="I19" i="17"/>
  <c r="I20" i="17" s="1"/>
  <c r="J19" i="17"/>
  <c r="K19" i="17"/>
  <c r="K20" i="17" s="1"/>
  <c r="L19" i="17"/>
  <c r="L20" i="17" s="1"/>
  <c r="M19" i="17"/>
  <c r="M20" i="17" s="1"/>
  <c r="B19" i="17"/>
  <c r="D36" i="10"/>
  <c r="E36" i="10"/>
  <c r="G36" i="10"/>
  <c r="H36" i="10"/>
  <c r="D37" i="10"/>
  <c r="E37" i="10"/>
  <c r="F37" i="10"/>
  <c r="B63" i="20"/>
  <c r="B46" i="17"/>
  <c r="B52" i="16" s="1"/>
  <c r="D24" i="10"/>
  <c r="B50" i="16"/>
  <c r="B54" i="16"/>
  <c r="B51" i="16"/>
  <c r="B40" i="16"/>
  <c r="J56" i="4"/>
  <c r="C10" i="21"/>
  <c r="F20" i="4"/>
  <c r="F11" i="4" s="1"/>
  <c r="E20" i="4"/>
  <c r="D20" i="4"/>
  <c r="D11" i="4" s="1"/>
  <c r="D150" i="21"/>
  <c r="E150" i="21"/>
  <c r="F150" i="21"/>
  <c r="G150" i="21"/>
  <c r="H150" i="21"/>
  <c r="I150" i="21"/>
  <c r="J150" i="21"/>
  <c r="K150" i="21"/>
  <c r="L150" i="21"/>
  <c r="M150" i="21"/>
  <c r="N150" i="21"/>
  <c r="C150" i="21"/>
  <c r="E149" i="21"/>
  <c r="F149" i="21"/>
  <c r="G149" i="21"/>
  <c r="H149" i="21"/>
  <c r="I149" i="21"/>
  <c r="J149" i="21"/>
  <c r="K149" i="21"/>
  <c r="L149" i="21"/>
  <c r="M149" i="21"/>
  <c r="N149" i="21"/>
  <c r="C149" i="21"/>
  <c r="D148" i="21"/>
  <c r="E148" i="21"/>
  <c r="F148" i="21"/>
  <c r="G148" i="21"/>
  <c r="H148" i="21"/>
  <c r="I148" i="21"/>
  <c r="J148" i="21"/>
  <c r="K148" i="21"/>
  <c r="L148" i="21"/>
  <c r="M148" i="21"/>
  <c r="N148" i="21"/>
  <c r="M37" i="21"/>
  <c r="N37" i="21" s="1"/>
  <c r="O37" i="21" s="1"/>
  <c r="P37" i="21" s="1"/>
  <c r="Q37" i="21" s="1"/>
  <c r="R37" i="21" s="1"/>
  <c r="S37" i="21" s="1"/>
  <c r="T37" i="21" s="1"/>
  <c r="U37" i="21" s="1"/>
  <c r="V37" i="21" s="1"/>
  <c r="W37" i="21" s="1"/>
  <c r="X37" i="21" s="1"/>
  <c r="Y37" i="21" s="1"/>
  <c r="Z37" i="21" s="1"/>
  <c r="AA37" i="21" s="1"/>
  <c r="AB37" i="21" s="1"/>
  <c r="F21" i="4"/>
  <c r="C244" i="21"/>
  <c r="D244" i="21"/>
  <c r="E244" i="21"/>
  <c r="F244" i="21"/>
  <c r="G244" i="21"/>
  <c r="D11" i="21"/>
  <c r="E11" i="21"/>
  <c r="F11" i="21"/>
  <c r="G11" i="21"/>
  <c r="H11" i="21"/>
  <c r="I11" i="21"/>
  <c r="J11" i="21"/>
  <c r="K11" i="21"/>
  <c r="L11" i="21"/>
  <c r="M11" i="21"/>
  <c r="N11" i="21"/>
  <c r="C11" i="21"/>
  <c r="D112" i="21"/>
  <c r="E112" i="21"/>
  <c r="F112" i="21"/>
  <c r="G112" i="21"/>
  <c r="H112" i="21"/>
  <c r="I112" i="21"/>
  <c r="J112" i="21"/>
  <c r="K112" i="21"/>
  <c r="L112" i="21"/>
  <c r="M112" i="21"/>
  <c r="N112" i="21"/>
  <c r="C112" i="21"/>
  <c r="D111" i="21"/>
  <c r="E111" i="21"/>
  <c r="F111" i="21"/>
  <c r="G111" i="21"/>
  <c r="H111" i="21"/>
  <c r="I111" i="21"/>
  <c r="J111" i="21"/>
  <c r="K111" i="21"/>
  <c r="L111" i="21"/>
  <c r="M111" i="21"/>
  <c r="N111" i="21"/>
  <c r="C111" i="21"/>
  <c r="D110" i="21"/>
  <c r="E110" i="21"/>
  <c r="F110" i="21"/>
  <c r="G110" i="21"/>
  <c r="G113" i="21" s="1"/>
  <c r="H110" i="21"/>
  <c r="H113" i="21" s="1"/>
  <c r="I110" i="21"/>
  <c r="J110" i="21"/>
  <c r="K110" i="21"/>
  <c r="L110" i="21"/>
  <c r="M110" i="21"/>
  <c r="N110" i="21"/>
  <c r="N113" i="21" s="1"/>
  <c r="C110" i="21"/>
  <c r="D10" i="21"/>
  <c r="E10" i="21"/>
  <c r="F10" i="21"/>
  <c r="G10" i="21"/>
  <c r="H10" i="21"/>
  <c r="I10" i="21"/>
  <c r="J10" i="21"/>
  <c r="K10" i="21"/>
  <c r="L10" i="21"/>
  <c r="M10" i="21"/>
  <c r="N10" i="21"/>
  <c r="D16" i="21"/>
  <c r="E16" i="21"/>
  <c r="F16" i="21"/>
  <c r="G16" i="21"/>
  <c r="H16" i="21"/>
  <c r="I16" i="21"/>
  <c r="J16" i="21"/>
  <c r="K16" i="21"/>
  <c r="L16" i="21"/>
  <c r="M16" i="21"/>
  <c r="N16" i="21"/>
  <c r="C16" i="21"/>
  <c r="F30" i="1"/>
  <c r="D75" i="21"/>
  <c r="E75" i="21"/>
  <c r="F75" i="21"/>
  <c r="G75" i="21"/>
  <c r="H75" i="21"/>
  <c r="I75" i="21"/>
  <c r="J75" i="21"/>
  <c r="K75" i="21"/>
  <c r="L75" i="21"/>
  <c r="M75" i="21"/>
  <c r="C75" i="21"/>
  <c r="D53" i="4"/>
  <c r="C53" i="4"/>
  <c r="D54" i="4"/>
  <c r="C54" i="4"/>
  <c r="B68" i="16"/>
  <c r="C68" i="16"/>
  <c r="D68" i="16"/>
  <c r="E68" i="16"/>
  <c r="D34" i="16"/>
  <c r="E34" i="16"/>
  <c r="D51" i="16"/>
  <c r="E51" i="16"/>
  <c r="F51" i="16"/>
  <c r="G51" i="16"/>
  <c r="D57" i="4"/>
  <c r="C57" i="4"/>
  <c r="D89" i="21"/>
  <c r="E89" i="21"/>
  <c r="F89" i="21"/>
  <c r="G89" i="21"/>
  <c r="H89" i="21"/>
  <c r="I89" i="21"/>
  <c r="J89" i="21"/>
  <c r="K89" i="21"/>
  <c r="L89" i="21"/>
  <c r="M89" i="21"/>
  <c r="N89" i="21"/>
  <c r="C89" i="21"/>
  <c r="D88" i="21"/>
  <c r="E88" i="21"/>
  <c r="F88" i="21"/>
  <c r="G88" i="21"/>
  <c r="H88" i="21"/>
  <c r="I88" i="21"/>
  <c r="J88" i="21"/>
  <c r="K88" i="21"/>
  <c r="L88" i="21"/>
  <c r="M88" i="21"/>
  <c r="N88" i="21"/>
  <c r="F22" i="10"/>
  <c r="G33" i="10"/>
  <c r="G34" i="10"/>
  <c r="D17" i="21"/>
  <c r="E17" i="21"/>
  <c r="E59" i="21" s="1"/>
  <c r="F17" i="21"/>
  <c r="G17" i="21"/>
  <c r="H17" i="21"/>
  <c r="I17" i="21"/>
  <c r="J17" i="21"/>
  <c r="K17" i="21"/>
  <c r="L17" i="21"/>
  <c r="M17" i="21"/>
  <c r="N17" i="21"/>
  <c r="C17" i="21"/>
  <c r="E11" i="4"/>
  <c r="D23" i="21"/>
  <c r="D24" i="21"/>
  <c r="D25" i="21"/>
  <c r="D26" i="21"/>
  <c r="D22" i="21"/>
  <c r="I29" i="22"/>
  <c r="E26" i="21" s="1"/>
  <c r="I27" i="22"/>
  <c r="I22" i="22"/>
  <c r="I23" i="22"/>
  <c r="I24" i="22"/>
  <c r="I25" i="22"/>
  <c r="I26" i="22"/>
  <c r="I2" i="22"/>
  <c r="E22" i="21" s="1"/>
  <c r="I6" i="22"/>
  <c r="I7" i="22"/>
  <c r="I8" i="22"/>
  <c r="I9" i="22"/>
  <c r="I10" i="22"/>
  <c r="I11" i="22"/>
  <c r="I12" i="22"/>
  <c r="I14" i="22"/>
  <c r="I15" i="22"/>
  <c r="I16" i="22"/>
  <c r="I17" i="22"/>
  <c r="I18" i="22"/>
  <c r="I19" i="22"/>
  <c r="I20" i="22"/>
  <c r="I28" i="22"/>
  <c r="E25" i="21" s="1"/>
  <c r="I21" i="22"/>
  <c r="I4" i="22"/>
  <c r="I5" i="22"/>
  <c r="F31" i="21"/>
  <c r="E31" i="21"/>
  <c r="D21" i="10"/>
  <c r="L69" i="16"/>
  <c r="F20" i="17"/>
  <c r="J20" i="17"/>
  <c r="C76" i="17"/>
  <c r="E31" i="4" s="1"/>
  <c r="D76" i="17"/>
  <c r="D31" i="4" s="1"/>
  <c r="E76" i="17"/>
  <c r="F76" i="17"/>
  <c r="G76" i="17"/>
  <c r="H76" i="17"/>
  <c r="I76" i="17"/>
  <c r="J76" i="17"/>
  <c r="K76" i="17"/>
  <c r="L76" i="17"/>
  <c r="M76" i="17"/>
  <c r="B76" i="17"/>
  <c r="F31" i="4" s="1"/>
  <c r="K24" i="16"/>
  <c r="L7" i="21" s="1"/>
  <c r="B87" i="17"/>
  <c r="C60" i="17"/>
  <c r="D60" i="17"/>
  <c r="D63" i="17" s="1"/>
  <c r="E60" i="17"/>
  <c r="E63" i="17" s="1"/>
  <c r="F60" i="17"/>
  <c r="F63" i="17" s="1"/>
  <c r="G60" i="17"/>
  <c r="H60" i="17"/>
  <c r="I60" i="17"/>
  <c r="I63" i="17" s="1"/>
  <c r="J60" i="17"/>
  <c r="J63" i="17" s="1"/>
  <c r="K60" i="17"/>
  <c r="L60" i="17"/>
  <c r="M60" i="17"/>
  <c r="M63" i="17" s="1"/>
  <c r="B60" i="17"/>
  <c r="B63" i="17" s="1"/>
  <c r="D13" i="17"/>
  <c r="C113" i="21"/>
  <c r="E44" i="10"/>
  <c r="F44" i="10"/>
  <c r="G44" i="10"/>
  <c r="H44" i="10"/>
  <c r="H43" i="10"/>
  <c r="G43" i="10"/>
  <c r="F43" i="10"/>
  <c r="E43" i="10"/>
  <c r="D33" i="10"/>
  <c r="O9" i="3"/>
  <c r="N9" i="3"/>
  <c r="M9" i="3"/>
  <c r="L9" i="3"/>
  <c r="K9" i="3"/>
  <c r="O8" i="3"/>
  <c r="N8" i="3"/>
  <c r="M8" i="3"/>
  <c r="L8" i="3"/>
  <c r="K8" i="3"/>
  <c r="N11" i="19"/>
  <c r="N7" i="19" s="1"/>
  <c r="O11" i="19"/>
  <c r="O9" i="19" s="1"/>
  <c r="P11" i="19"/>
  <c r="P8" i="19" s="1"/>
  <c r="M11" i="19"/>
  <c r="M6" i="19" s="1"/>
  <c r="D45" i="10" a="1"/>
  <c r="D45" i="10" s="1"/>
  <c r="D73" i="10" s="1"/>
  <c r="D46" i="10" s="1"/>
  <c r="H55" i="10"/>
  <c r="H37" i="10" s="1"/>
  <c r="G55" i="10"/>
  <c r="G37" i="10" s="1"/>
  <c r="D14" i="10"/>
  <c r="B79" i="16"/>
  <c r="C88" i="21" s="1"/>
  <c r="D11" i="10"/>
  <c r="A130" i="17"/>
  <c r="H67" i="20" s="1"/>
  <c r="B130" i="17"/>
  <c r="C130" i="17"/>
  <c r="D130" i="17"/>
  <c r="E130" i="17"/>
  <c r="F130" i="17"/>
  <c r="G130" i="17"/>
  <c r="H130" i="17"/>
  <c r="I130" i="17"/>
  <c r="J130" i="17"/>
  <c r="K130" i="17"/>
  <c r="L130" i="17"/>
  <c r="F67" i="17"/>
  <c r="G67" i="17"/>
  <c r="H67" i="17"/>
  <c r="I67" i="17"/>
  <c r="J67" i="17"/>
  <c r="K67" i="17"/>
  <c r="L67" i="17"/>
  <c r="M67" i="17"/>
  <c r="B67" i="17"/>
  <c r="F25" i="4" s="1"/>
  <c r="B36" i="17"/>
  <c r="B31" i="17"/>
  <c r="H22" i="10"/>
  <c r="G22" i="10"/>
  <c r="E22" i="10"/>
  <c r="D22" i="10"/>
  <c r="C78" i="17"/>
  <c r="C76" i="16" s="1"/>
  <c r="F54" i="1"/>
  <c r="D78" i="17"/>
  <c r="F53" i="1" s="1"/>
  <c r="E78" i="17"/>
  <c r="E76" i="16" s="1"/>
  <c r="F52" i="1"/>
  <c r="F78" i="17"/>
  <c r="F51" i="1" s="1"/>
  <c r="G78" i="17"/>
  <c r="F50" i="1"/>
  <c r="H78" i="17"/>
  <c r="F49" i="1" s="1"/>
  <c r="I78" i="17"/>
  <c r="I76" i="16" s="1"/>
  <c r="F48" i="1"/>
  <c r="J78" i="17"/>
  <c r="F47" i="1" s="1"/>
  <c r="K78" i="17"/>
  <c r="K76" i="16" s="1"/>
  <c r="L78" i="17"/>
  <c r="L76" i="16" s="1"/>
  <c r="M78" i="17"/>
  <c r="B78" i="17"/>
  <c r="F55" i="1" s="1"/>
  <c r="C49" i="10"/>
  <c r="I120" i="21"/>
  <c r="G45" i="10" a="1"/>
  <c r="G45" i="10" s="1"/>
  <c r="E28" i="10"/>
  <c r="O6" i="19"/>
  <c r="C23" i="17"/>
  <c r="D23" i="17"/>
  <c r="E23" i="17"/>
  <c r="F23" i="17"/>
  <c r="G23" i="17"/>
  <c r="H23" i="17"/>
  <c r="I23" i="17"/>
  <c r="J23" i="17"/>
  <c r="K23" i="17"/>
  <c r="L23" i="17"/>
  <c r="M23" i="17"/>
  <c r="E21" i="4"/>
  <c r="D24" i="4"/>
  <c r="C6" i="10"/>
  <c r="C5" i="10"/>
  <c r="C4" i="10"/>
  <c r="C3" i="10"/>
  <c r="C2" i="10"/>
  <c r="E67" i="17"/>
  <c r="G63" i="17"/>
  <c r="H63" i="17"/>
  <c r="F29" i="1"/>
  <c r="E36" i="17"/>
  <c r="F46" i="17"/>
  <c r="F52" i="16" s="1"/>
  <c r="C8" i="19"/>
  <c r="M7" i="19"/>
  <c r="L18" i="3"/>
  <c r="M18" i="3"/>
  <c r="N18" i="3"/>
  <c r="O18" i="3"/>
  <c r="L20" i="3"/>
  <c r="M20" i="3"/>
  <c r="N20" i="3"/>
  <c r="O20" i="3"/>
  <c r="K18" i="3"/>
  <c r="O10" i="3"/>
  <c r="O5" i="3"/>
  <c r="N10" i="3"/>
  <c r="N5" i="3"/>
  <c r="M10" i="3"/>
  <c r="M5" i="3"/>
  <c r="L10" i="3"/>
  <c r="L5" i="3"/>
  <c r="K10" i="3"/>
  <c r="K5" i="3"/>
  <c r="C63" i="17"/>
  <c r="D67" i="17"/>
  <c r="D25" i="4" s="1"/>
  <c r="C6" i="19"/>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F47" i="10"/>
  <c r="H47" i="10"/>
  <c r="G28" i="10"/>
  <c r="E11" i="10"/>
  <c r="F11" i="10"/>
  <c r="G11" i="10"/>
  <c r="H11" i="10"/>
  <c r="D13" i="10"/>
  <c r="E13" i="10"/>
  <c r="F13" i="10"/>
  <c r="G13" i="10"/>
  <c r="H13" i="10"/>
  <c r="E14" i="10"/>
  <c r="F14" i="10"/>
  <c r="G14" i="10"/>
  <c r="H14" i="10"/>
  <c r="D15" i="10"/>
  <c r="E15" i="10"/>
  <c r="F15" i="10"/>
  <c r="G15" i="10"/>
  <c r="H15" i="10"/>
  <c r="D16" i="10"/>
  <c r="E16" i="10"/>
  <c r="F16" i="10"/>
  <c r="G16" i="10"/>
  <c r="H16" i="10"/>
  <c r="D17" i="10"/>
  <c r="E17" i="10"/>
  <c r="F17" i="10"/>
  <c r="G17" i="10"/>
  <c r="H17" i="10"/>
  <c r="D18" i="10"/>
  <c r="E18" i="10"/>
  <c r="F18" i="10"/>
  <c r="G18" i="10"/>
  <c r="H18" i="10"/>
  <c r="D20" i="10"/>
  <c r="E20" i="10"/>
  <c r="F20" i="10"/>
  <c r="G20" i="10"/>
  <c r="H20" i="10"/>
  <c r="E21" i="10"/>
  <c r="F21"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E33" i="10"/>
  <c r="H33" i="10"/>
  <c r="D34" i="10"/>
  <c r="E34" i="10"/>
  <c r="H34" i="10"/>
  <c r="D35" i="10"/>
  <c r="E35" i="10"/>
  <c r="G35" i="10"/>
  <c r="H35" i="10"/>
  <c r="I9" i="10"/>
  <c r="I38" i="10"/>
  <c r="C24" i="10"/>
  <c r="B15" i="3"/>
  <c r="O21" i="3"/>
  <c r="E13" i="3"/>
  <c r="F13" i="3"/>
  <c r="G13" i="3"/>
  <c r="H13" i="3"/>
  <c r="I13" i="3"/>
  <c r="K17" i="3"/>
  <c r="L17" i="3" s="1"/>
  <c r="M17" i="3" s="1"/>
  <c r="N17" i="3" s="1"/>
  <c r="O17" i="3" s="1"/>
  <c r="K4" i="3"/>
  <c r="L4" i="3" s="1"/>
  <c r="M4" i="3" s="1"/>
  <c r="N4" i="3" s="1"/>
  <c r="O4" i="3" s="1"/>
  <c r="D17" i="3"/>
  <c r="E17" i="3" s="1"/>
  <c r="F17" i="3" s="1"/>
  <c r="G17" i="3" s="1"/>
  <c r="H17" i="3" s="1"/>
  <c r="I17" i="3" s="1"/>
  <c r="D4" i="3"/>
  <c r="E4" i="3" s="1"/>
  <c r="F4" i="3" s="1"/>
  <c r="G4" i="3" s="1"/>
  <c r="H4" i="3" s="1"/>
  <c r="I4" i="3" s="1"/>
  <c r="B4" i="20"/>
  <c r="C4" i="20" s="1"/>
  <c r="D4" i="20" s="1"/>
  <c r="E4" i="20" s="1"/>
  <c r="A2" i="20"/>
  <c r="A1" i="20"/>
  <c r="M13" i="17"/>
  <c r="M14" i="17" s="1"/>
  <c r="L13" i="17"/>
  <c r="L14" i="17" s="1"/>
  <c r="K13" i="17"/>
  <c r="K14" i="17" s="1"/>
  <c r="J13" i="17"/>
  <c r="J14" i="17" s="1"/>
  <c r="I13" i="17"/>
  <c r="I14" i="17" s="1"/>
  <c r="H13" i="17"/>
  <c r="G13" i="17"/>
  <c r="G14" i="17" s="1"/>
  <c r="F13" i="17"/>
  <c r="F14" i="17" s="1"/>
  <c r="E13" i="17"/>
  <c r="E14" i="17" s="1"/>
  <c r="C36" i="17"/>
  <c r="C31" i="17"/>
  <c r="D31" i="17"/>
  <c r="E31" i="17"/>
  <c r="F31" i="17"/>
  <c r="G31" i="17"/>
  <c r="H31" i="17"/>
  <c r="I31" i="17"/>
  <c r="J31" i="17"/>
  <c r="K31" i="17"/>
  <c r="L31" i="17"/>
  <c r="M31" i="17"/>
  <c r="B50" i="17"/>
  <c r="C46" i="17"/>
  <c r="D46" i="17"/>
  <c r="D52" i="16" s="1"/>
  <c r="E46" i="17"/>
  <c r="E51" i="20" s="1"/>
  <c r="G46" i="17"/>
  <c r="H46" i="17"/>
  <c r="H52" i="16" s="1"/>
  <c r="I46" i="17"/>
  <c r="I51" i="20" s="1"/>
  <c r="J46" i="17"/>
  <c r="J52" i="16" s="1"/>
  <c r="K46" i="17"/>
  <c r="L46" i="17"/>
  <c r="L52" i="16" s="1"/>
  <c r="M46" i="17"/>
  <c r="M52" i="16" s="1"/>
  <c r="AB38" i="17"/>
  <c r="I75" i="16"/>
  <c r="H75" i="16"/>
  <c r="G75" i="16"/>
  <c r="J74" i="16"/>
  <c r="M73" i="16"/>
  <c r="E73" i="16"/>
  <c r="H71" i="16"/>
  <c r="K70" i="16"/>
  <c r="C70" i="16"/>
  <c r="F73" i="20"/>
  <c r="I72" i="20"/>
  <c r="L71" i="20"/>
  <c r="D71" i="20"/>
  <c r="G70" i="20"/>
  <c r="J69" i="20"/>
  <c r="K61" i="20"/>
  <c r="C61" i="20"/>
  <c r="F54" i="20"/>
  <c r="I53" i="20"/>
  <c r="L50" i="20"/>
  <c r="D50" i="20"/>
  <c r="G49" i="20"/>
  <c r="J48" i="20"/>
  <c r="M42" i="20"/>
  <c r="E42" i="20"/>
  <c r="H41" i="20"/>
  <c r="K40" i="20"/>
  <c r="C40" i="20"/>
  <c r="F39" i="20"/>
  <c r="I33" i="20"/>
  <c r="L32" i="20"/>
  <c r="D32" i="20"/>
  <c r="G28" i="20"/>
  <c r="J27" i="20"/>
  <c r="M23" i="20"/>
  <c r="E23" i="20"/>
  <c r="H21" i="20"/>
  <c r="K15" i="20"/>
  <c r="C15" i="20"/>
  <c r="F14" i="20"/>
  <c r="I11" i="20"/>
  <c r="I16" i="20" s="1"/>
  <c r="L7" i="20"/>
  <c r="D7" i="20"/>
  <c r="G5" i="20"/>
  <c r="M63" i="16"/>
  <c r="E63" i="16"/>
  <c r="G49" i="16"/>
  <c r="L55" i="16"/>
  <c r="D55" i="16"/>
  <c r="G54" i="16"/>
  <c r="J51" i="16"/>
  <c r="M50" i="16"/>
  <c r="E50" i="16"/>
  <c r="H43" i="16"/>
  <c r="C42" i="16"/>
  <c r="F41" i="16"/>
  <c r="L34" i="16"/>
  <c r="G33" i="16"/>
  <c r="H15" i="21" s="1"/>
  <c r="J29" i="16"/>
  <c r="M28" i="16"/>
  <c r="E28" i="16"/>
  <c r="H24" i="16"/>
  <c r="I7" i="21" s="1"/>
  <c r="K22" i="16"/>
  <c r="C22" i="16"/>
  <c r="E16" i="4" s="1"/>
  <c r="F18" i="16"/>
  <c r="F17" i="20" s="1"/>
  <c r="I15" i="16"/>
  <c r="L14" i="16"/>
  <c r="I11" i="16"/>
  <c r="F7" i="16"/>
  <c r="M5" i="16"/>
  <c r="M6" i="16" s="1"/>
  <c r="E5" i="16"/>
  <c r="H69" i="16"/>
  <c r="H72" i="16"/>
  <c r="K51" i="20"/>
  <c r="B85" i="16"/>
  <c r="B48" i="20"/>
  <c r="B43" i="16"/>
  <c r="C65" i="10" s="1"/>
  <c r="B50" i="20"/>
  <c r="B49" i="16"/>
  <c r="B49" i="20"/>
  <c r="B5" i="20"/>
  <c r="I74" i="16"/>
  <c r="L73" i="16"/>
  <c r="D73" i="16"/>
  <c r="G71" i="16"/>
  <c r="J70" i="16"/>
  <c r="M73" i="20"/>
  <c r="E73" i="20"/>
  <c r="H72" i="20"/>
  <c r="K71" i="20"/>
  <c r="C71" i="20"/>
  <c r="F70" i="20"/>
  <c r="I69" i="20"/>
  <c r="L68" i="20"/>
  <c r="J61" i="20"/>
  <c r="M54" i="20"/>
  <c r="E54" i="20"/>
  <c r="H53" i="20"/>
  <c r="K50" i="20"/>
  <c r="C50" i="20"/>
  <c r="F49" i="20"/>
  <c r="I48" i="20"/>
  <c r="L42" i="20"/>
  <c r="F75" i="16"/>
  <c r="M75" i="16"/>
  <c r="E75" i="16"/>
  <c r="H74" i="16"/>
  <c r="K73" i="16"/>
  <c r="C73" i="16"/>
  <c r="F71" i="16"/>
  <c r="I70" i="16"/>
  <c r="L73" i="20"/>
  <c r="D73" i="20"/>
  <c r="G72" i="20"/>
  <c r="J71" i="20"/>
  <c r="M70" i="20"/>
  <c r="E70" i="20"/>
  <c r="H69" i="20"/>
  <c r="I61" i="20"/>
  <c r="L54" i="20"/>
  <c r="D54" i="20"/>
  <c r="G53" i="20"/>
  <c r="J50" i="20"/>
  <c r="M49" i="20"/>
  <c r="E49" i="20"/>
  <c r="H48" i="20"/>
  <c r="K42" i="20"/>
  <c r="C42" i="20"/>
  <c r="F41" i="20"/>
  <c r="I40" i="20"/>
  <c r="L39" i="20"/>
  <c r="D39" i="20"/>
  <c r="G33" i="20"/>
  <c r="J32" i="20"/>
  <c r="M28" i="20"/>
  <c r="E28" i="20"/>
  <c r="H27" i="20"/>
  <c r="K23" i="20"/>
  <c r="C23" i="20"/>
  <c r="F21" i="20"/>
  <c r="I15" i="20"/>
  <c r="L14" i="20"/>
  <c r="D14" i="20"/>
  <c r="G11" i="20"/>
  <c r="J7" i="20"/>
  <c r="M5" i="20"/>
  <c r="M24" i="20" s="1"/>
  <c r="M25" i="20" s="1"/>
  <c r="E5" i="20"/>
  <c r="K63" i="16"/>
  <c r="C63" i="16"/>
  <c r="I49" i="16"/>
  <c r="J55" i="16"/>
  <c r="M54" i="16"/>
  <c r="E54" i="16"/>
  <c r="E59" i="16" s="1"/>
  <c r="E61" i="16" s="1"/>
  <c r="H51" i="16"/>
  <c r="K50" i="16"/>
  <c r="C50" i="16"/>
  <c r="F43" i="16"/>
  <c r="I42" i="16"/>
  <c r="L41" i="16"/>
  <c r="D41" i="16"/>
  <c r="J34" i="16"/>
  <c r="M33" i="16"/>
  <c r="N15" i="21" s="1"/>
  <c r="E33" i="16"/>
  <c r="F15" i="21" s="1"/>
  <c r="H29" i="16"/>
  <c r="K28" i="16"/>
  <c r="C28" i="16"/>
  <c r="E30" i="4" s="1"/>
  <c r="F24" i="16"/>
  <c r="I22" i="16"/>
  <c r="L18" i="16"/>
  <c r="L17" i="20" s="1"/>
  <c r="D18" i="16"/>
  <c r="D17" i="20" s="1"/>
  <c r="G15" i="16"/>
  <c r="C11" i="16"/>
  <c r="E8" i="4" s="1"/>
  <c r="E12" i="4" s="1"/>
  <c r="K11" i="16"/>
  <c r="H7" i="16"/>
  <c r="K5" i="16"/>
  <c r="C5" i="16"/>
  <c r="K69" i="16"/>
  <c r="F72" i="16"/>
  <c r="J68" i="16"/>
  <c r="B55" i="16"/>
  <c r="B39" i="20"/>
  <c r="B73" i="20"/>
  <c r="B40" i="20"/>
  <c r="B42" i="16"/>
  <c r="C63" i="10" s="1"/>
  <c r="B52" i="20"/>
  <c r="L75" i="16"/>
  <c r="D75" i="16"/>
  <c r="G74" i="16"/>
  <c r="J73" i="16"/>
  <c r="M71" i="16"/>
  <c r="E71" i="16"/>
  <c r="H70" i="16"/>
  <c r="K73" i="20"/>
  <c r="C73" i="20"/>
  <c r="F72" i="20"/>
  <c r="I71" i="20"/>
  <c r="L70" i="20"/>
  <c r="D70" i="20"/>
  <c r="G69" i="20"/>
  <c r="H61" i="20"/>
  <c r="K54" i="20"/>
  <c r="C54" i="20"/>
  <c r="F53" i="20"/>
  <c r="I50" i="20"/>
  <c r="L49" i="20"/>
  <c r="D49" i="20"/>
  <c r="G48" i="20"/>
  <c r="J42" i="20"/>
  <c r="M41" i="20"/>
  <c r="E41" i="20"/>
  <c r="H40" i="20"/>
  <c r="K75" i="16"/>
  <c r="J75" i="16"/>
  <c r="C75" i="16"/>
  <c r="I73" i="16"/>
  <c r="D71" i="16"/>
  <c r="J73" i="20"/>
  <c r="E72" i="20"/>
  <c r="K70" i="20"/>
  <c r="F69" i="20"/>
  <c r="G61" i="20"/>
  <c r="M53" i="20"/>
  <c r="H50" i="20"/>
  <c r="C49" i="20"/>
  <c r="I42" i="20"/>
  <c r="I41" i="20"/>
  <c r="F40" i="20"/>
  <c r="G39" i="20"/>
  <c r="F33" i="20"/>
  <c r="G32" i="20"/>
  <c r="H28" i="20"/>
  <c r="G27" i="20"/>
  <c r="H23" i="20"/>
  <c r="I21" i="20"/>
  <c r="H15" i="20"/>
  <c r="I14" i="20"/>
  <c r="J11" i="20"/>
  <c r="I7" i="20"/>
  <c r="J5" i="20"/>
  <c r="L49" i="16"/>
  <c r="E55" i="16"/>
  <c r="D54" i="16"/>
  <c r="F50" i="16"/>
  <c r="E43" i="16"/>
  <c r="F42" i="16"/>
  <c r="G41" i="16"/>
  <c r="G34" i="16"/>
  <c r="H33" i="16"/>
  <c r="I15" i="21" s="1"/>
  <c r="G29" i="16"/>
  <c r="H28" i="16"/>
  <c r="H36" i="16" s="1"/>
  <c r="H37" i="16" s="1"/>
  <c r="I24" i="16"/>
  <c r="J7" i="21" s="1"/>
  <c r="J200" i="21" s="1"/>
  <c r="H22" i="16"/>
  <c r="I18" i="16"/>
  <c r="I17" i="20" s="1"/>
  <c r="I19" i="20" s="1"/>
  <c r="J15" i="16"/>
  <c r="F11" i="16"/>
  <c r="E7" i="16"/>
  <c r="J5" i="16"/>
  <c r="J8" i="16" s="1"/>
  <c r="E69" i="16"/>
  <c r="I72" i="16"/>
  <c r="H76" i="16"/>
  <c r="G68" i="16"/>
  <c r="C45" i="16"/>
  <c r="B41" i="20"/>
  <c r="B63" i="16"/>
  <c r="B42" i="20"/>
  <c r="B33" i="16"/>
  <c r="F23" i="4" s="1"/>
  <c r="H11" i="16"/>
  <c r="H5" i="16"/>
  <c r="F76" i="16"/>
  <c r="B27" i="20"/>
  <c r="F73" i="16"/>
  <c r="G73" i="20"/>
  <c r="K48" i="20"/>
  <c r="M39" i="20"/>
  <c r="M26" i="20" s="1"/>
  <c r="C32" i="20"/>
  <c r="D27" i="20"/>
  <c r="E15" i="20"/>
  <c r="F7" i="20"/>
  <c r="I63" i="16"/>
  <c r="K54" i="16"/>
  <c r="L50" i="16"/>
  <c r="M41" i="16"/>
  <c r="C34" i="16"/>
  <c r="D29" i="16"/>
  <c r="D29" i="4" s="1"/>
  <c r="D24" i="16"/>
  <c r="E7" i="21" s="1"/>
  <c r="E15" i="16"/>
  <c r="I69" i="16"/>
  <c r="B21" i="20"/>
  <c r="B23" i="20"/>
  <c r="L71" i="16"/>
  <c r="H71" i="20"/>
  <c r="E53" i="20"/>
  <c r="M40" i="20"/>
  <c r="M32" i="20"/>
  <c r="M27" i="20"/>
  <c r="C21" i="20"/>
  <c r="D11" i="20"/>
  <c r="D5" i="20"/>
  <c r="I55" i="16"/>
  <c r="J50" i="16"/>
  <c r="K41" i="16"/>
  <c r="L33" i="16"/>
  <c r="C29" i="16"/>
  <c r="E29" i="4" s="1"/>
  <c r="C24" i="16"/>
  <c r="D7" i="21" s="1"/>
  <c r="D15" i="16"/>
  <c r="D14" i="4" s="1"/>
  <c r="K7" i="16"/>
  <c r="M72" i="16"/>
  <c r="B14" i="20"/>
  <c r="B15" i="20"/>
  <c r="K71" i="16"/>
  <c r="M69" i="20"/>
  <c r="J49" i="20"/>
  <c r="L40" i="20"/>
  <c r="K32" i="20"/>
  <c r="L27" i="20"/>
  <c r="M15" i="20"/>
  <c r="C11" i="20"/>
  <c r="M74" i="16"/>
  <c r="H73" i="16"/>
  <c r="C71" i="16"/>
  <c r="I73" i="20"/>
  <c r="D72" i="20"/>
  <c r="J70" i="20"/>
  <c r="E69" i="20"/>
  <c r="F61" i="20"/>
  <c r="L53" i="20"/>
  <c r="G50" i="20"/>
  <c r="M48" i="20"/>
  <c r="H42" i="20"/>
  <c r="G41" i="20"/>
  <c r="E40" i="20"/>
  <c r="E39" i="20"/>
  <c r="E33" i="20"/>
  <c r="F32" i="20"/>
  <c r="F28" i="20"/>
  <c r="F27" i="20"/>
  <c r="G23" i="20"/>
  <c r="G21" i="20"/>
  <c r="G15" i="20"/>
  <c r="H14" i="20"/>
  <c r="H11" i="20"/>
  <c r="H7" i="20"/>
  <c r="I5" i="20"/>
  <c r="L63" i="16"/>
  <c r="C49" i="16"/>
  <c r="M49" i="16"/>
  <c r="C55" i="16"/>
  <c r="C54" i="16"/>
  <c r="D50" i="16"/>
  <c r="D43" i="16"/>
  <c r="E42" i="16"/>
  <c r="E41" i="16"/>
  <c r="F34" i="16"/>
  <c r="F33" i="16"/>
  <c r="G15" i="21" s="1"/>
  <c r="F29" i="16"/>
  <c r="G28" i="16"/>
  <c r="G24" i="16"/>
  <c r="G22" i="16"/>
  <c r="H18" i="16"/>
  <c r="H17" i="20" s="1"/>
  <c r="H15" i="16"/>
  <c r="G11" i="16"/>
  <c r="G7" i="16"/>
  <c r="I5" i="16"/>
  <c r="J4" i="21" s="1"/>
  <c r="F69" i="16"/>
  <c r="G72" i="16"/>
  <c r="G76" i="16"/>
  <c r="F68" i="16"/>
  <c r="B54" i="20"/>
  <c r="B32" i="20"/>
  <c r="B33" i="20"/>
  <c r="B56" i="16"/>
  <c r="I7" i="16"/>
  <c r="G69" i="16"/>
  <c r="B71" i="16"/>
  <c r="B28" i="20"/>
  <c r="K74" i="16"/>
  <c r="M71" i="20"/>
  <c r="D61" i="20"/>
  <c r="E50" i="20"/>
  <c r="C41" i="20"/>
  <c r="C33" i="20"/>
  <c r="C28" i="20"/>
  <c r="D21" i="20"/>
  <c r="E11" i="20"/>
  <c r="F5" i="20"/>
  <c r="K55" i="16"/>
  <c r="L51" i="16"/>
  <c r="M42" i="16"/>
  <c r="C40" i="16"/>
  <c r="B27" i="16" s="1"/>
  <c r="C33" i="16"/>
  <c r="D15" i="21" s="1"/>
  <c r="E22" i="16"/>
  <c r="G5" i="16"/>
  <c r="D72" i="16"/>
  <c r="B28" i="16"/>
  <c r="F30" i="4" s="1"/>
  <c r="B70" i="16"/>
  <c r="F74" i="16"/>
  <c r="M72" i="20"/>
  <c r="C70" i="20"/>
  <c r="J54" i="20"/>
  <c r="D42" i="20"/>
  <c r="L33" i="20"/>
  <c r="L28" i="20"/>
  <c r="M21" i="20"/>
  <c r="C14" i="20"/>
  <c r="E7" i="20"/>
  <c r="F49" i="16"/>
  <c r="K51" i="16"/>
  <c r="L42" i="16"/>
  <c r="M34" i="16"/>
  <c r="M29" i="16"/>
  <c r="M24" i="16"/>
  <c r="C18" i="16"/>
  <c r="C17" i="20" s="1"/>
  <c r="L11" i="16"/>
  <c r="D76" i="16"/>
  <c r="B74" i="16"/>
  <c r="F70" i="16"/>
  <c r="G71" i="20"/>
  <c r="D53" i="20"/>
  <c r="L41" i="20"/>
  <c r="K33" i="20"/>
  <c r="K28" i="20"/>
  <c r="L21" i="20"/>
  <c r="L74" i="16"/>
  <c r="G73" i="16"/>
  <c r="M70" i="16"/>
  <c r="H73" i="20"/>
  <c r="C72" i="20"/>
  <c r="I70" i="20"/>
  <c r="D69" i="20"/>
  <c r="E61" i="20"/>
  <c r="K53" i="20"/>
  <c r="F50" i="20"/>
  <c r="L48" i="20"/>
  <c r="G42" i="20"/>
  <c r="D41" i="20"/>
  <c r="D40" i="20"/>
  <c r="C39" i="20"/>
  <c r="D33" i="20"/>
  <c r="E32" i="20"/>
  <c r="D28" i="20"/>
  <c r="E27" i="20"/>
  <c r="F23" i="20"/>
  <c r="E21" i="20"/>
  <c r="F15" i="20"/>
  <c r="G14" i="20"/>
  <c r="F11" i="20"/>
  <c r="G7" i="20"/>
  <c r="H5" i="20"/>
  <c r="J63" i="16"/>
  <c r="D49" i="16"/>
  <c r="M55" i="16"/>
  <c r="L54" i="16"/>
  <c r="M51" i="16"/>
  <c r="C51" i="16"/>
  <c r="C43" i="16"/>
  <c r="D42" i="16"/>
  <c r="C41" i="16"/>
  <c r="D33" i="16"/>
  <c r="D23" i="4" s="1"/>
  <c r="E29" i="16"/>
  <c r="F28" i="16"/>
  <c r="E24" i="16"/>
  <c r="F7" i="21" s="1"/>
  <c r="F200" i="21" s="1"/>
  <c r="F22" i="16"/>
  <c r="G18" i="16"/>
  <c r="G17" i="20" s="1"/>
  <c r="F15" i="16"/>
  <c r="E72" i="16"/>
  <c r="B53" i="16"/>
  <c r="B73" i="16"/>
  <c r="L70" i="16"/>
  <c r="H70" i="20"/>
  <c r="C69" i="20"/>
  <c r="J53" i="20"/>
  <c r="F42" i="20"/>
  <c r="M33" i="20"/>
  <c r="D23" i="20"/>
  <c r="E14" i="20"/>
  <c r="E49" i="16"/>
  <c r="M40" i="16"/>
  <c r="M27" i="16" s="1"/>
  <c r="D28" i="16"/>
  <c r="E18" i="16"/>
  <c r="E17" i="20" s="1"/>
  <c r="J11" i="16"/>
  <c r="B22" i="16"/>
  <c r="G70" i="16"/>
  <c r="K49" i="20"/>
  <c r="F48" i="20"/>
  <c r="K39" i="20"/>
  <c r="C27" i="20"/>
  <c r="C35" i="20" s="1"/>
  <c r="D15" i="20"/>
  <c r="H63" i="16"/>
  <c r="J54" i="16"/>
  <c r="K43" i="16"/>
  <c r="L40" i="16"/>
  <c r="D22" i="16"/>
  <c r="D16" i="4" s="1"/>
  <c r="F5" i="16"/>
  <c r="F8" i="16" s="1"/>
  <c r="C72" i="16"/>
  <c r="B18" i="16"/>
  <c r="B17" i="20" s="1"/>
  <c r="B15" i="16"/>
  <c r="F14" i="4" s="1"/>
  <c r="E74" i="16"/>
  <c r="L72" i="20"/>
  <c r="I54" i="20"/>
  <c r="E48" i="20"/>
  <c r="J39" i="20"/>
  <c r="L23" i="20"/>
  <c r="M14" i="20"/>
  <c r="D74" i="16"/>
  <c r="F71" i="20"/>
  <c r="H54" i="20"/>
  <c r="K41" i="20"/>
  <c r="I32" i="20"/>
  <c r="K21" i="20"/>
  <c r="K11" i="20"/>
  <c r="J49" i="16"/>
  <c r="I51" i="16"/>
  <c r="G43" i="16"/>
  <c r="L29" i="16"/>
  <c r="J24" i="16"/>
  <c r="L15" i="16"/>
  <c r="M11" i="16"/>
  <c r="D69" i="16"/>
  <c r="I68" i="16"/>
  <c r="B7" i="20"/>
  <c r="B57" i="16"/>
  <c r="C74" i="16"/>
  <c r="E71" i="20"/>
  <c r="G54" i="20"/>
  <c r="J41" i="20"/>
  <c r="H32" i="20"/>
  <c r="J21" i="20"/>
  <c r="M7" i="20"/>
  <c r="K49" i="16"/>
  <c r="J42" i="16"/>
  <c r="H27" i="16"/>
  <c r="K29" i="16"/>
  <c r="M22" i="16"/>
  <c r="K15" i="16"/>
  <c r="C7" i="16"/>
  <c r="L72" i="16"/>
  <c r="H68" i="16"/>
  <c r="B41" i="16"/>
  <c r="C62" i="10" s="1"/>
  <c r="B11" i="20"/>
  <c r="K5" i="20"/>
  <c r="I54" i="16"/>
  <c r="K33" i="16"/>
  <c r="L15" i="21" s="1"/>
  <c r="C14" i="16"/>
  <c r="E13" i="4" s="1"/>
  <c r="C57" i="10"/>
  <c r="M61" i="20"/>
  <c r="J33" i="20"/>
  <c r="M11" i="20"/>
  <c r="H54" i="16"/>
  <c r="H41" i="16"/>
  <c r="D11" i="16"/>
  <c r="B11" i="16"/>
  <c r="J72" i="20"/>
  <c r="I23" i="20"/>
  <c r="H49" i="16"/>
  <c r="K40" i="16"/>
  <c r="K27" i="16" s="1"/>
  <c r="M15" i="16"/>
  <c r="E11" i="16"/>
  <c r="B72" i="16"/>
  <c r="J71" i="16"/>
  <c r="L69" i="20"/>
  <c r="C53" i="20"/>
  <c r="J40" i="20"/>
  <c r="J28" i="20"/>
  <c r="L15" i="20"/>
  <c r="K7" i="20"/>
  <c r="G63" i="16"/>
  <c r="H55" i="16"/>
  <c r="H42" i="16"/>
  <c r="I29" i="16"/>
  <c r="L22" i="16"/>
  <c r="C15" i="16"/>
  <c r="E14" i="4" s="1"/>
  <c r="D7" i="16"/>
  <c r="K72" i="16"/>
  <c r="B29" i="16"/>
  <c r="F29" i="4" s="1"/>
  <c r="B45" i="16"/>
  <c r="C66" i="10" s="1"/>
  <c r="F55" i="16"/>
  <c r="J41" i="16"/>
  <c r="J28" i="16"/>
  <c r="K14" i="16"/>
  <c r="M76" i="16"/>
  <c r="B24" i="16"/>
  <c r="C59" i="10" s="1"/>
  <c r="B61" i="20"/>
  <c r="I27" i="20"/>
  <c r="I28" i="16"/>
  <c r="L5" i="16"/>
  <c r="M4" i="21" s="1"/>
  <c r="B53" i="20"/>
  <c r="D48" i="20"/>
  <c r="L24" i="16"/>
  <c r="D5" i="16"/>
  <c r="D6" i="4" s="1"/>
  <c r="J76" i="16"/>
  <c r="C48" i="20"/>
  <c r="L11" i="20"/>
  <c r="F54" i="16"/>
  <c r="M68" i="16"/>
  <c r="B5" i="16"/>
  <c r="B9" i="16" s="1"/>
  <c r="I71" i="16"/>
  <c r="K69" i="20"/>
  <c r="M50" i="20"/>
  <c r="G40" i="20"/>
  <c r="I28" i="20"/>
  <c r="J15" i="20"/>
  <c r="C7" i="20"/>
  <c r="F63" i="16"/>
  <c r="G55" i="16"/>
  <c r="I50" i="16"/>
  <c r="G42" i="16"/>
  <c r="I34" i="16"/>
  <c r="L28" i="16"/>
  <c r="J22" i="16"/>
  <c r="M14" i="16"/>
  <c r="L7" i="16"/>
  <c r="J72" i="16"/>
  <c r="G51" i="20"/>
  <c r="B44" i="20"/>
  <c r="E70" i="16"/>
  <c r="I49" i="20"/>
  <c r="I39" i="20"/>
  <c r="K27" i="20"/>
  <c r="K14" i="20"/>
  <c r="L5" i="20"/>
  <c r="D63" i="16"/>
  <c r="H50" i="16"/>
  <c r="H34" i="16"/>
  <c r="M18" i="16"/>
  <c r="M17" i="20" s="1"/>
  <c r="M7" i="16"/>
  <c r="B75" i="16"/>
  <c r="D70" i="16"/>
  <c r="H49" i="20"/>
  <c r="H39" i="20"/>
  <c r="J14" i="20"/>
  <c r="G50" i="16"/>
  <c r="I41" i="16"/>
  <c r="K18" i="16"/>
  <c r="K72" i="20"/>
  <c r="J23" i="20"/>
  <c r="C5" i="20"/>
  <c r="J33" i="16"/>
  <c r="K15" i="21" s="1"/>
  <c r="K58" i="21" s="1"/>
  <c r="J18" i="16"/>
  <c r="B7" i="16"/>
  <c r="L61" i="20"/>
  <c r="H33" i="20"/>
  <c r="D13" i="4"/>
  <c r="N21" i="3"/>
  <c r="M21" i="3"/>
  <c r="D14" i="17"/>
  <c r="C14" i="17"/>
  <c r="B2" i="3"/>
  <c r="B5" i="17"/>
  <c r="D5" i="17"/>
  <c r="E5" i="17" s="1"/>
  <c r="F5" i="17" s="1"/>
  <c r="G5" i="17" s="1"/>
  <c r="H5" i="17" s="1"/>
  <c r="I5" i="17" s="1"/>
  <c r="J5" i="17" s="1"/>
  <c r="K5" i="17" s="1"/>
  <c r="L5" i="17" s="1"/>
  <c r="M5" i="17" s="1"/>
  <c r="B4" i="16"/>
  <c r="C4" i="16" s="1"/>
  <c r="D4" i="16" s="1"/>
  <c r="E4" i="16" s="1"/>
  <c r="F4" i="16" s="1"/>
  <c r="G4" i="16" s="1"/>
  <c r="H4" i="16" s="1"/>
  <c r="I4" i="16" s="1"/>
  <c r="J4" i="16" s="1"/>
  <c r="K4" i="16" s="1"/>
  <c r="L4" i="16" s="1"/>
  <c r="M4" i="16" s="1"/>
  <c r="L47" i="1"/>
  <c r="M47" i="1" s="1"/>
  <c r="B55" i="1"/>
  <c r="B54" i="1" s="1"/>
  <c r="B53" i="1" s="1"/>
  <c r="B52" i="1" s="1"/>
  <c r="B51" i="1" s="1"/>
  <c r="B50" i="1" s="1"/>
  <c r="B49" i="1" s="1"/>
  <c r="B48" i="1" s="1"/>
  <c r="B47" i="1" s="1"/>
  <c r="B85" i="17"/>
  <c r="B71" i="20" s="1"/>
  <c r="B84" i="17"/>
  <c r="B70" i="20" s="1"/>
  <c r="I26" i="10"/>
  <c r="C12" i="19"/>
  <c r="C13" i="19"/>
  <c r="C14" i="19"/>
  <c r="C15" i="19"/>
  <c r="C16" i="19"/>
  <c r="C17" i="19"/>
  <c r="C18" i="19"/>
  <c r="C19" i="19"/>
  <c r="C20" i="19"/>
  <c r="C21" i="19"/>
  <c r="C22" i="19"/>
  <c r="C7" i="19"/>
  <c r="C9" i="19"/>
  <c r="C10" i="19"/>
  <c r="I12" i="10"/>
  <c r="C88" i="17"/>
  <c r="D88" i="17" s="1"/>
  <c r="AD53" i="17"/>
  <c r="AC53" i="17"/>
  <c r="AD52" i="17"/>
  <c r="AC52" i="17"/>
  <c r="AG49" i="17"/>
  <c r="AF49" i="17"/>
  <c r="AF52" i="17" s="1"/>
  <c r="AE49" i="17"/>
  <c r="AB49" i="17"/>
  <c r="AA49" i="17"/>
  <c r="AA52" i="17" s="1"/>
  <c r="Z49" i="17"/>
  <c r="Z52" i="17" s="1"/>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H14" i="17"/>
  <c r="AA25" i="17"/>
  <c r="O75" i="17"/>
  <c r="AE12" i="17"/>
  <c r="AG11" i="17"/>
  <c r="AF11" i="17"/>
  <c r="AE11" i="17"/>
  <c r="AD11" i="17"/>
  <c r="D22" i="17"/>
  <c r="D19" i="16" s="1"/>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C13" i="17" s="1"/>
  <c r="AC14" i="17" s="1"/>
  <c r="AB7" i="17"/>
  <c r="AB8" i="17" s="1"/>
  <c r="AB13" i="17" s="1"/>
  <c r="AB14" i="17" s="1"/>
  <c r="AA7" i="17"/>
  <c r="AA8" i="17" s="1"/>
  <c r="AA13" i="17" s="1"/>
  <c r="AA14" i="17" s="1"/>
  <c r="Z7" i="17"/>
  <c r="Z8" i="17" s="1"/>
  <c r="O7" i="17"/>
  <c r="A2" i="16"/>
  <c r="A1" i="16"/>
  <c r="D13" i="3"/>
  <c r="B11" i="3" s="1"/>
  <c r="B55" i="20"/>
  <c r="B56" i="20"/>
  <c r="B51" i="20"/>
  <c r="G52" i="16"/>
  <c r="C44" i="20"/>
  <c r="K52" i="16"/>
  <c r="Z53" i="17"/>
  <c r="M18" i="20"/>
  <c r="B83" i="16"/>
  <c r="I19" i="10"/>
  <c r="I10" i="10"/>
  <c r="F27" i="16"/>
  <c r="E27" i="16"/>
  <c r="I27" i="16"/>
  <c r="G27" i="16"/>
  <c r="I32" i="10"/>
  <c r="F36" i="17"/>
  <c r="F37" i="17" s="1"/>
  <c r="J36" i="17"/>
  <c r="J37" i="17" s="1"/>
  <c r="M36" i="17"/>
  <c r="I36" i="17"/>
  <c r="G36" i="17"/>
  <c r="K36" i="17"/>
  <c r="K37" i="17" s="1"/>
  <c r="H36" i="17"/>
  <c r="L36" i="17"/>
  <c r="M45" i="16"/>
  <c r="L45" i="16"/>
  <c r="I45" i="16"/>
  <c r="E45" i="16"/>
  <c r="H44" i="20"/>
  <c r="F44" i="20"/>
  <c r="E44" i="20"/>
  <c r="M44" i="20"/>
  <c r="G44" i="20"/>
  <c r="H45" i="16"/>
  <c r="K44" i="20"/>
  <c r="K45" i="16"/>
  <c r="F45" i="16"/>
  <c r="L44" i="20"/>
  <c r="G45" i="16"/>
  <c r="J44" i="20"/>
  <c r="I44" i="20"/>
  <c r="J45" i="16"/>
  <c r="D36" i="17"/>
  <c r="C56" i="17"/>
  <c r="C56" i="20"/>
  <c r="C57" i="16"/>
  <c r="C50" i="17"/>
  <c r="C56" i="16" s="1"/>
  <c r="C67" i="17"/>
  <c r="E25" i="4" s="1"/>
  <c r="C52" i="20"/>
  <c r="C69" i="16"/>
  <c r="B76" i="16"/>
  <c r="D45" i="16"/>
  <c r="C53" i="16"/>
  <c r="D44" i="20"/>
  <c r="B69" i="16"/>
  <c r="K63" i="17"/>
  <c r="L63" i="17"/>
  <c r="K68" i="16"/>
  <c r="M69" i="16"/>
  <c r="L68" i="16"/>
  <c r="J69" i="16"/>
  <c r="G56" i="17"/>
  <c r="G63" i="20" s="1"/>
  <c r="H56" i="17"/>
  <c r="H65" i="16" s="1"/>
  <c r="M56" i="17"/>
  <c r="M65" i="16" s="1"/>
  <c r="I56" i="17"/>
  <c r="I63" i="20" s="1"/>
  <c r="F56" i="17"/>
  <c r="F63" i="20" s="1"/>
  <c r="J56" i="17"/>
  <c r="L56" i="17"/>
  <c r="L63" i="20" s="1"/>
  <c r="E56" i="17"/>
  <c r="E65" i="16" s="1"/>
  <c r="D56" i="17"/>
  <c r="D63" i="20" s="1"/>
  <c r="K56" i="17"/>
  <c r="K65" i="16" s="1"/>
  <c r="G53" i="16"/>
  <c r="L56" i="20"/>
  <c r="L57" i="16"/>
  <c r="K52" i="20"/>
  <c r="M57" i="16"/>
  <c r="H53" i="16"/>
  <c r="H57" i="16"/>
  <c r="I57" i="16"/>
  <c r="J57" i="16"/>
  <c r="E56" i="20"/>
  <c r="K57" i="16"/>
  <c r="F53" i="16"/>
  <c r="M53" i="16"/>
  <c r="M56" i="20"/>
  <c r="D57" i="16"/>
  <c r="H56" i="20"/>
  <c r="I56" i="20"/>
  <c r="J56" i="20"/>
  <c r="E57" i="16"/>
  <c r="K56" i="20"/>
  <c r="J53" i="16"/>
  <c r="I53" i="16"/>
  <c r="G57" i="16"/>
  <c r="D56" i="20"/>
  <c r="L65" i="16"/>
  <c r="F57" i="16"/>
  <c r="F56" i="20"/>
  <c r="D53" i="16"/>
  <c r="E53" i="16"/>
  <c r="G56" i="20"/>
  <c r="L53" i="16"/>
  <c r="D50" i="17"/>
  <c r="D56" i="16" s="1"/>
  <c r="E50" i="17"/>
  <c r="E56" i="16" s="1"/>
  <c r="F50" i="17"/>
  <c r="F56" i="16" s="1"/>
  <c r="G50" i="17"/>
  <c r="G55" i="20" s="1"/>
  <c r="H50" i="17"/>
  <c r="H56" i="16" s="1"/>
  <c r="I50" i="17"/>
  <c r="I56" i="16" s="1"/>
  <c r="J50" i="17"/>
  <c r="J55" i="20" s="1"/>
  <c r="K50" i="17"/>
  <c r="K55" i="20" s="1"/>
  <c r="L50" i="17"/>
  <c r="L56" i="16" s="1"/>
  <c r="M50" i="17"/>
  <c r="M56" i="16" s="1"/>
  <c r="D52" i="20"/>
  <c r="H52" i="20"/>
  <c r="L52" i="20"/>
  <c r="E52" i="20"/>
  <c r="M52" i="20"/>
  <c r="J52" i="20"/>
  <c r="I52" i="20"/>
  <c r="F52" i="20"/>
  <c r="K53" i="16"/>
  <c r="G52" i="20"/>
  <c r="L55" i="20"/>
  <c r="D55" i="20"/>
  <c r="H119" i="21" l="1"/>
  <c r="D152" i="21"/>
  <c r="L113" i="21"/>
  <c r="M12" i="16"/>
  <c r="M13" i="16" s="1"/>
  <c r="C35" i="16"/>
  <c r="M124" i="21"/>
  <c r="E26" i="20"/>
  <c r="G35" i="20"/>
  <c r="D35" i="16"/>
  <c r="M23" i="16"/>
  <c r="G59" i="16"/>
  <c r="G61" i="16" s="1"/>
  <c r="E36" i="16"/>
  <c r="J8" i="20"/>
  <c r="E16" i="20"/>
  <c r="F22" i="20"/>
  <c r="G16" i="20"/>
  <c r="E35" i="20"/>
  <c r="E36" i="20" s="1"/>
  <c r="C26" i="20"/>
  <c r="B6" i="16"/>
  <c r="C58" i="20"/>
  <c r="B58" i="20"/>
  <c r="B59" i="20" s="1"/>
  <c r="C59" i="21"/>
  <c r="N59" i="21"/>
  <c r="M59" i="21"/>
  <c r="L59" i="21"/>
  <c r="K59" i="21"/>
  <c r="J59" i="21"/>
  <c r="I59" i="21"/>
  <c r="H59" i="21"/>
  <c r="G59" i="21"/>
  <c r="F59" i="21"/>
  <c r="D59" i="21"/>
  <c r="C63" i="21" s="1"/>
  <c r="G12" i="20"/>
  <c r="Q48" i="1"/>
  <c r="F51" i="20"/>
  <c r="L35" i="20"/>
  <c r="I37" i="17"/>
  <c r="J27" i="16"/>
  <c r="C17" i="16"/>
  <c r="F59" i="16"/>
  <c r="F61" i="16" s="1"/>
  <c r="C36" i="20"/>
  <c r="M37" i="17"/>
  <c r="E52" i="16"/>
  <c r="M30" i="16"/>
  <c r="H16" i="20"/>
  <c r="E58" i="20"/>
  <c r="B37" i="17"/>
  <c r="B65" i="16"/>
  <c r="J51" i="20"/>
  <c r="L55" i="1"/>
  <c r="J24" i="20"/>
  <c r="F20" i="16"/>
  <c r="G245" i="21" s="1"/>
  <c r="H21" i="10"/>
  <c r="H25" i="21"/>
  <c r="H55" i="20"/>
  <c r="B12" i="3"/>
  <c r="D80" i="20"/>
  <c r="F12" i="20"/>
  <c r="B5" i="3"/>
  <c r="H21" i="1" s="1"/>
  <c r="K16" i="20"/>
  <c r="D118" i="21"/>
  <c r="C119" i="21"/>
  <c r="N152" i="21"/>
  <c r="J152" i="21"/>
  <c r="F152" i="21"/>
  <c r="E20" i="16"/>
  <c r="B22" i="20"/>
  <c r="E55" i="20"/>
  <c r="C55" i="20"/>
  <c r="D51" i="20"/>
  <c r="L9" i="20"/>
  <c r="L10" i="20" s="1"/>
  <c r="E17" i="16"/>
  <c r="E16" i="16" s="1"/>
  <c r="H30" i="16"/>
  <c r="L27" i="16"/>
  <c r="F16" i="20"/>
  <c r="I8" i="16"/>
  <c r="F35" i="16"/>
  <c r="C9" i="20"/>
  <c r="C10" i="20" s="1"/>
  <c r="I20" i="20"/>
  <c r="G36" i="16"/>
  <c r="J22" i="17"/>
  <c r="H118" i="21"/>
  <c r="L34" i="20"/>
  <c r="M12" i="20"/>
  <c r="M13" i="20" s="1"/>
  <c r="D20" i="16"/>
  <c r="D21" i="16" s="1"/>
  <c r="D67" i="20"/>
  <c r="E25" i="16"/>
  <c r="D58" i="20"/>
  <c r="L13" i="3"/>
  <c r="P6" i="19"/>
  <c r="E37" i="17"/>
  <c r="H152" i="21"/>
  <c r="Q50" i="1"/>
  <c r="F56" i="1"/>
  <c r="L37" i="17"/>
  <c r="Q47" i="1"/>
  <c r="J35" i="16"/>
  <c r="I52" i="16"/>
  <c r="AF13" i="17"/>
  <c r="AF14" i="17" s="1"/>
  <c r="I58" i="20"/>
  <c r="I59" i="20" s="1"/>
  <c r="E12" i="16"/>
  <c r="E23" i="16"/>
  <c r="E29" i="20"/>
  <c r="E8" i="16"/>
  <c r="G26" i="20"/>
  <c r="G29" i="20" s="1"/>
  <c r="C37" i="17"/>
  <c r="C44" i="16" s="1"/>
  <c r="O13" i="3"/>
  <c r="I24" i="10"/>
  <c r="L22" i="17"/>
  <c r="L18" i="20" s="1"/>
  <c r="H22" i="17"/>
  <c r="H18" i="20" s="1"/>
  <c r="F58" i="1"/>
  <c r="F59" i="1"/>
  <c r="D37" i="17"/>
  <c r="D43" i="20" s="1"/>
  <c r="H37" i="17"/>
  <c r="H43" i="20" s="1"/>
  <c r="G36" i="20"/>
  <c r="M51" i="20"/>
  <c r="G12" i="16"/>
  <c r="J56" i="16"/>
  <c r="M63" i="20"/>
  <c r="D65" i="16"/>
  <c r="J30" i="16"/>
  <c r="J36" i="16"/>
  <c r="J37" i="16" s="1"/>
  <c r="L152" i="21"/>
  <c r="E43" i="20"/>
  <c r="E44" i="16"/>
  <c r="L19" i="16"/>
  <c r="I43" i="10"/>
  <c r="J43" i="10" s="1"/>
  <c r="C117" i="21"/>
  <c r="K113" i="21"/>
  <c r="L36" i="16"/>
  <c r="L37" i="16" s="1"/>
  <c r="L24" i="20"/>
  <c r="G37" i="16"/>
  <c r="L8" i="16"/>
  <c r="M22" i="20"/>
  <c r="M55" i="20"/>
  <c r="F65" i="16"/>
  <c r="E60" i="16"/>
  <c r="G35" i="16"/>
  <c r="C6" i="16"/>
  <c r="E30" i="16"/>
  <c r="B10" i="3"/>
  <c r="H26" i="1" s="1"/>
  <c r="B8" i="3"/>
  <c r="H24" i="1" s="1"/>
  <c r="H51" i="20"/>
  <c r="L16" i="20"/>
  <c r="K36" i="16"/>
  <c r="K37" i="16" s="1"/>
  <c r="M8" i="20"/>
  <c r="C124" i="21"/>
  <c r="I34" i="20"/>
  <c r="I13" i="22"/>
  <c r="E24" i="21" s="1"/>
  <c r="H26" i="21"/>
  <c r="F55" i="20"/>
  <c r="E15" i="4"/>
  <c r="G65" i="16"/>
  <c r="Q44" i="1"/>
  <c r="K6" i="16"/>
  <c r="E9" i="16"/>
  <c r="E10" i="16" s="1"/>
  <c r="B6" i="20"/>
  <c r="H58" i="20"/>
  <c r="H59" i="20" s="1"/>
  <c r="C20" i="16"/>
  <c r="D245" i="21" s="1"/>
  <c r="B12" i="20"/>
  <c r="I17" i="16"/>
  <c r="M59" i="16"/>
  <c r="M60" i="16" s="1"/>
  <c r="D34" i="20"/>
  <c r="M13" i="3"/>
  <c r="K22" i="17"/>
  <c r="C22" i="17"/>
  <c r="C19" i="16" s="1"/>
  <c r="F113" i="21"/>
  <c r="D117" i="21"/>
  <c r="J63" i="20"/>
  <c r="J65" i="16"/>
  <c r="J44" i="16"/>
  <c r="J43" i="20"/>
  <c r="J19" i="16"/>
  <c r="J18" i="20"/>
  <c r="AG52" i="17"/>
  <c r="AG53" i="17"/>
  <c r="H63" i="20"/>
  <c r="K63" i="20"/>
  <c r="K43" i="20"/>
  <c r="K44" i="16"/>
  <c r="AB52" i="17"/>
  <c r="AB53" i="17"/>
  <c r="I55" i="20"/>
  <c r="D44" i="16"/>
  <c r="J6" i="16"/>
  <c r="K35" i="16"/>
  <c r="M53" i="1"/>
  <c r="C51" i="20"/>
  <c r="C52" i="16"/>
  <c r="Q46" i="1"/>
  <c r="Q45" i="1"/>
  <c r="I65" i="16"/>
  <c r="C65" i="16"/>
  <c r="C63" i="20"/>
  <c r="G37" i="17"/>
  <c r="G44" i="16" s="1"/>
  <c r="Q49" i="1"/>
  <c r="G30" i="16"/>
  <c r="J23" i="16"/>
  <c r="L51" i="20"/>
  <c r="I9" i="20"/>
  <c r="I10" i="20" s="1"/>
  <c r="I6" i="20"/>
  <c r="I12" i="20"/>
  <c r="I22" i="20"/>
  <c r="F4" i="20"/>
  <c r="G4" i="20" s="1"/>
  <c r="H4" i="20" s="1"/>
  <c r="I4" i="20" s="1"/>
  <c r="J4" i="20" s="1"/>
  <c r="K4" i="20" s="1"/>
  <c r="L4" i="20" s="1"/>
  <c r="M4" i="20" s="1"/>
  <c r="E80" i="20"/>
  <c r="B44" i="16"/>
  <c r="B43" i="20"/>
  <c r="J12" i="16"/>
  <c r="J17" i="16"/>
  <c r="J16" i="16" s="1"/>
  <c r="H6" i="20"/>
  <c r="M15" i="21"/>
  <c r="L35" i="16"/>
  <c r="E124" i="21"/>
  <c r="D8" i="20"/>
  <c r="L4" i="21"/>
  <c r="L74" i="21" s="1"/>
  <c r="K23" i="16"/>
  <c r="K25" i="16"/>
  <c r="F185" i="21"/>
  <c r="F58" i="21"/>
  <c r="E24" i="20"/>
  <c r="E6" i="20"/>
  <c r="G9" i="20"/>
  <c r="G10" i="20" s="1"/>
  <c r="G8" i="20"/>
  <c r="G22" i="17"/>
  <c r="F22" i="17"/>
  <c r="F245" i="21"/>
  <c r="H19" i="16"/>
  <c r="AF53" i="17"/>
  <c r="Z13" i="17"/>
  <c r="Z14" i="17" s="1"/>
  <c r="AG13" i="17"/>
  <c r="AG14" i="17" s="1"/>
  <c r="AE53" i="17"/>
  <c r="C80" i="20"/>
  <c r="I24" i="20"/>
  <c r="J58" i="20"/>
  <c r="J59" i="20" s="1"/>
  <c r="G22" i="20"/>
  <c r="F34" i="20"/>
  <c r="L58" i="20"/>
  <c r="L59" i="20" s="1"/>
  <c r="C67" i="20"/>
  <c r="F67" i="20"/>
  <c r="E68" i="20"/>
  <c r="G21" i="10"/>
  <c r="J113" i="21"/>
  <c r="M113" i="21"/>
  <c r="I113" i="21"/>
  <c r="H117" i="21"/>
  <c r="M152" i="21"/>
  <c r="M153" i="21" s="1"/>
  <c r="I152" i="21"/>
  <c r="E152" i="21"/>
  <c r="E153" i="21" s="1"/>
  <c r="M19" i="20"/>
  <c r="M20" i="20" s="1"/>
  <c r="D26" i="4"/>
  <c r="G24" i="20"/>
  <c r="B67" i="20"/>
  <c r="E67" i="20"/>
  <c r="C68" i="20"/>
  <c r="I200" i="21"/>
  <c r="M68" i="20"/>
  <c r="N13" i="3"/>
  <c r="I22" i="17"/>
  <c r="E22" i="17"/>
  <c r="O8" i="19"/>
  <c r="D113" i="21"/>
  <c r="E119" i="21"/>
  <c r="K152" i="21"/>
  <c r="G152" i="21"/>
  <c r="G153" i="21" s="1"/>
  <c r="I30" i="16"/>
  <c r="AD13" i="17"/>
  <c r="AD14" i="17" s="1"/>
  <c r="F68" i="20"/>
  <c r="F30" i="16"/>
  <c r="F19" i="20"/>
  <c r="F20" i="20" s="1"/>
  <c r="G19" i="20"/>
  <c r="G20" i="20" s="1"/>
  <c r="G68" i="20"/>
  <c r="J25" i="16"/>
  <c r="J26" i="16" s="1"/>
  <c r="M34" i="20"/>
  <c r="H68" i="20"/>
  <c r="M36" i="16"/>
  <c r="M37" i="16" s="1"/>
  <c r="L36" i="20"/>
  <c r="F35" i="20"/>
  <c r="F36" i="20" s="1"/>
  <c r="K67" i="20"/>
  <c r="M35" i="20"/>
  <c r="M36" i="20" s="1"/>
  <c r="I68" i="20"/>
  <c r="I67" i="20"/>
  <c r="D68" i="20"/>
  <c r="I44" i="10"/>
  <c r="J44" i="10" s="1"/>
  <c r="H24" i="21"/>
  <c r="E117" i="21"/>
  <c r="E113" i="21"/>
  <c r="C118" i="21"/>
  <c r="F43" i="20"/>
  <c r="F44" i="16"/>
  <c r="L44" i="16"/>
  <c r="L43" i="20"/>
  <c r="M43" i="20"/>
  <c r="M44" i="16"/>
  <c r="H153" i="21"/>
  <c r="G56" i="16"/>
  <c r="E63" i="20"/>
  <c r="I44" i="16"/>
  <c r="I43" i="20"/>
  <c r="J74" i="21"/>
  <c r="J183" i="21"/>
  <c r="K56" i="16"/>
  <c r="H44" i="16"/>
  <c r="G43" i="20"/>
  <c r="D18" i="20"/>
  <c r="C18" i="20"/>
  <c r="AE52" i="17"/>
  <c r="AA53" i="17"/>
  <c r="B80" i="20"/>
  <c r="AE13" i="17"/>
  <c r="AE14" i="17" s="1"/>
  <c r="F18" i="20"/>
  <c r="F19" i="16"/>
  <c r="L6" i="20"/>
  <c r="K35" i="20"/>
  <c r="K36" i="20" s="1"/>
  <c r="L59" i="16"/>
  <c r="L60" i="16" s="1"/>
  <c r="K34" i="20"/>
  <c r="B82" i="16"/>
  <c r="G23" i="16"/>
  <c r="E21" i="16"/>
  <c r="G17" i="16"/>
  <c r="G16" i="16" s="1"/>
  <c r="G20" i="16"/>
  <c r="G21" i="16" s="1"/>
  <c r="J6" i="20"/>
  <c r="J12" i="20"/>
  <c r="I13" i="20" s="1"/>
  <c r="K17" i="16"/>
  <c r="K16" i="16" s="1"/>
  <c r="L8" i="20"/>
  <c r="G58" i="20"/>
  <c r="G59" i="20" s="1"/>
  <c r="C62" i="21"/>
  <c r="J24" i="10"/>
  <c r="K30" i="16"/>
  <c r="B6" i="3"/>
  <c r="H22" i="1" s="1"/>
  <c r="K13" i="3"/>
  <c r="J35" i="20"/>
  <c r="J36" i="20" s="1"/>
  <c r="K58" i="20"/>
  <c r="K59" i="20" s="1"/>
  <c r="N8" i="19"/>
  <c r="D119" i="21"/>
  <c r="G119" i="21" s="1"/>
  <c r="E118" i="21"/>
  <c r="L200" i="21"/>
  <c r="J67" i="20"/>
  <c r="B68" i="20"/>
  <c r="C19" i="20"/>
  <c r="C20" i="20" s="1"/>
  <c r="G124" i="21"/>
  <c r="M56" i="1"/>
  <c r="M67" i="20"/>
  <c r="K68" i="20"/>
  <c r="N9" i="19"/>
  <c r="M8" i="19"/>
  <c r="N6" i="19"/>
  <c r="J10" i="10"/>
  <c r="D200" i="21"/>
  <c r="F26" i="20"/>
  <c r="F29" i="20" s="1"/>
  <c r="L67" i="20"/>
  <c r="J68" i="20"/>
  <c r="E35" i="16"/>
  <c r="G67" i="20"/>
  <c r="M9" i="19"/>
  <c r="I3" i="22"/>
  <c r="E23" i="21" s="1"/>
  <c r="H23" i="21" s="1"/>
  <c r="C152" i="21"/>
  <c r="C153" i="21" s="1"/>
  <c r="E59" i="20"/>
  <c r="F13" i="20"/>
  <c r="C59" i="20"/>
  <c r="C8" i="20"/>
  <c r="L12" i="20"/>
  <c r="L13" i="20" s="1"/>
  <c r="I35" i="20"/>
  <c r="I36" i="20" s="1"/>
  <c r="L30" i="16"/>
  <c r="L31" i="16" s="1"/>
  <c r="L32" i="16" s="1"/>
  <c r="E37" i="16"/>
  <c r="L22" i="20"/>
  <c r="D59" i="20"/>
  <c r="E34" i="20"/>
  <c r="D9" i="20"/>
  <c r="D10" i="20" s="1"/>
  <c r="E24" i="4"/>
  <c r="M29" i="20"/>
  <c r="I8" i="20"/>
  <c r="L19" i="20"/>
  <c r="L20" i="20" s="1"/>
  <c r="K24" i="20"/>
  <c r="L26" i="20"/>
  <c r="L29" i="20" s="1"/>
  <c r="E6" i="16"/>
  <c r="I20" i="16"/>
  <c r="I21" i="16" s="1"/>
  <c r="E245" i="21"/>
  <c r="C56" i="10"/>
  <c r="B17" i="16"/>
  <c r="K24" i="1" s="1"/>
  <c r="B20" i="16"/>
  <c r="C245" i="21" s="1"/>
  <c r="F24" i="4"/>
  <c r="F26" i="4" s="1"/>
  <c r="C190" i="21"/>
  <c r="C194" i="21" s="1"/>
  <c r="D194" i="21" s="1"/>
  <c r="E194" i="21" s="1"/>
  <c r="D221" i="21"/>
  <c r="E219" i="21"/>
  <c r="G60" i="16"/>
  <c r="L23" i="16"/>
  <c r="M20" i="16"/>
  <c r="M21" i="16" s="1"/>
  <c r="I35" i="16"/>
  <c r="F23" i="16"/>
  <c r="L61" i="16"/>
  <c r="E19" i="20"/>
  <c r="E20" i="20" s="1"/>
  <c r="G8" i="16"/>
  <c r="C59" i="16"/>
  <c r="C61" i="16" s="1"/>
  <c r="C23" i="16"/>
  <c r="C52" i="10"/>
  <c r="K59" i="16"/>
  <c r="K61" i="16" s="1"/>
  <c r="F4" i="21"/>
  <c r="F183" i="21" s="1"/>
  <c r="C51" i="10"/>
  <c r="G73" i="10"/>
  <c r="G46" i="10" s="1"/>
  <c r="G47" i="10" s="1"/>
  <c r="D47" i="10"/>
  <c r="C70" i="10"/>
  <c r="C35" i="10" s="1"/>
  <c r="I35" i="10" s="1"/>
  <c r="J35" i="10" s="1"/>
  <c r="C4" i="21"/>
  <c r="C54" i="10"/>
  <c r="C27" i="10" s="1"/>
  <c r="C53" i="10"/>
  <c r="C34" i="10" s="1"/>
  <c r="F16" i="4"/>
  <c r="C58" i="10"/>
  <c r="C24" i="1"/>
  <c r="C61" i="10"/>
  <c r="C25" i="10" s="1"/>
  <c r="B9" i="3"/>
  <c r="H25" i="1" s="1"/>
  <c r="B7" i="3"/>
  <c r="H23" i="1" s="1"/>
  <c r="M55" i="1"/>
  <c r="H17" i="16"/>
  <c r="H16" i="16" s="1"/>
  <c r="L49" i="1"/>
  <c r="C21" i="1" a="1"/>
  <c r="C21" i="1" s="1"/>
  <c r="M20" i="1" s="1"/>
  <c r="B59" i="16"/>
  <c r="C69" i="10" s="1"/>
  <c r="B24" i="20"/>
  <c r="C15" i="21"/>
  <c r="B10" i="16"/>
  <c r="B8" i="16"/>
  <c r="F6" i="4"/>
  <c r="K23" i="1"/>
  <c r="F8" i="4"/>
  <c r="F12" i="4" s="1"/>
  <c r="B23" i="16"/>
  <c r="B30" i="16"/>
  <c r="B35" i="20"/>
  <c r="B36" i="20" s="1"/>
  <c r="E32" i="4"/>
  <c r="E35" i="4"/>
  <c r="E22" i="20"/>
  <c r="B34" i="20"/>
  <c r="C12" i="20"/>
  <c r="C16" i="20"/>
  <c r="M185" i="21"/>
  <c r="E12" i="20"/>
  <c r="E13" i="20" s="1"/>
  <c r="F24" i="20"/>
  <c r="L9" i="16"/>
  <c r="L10" i="16" s="1"/>
  <c r="E8" i="20"/>
  <c r="E6" i="4"/>
  <c r="E5" i="4" s="1"/>
  <c r="C12" i="16"/>
  <c r="B35" i="16"/>
  <c r="E9" i="20"/>
  <c r="E10" i="20" s="1"/>
  <c r="D4" i="21"/>
  <c r="D183" i="21" s="1"/>
  <c r="C29" i="20"/>
  <c r="C9" i="16"/>
  <c r="C10" i="16" s="1"/>
  <c r="C16" i="16"/>
  <c r="H12" i="16"/>
  <c r="M31" i="16"/>
  <c r="M32" i="16" s="1"/>
  <c r="C24" i="20"/>
  <c r="I36" i="16"/>
  <c r="I37" i="16" s="1"/>
  <c r="J15" i="21"/>
  <c r="C8" i="16"/>
  <c r="J22" i="20"/>
  <c r="I124" i="21"/>
  <c r="N7" i="21"/>
  <c r="N200" i="21" s="1"/>
  <c r="M25" i="16"/>
  <c r="J59" i="16"/>
  <c r="K4" i="21"/>
  <c r="J5" i="21" s="1"/>
  <c r="J9" i="16"/>
  <c r="J10" i="16" s="1"/>
  <c r="J34" i="20"/>
  <c r="H34" i="20"/>
  <c r="B19" i="20"/>
  <c r="G4" i="21"/>
  <c r="G74" i="21" s="1"/>
  <c r="B12" i="16"/>
  <c r="B8" i="20"/>
  <c r="C25" i="16"/>
  <c r="H25" i="16"/>
  <c r="I4" i="21"/>
  <c r="I183" i="21" s="1"/>
  <c r="D59" i="16"/>
  <c r="D44" i="4" s="1"/>
  <c r="D26" i="20"/>
  <c r="D29" i="20" s="1"/>
  <c r="D30" i="20" s="1"/>
  <c r="D31" i="20" s="1"/>
  <c r="F6" i="16"/>
  <c r="H9" i="16"/>
  <c r="H10" i="16" s="1"/>
  <c r="M7" i="21"/>
  <c r="M200" i="21" s="1"/>
  <c r="L25" i="16"/>
  <c r="K26" i="16" s="1"/>
  <c r="B25" i="16"/>
  <c r="B16" i="20"/>
  <c r="B9" i="20"/>
  <c r="B10" i="20" s="1"/>
  <c r="K7" i="21"/>
  <c r="K200" i="21" s="1"/>
  <c r="K26" i="20"/>
  <c r="K29" i="20" s="1"/>
  <c r="I9" i="16"/>
  <c r="I10" i="16" s="1"/>
  <c r="I12" i="16"/>
  <c r="B26" i="20"/>
  <c r="B29" i="20" s="1"/>
  <c r="I23" i="16"/>
  <c r="M9" i="20"/>
  <c r="M10" i="20" s="1"/>
  <c r="M6" i="20"/>
  <c r="F58" i="20"/>
  <c r="F59" i="20" s="1"/>
  <c r="K9" i="16"/>
  <c r="K10" i="16" s="1"/>
  <c r="C36" i="16"/>
  <c r="C37" i="16" s="1"/>
  <c r="I59" i="16"/>
  <c r="I60" i="16" s="1"/>
  <c r="H19" i="20"/>
  <c r="H20" i="20" s="1"/>
  <c r="K8" i="16"/>
  <c r="D35" i="20"/>
  <c r="D36" i="20" s="1"/>
  <c r="H23" i="16"/>
  <c r="G34" i="20"/>
  <c r="M58" i="20"/>
  <c r="M59" i="20" s="1"/>
  <c r="D9" i="16"/>
  <c r="D10" i="16" s="1"/>
  <c r="M16" i="20"/>
  <c r="K9" i="20"/>
  <c r="K10" i="20" s="1"/>
  <c r="L20" i="16"/>
  <c r="L21" i="16" s="1"/>
  <c r="K22" i="20"/>
  <c r="I26" i="20"/>
  <c r="I29" i="20" s="1"/>
  <c r="F36" i="16"/>
  <c r="F37" i="16" s="1"/>
  <c r="C34" i="20"/>
  <c r="J9" i="20"/>
  <c r="J10" i="20" s="1"/>
  <c r="M8" i="16"/>
  <c r="N58" i="21"/>
  <c r="N185" i="21"/>
  <c r="M9" i="16"/>
  <c r="M10" i="16" s="1"/>
  <c r="L6" i="16"/>
  <c r="M17" i="16"/>
  <c r="M16" i="16" s="1"/>
  <c r="L25" i="20"/>
  <c r="N4" i="21"/>
  <c r="N170" i="21" s="1"/>
  <c r="M35" i="16"/>
  <c r="M183" i="21"/>
  <c r="M125" i="21"/>
  <c r="M74" i="21"/>
  <c r="M170" i="21"/>
  <c r="D36" i="16"/>
  <c r="D37" i="16" s="1"/>
  <c r="D30" i="4"/>
  <c r="D32" i="4" s="1"/>
  <c r="G58" i="21"/>
  <c r="G185" i="21"/>
  <c r="D12" i="16"/>
  <c r="D17" i="16"/>
  <c r="D16" i="16" s="1"/>
  <c r="D8" i="4"/>
  <c r="D58" i="21"/>
  <c r="D185" i="21"/>
  <c r="F21" i="16"/>
  <c r="J20" i="16"/>
  <c r="J21" i="16" s="1"/>
  <c r="J17" i="20"/>
  <c r="J19" i="20" s="1"/>
  <c r="J20" i="20" s="1"/>
  <c r="L185" i="21"/>
  <c r="L58" i="21"/>
  <c r="G7" i="21"/>
  <c r="G200" i="21" s="1"/>
  <c r="F25" i="16"/>
  <c r="K17" i="20"/>
  <c r="K19" i="20" s="1"/>
  <c r="K20" i="20" s="1"/>
  <c r="K20" i="16"/>
  <c r="K21" i="16" s="1"/>
  <c r="D19" i="20"/>
  <c r="D20" i="20" s="1"/>
  <c r="H58" i="21"/>
  <c r="H185" i="21"/>
  <c r="H7" i="21"/>
  <c r="H200" i="21" s="1"/>
  <c r="G25" i="16"/>
  <c r="H4" i="21"/>
  <c r="G9" i="16"/>
  <c r="G10" i="16" s="1"/>
  <c r="D43" i="4"/>
  <c r="D27" i="16"/>
  <c r="D30" i="16" s="1"/>
  <c r="C27" i="16"/>
  <c r="C30" i="16" s="1"/>
  <c r="F17" i="16"/>
  <c r="F16" i="16" s="1"/>
  <c r="D17" i="4"/>
  <c r="E23" i="4"/>
  <c r="L12" i="16"/>
  <c r="L13" i="16" s="1"/>
  <c r="J26" i="20"/>
  <c r="J29" i="20" s="1"/>
  <c r="K8" i="20"/>
  <c r="I6" i="16"/>
  <c r="F9" i="16"/>
  <c r="F10" i="16" s="1"/>
  <c r="D6" i="16"/>
  <c r="D5" i="4" s="1"/>
  <c r="J16" i="20"/>
  <c r="D16" i="20"/>
  <c r="K12" i="20"/>
  <c r="D22" i="20"/>
  <c r="D12" i="20"/>
  <c r="H26" i="20"/>
  <c r="H29" i="20" s="1"/>
  <c r="H59" i="16"/>
  <c r="H61" i="16" s="1"/>
  <c r="D25" i="16"/>
  <c r="D26" i="16" s="1"/>
  <c r="L17" i="16"/>
  <c r="L16" i="16" s="1"/>
  <c r="K6" i="20"/>
  <c r="J60" i="16"/>
  <c r="I25" i="16"/>
  <c r="K12" i="16"/>
  <c r="D23" i="16"/>
  <c r="F12" i="16"/>
  <c r="F6" i="20"/>
  <c r="E4" i="21"/>
  <c r="D5" i="21" s="1"/>
  <c r="K185" i="21"/>
  <c r="E15" i="21"/>
  <c r="D124" i="21"/>
  <c r="D24" i="20"/>
  <c r="D8" i="16"/>
  <c r="H22" i="20"/>
  <c r="I16" i="16"/>
  <c r="F8" i="20"/>
  <c r="F9" i="20"/>
  <c r="F10" i="20" s="1"/>
  <c r="K124" i="21"/>
  <c r="J124" i="21"/>
  <c r="J125" i="21" s="1"/>
  <c r="C22" i="20"/>
  <c r="D6" i="20"/>
  <c r="C6" i="20"/>
  <c r="H8" i="20"/>
  <c r="E17" i="4"/>
  <c r="E19" i="4" s="1"/>
  <c r="E22" i="4" s="1"/>
  <c r="F35" i="4"/>
  <c r="F32" i="4"/>
  <c r="F13" i="4"/>
  <c r="C7" i="21"/>
  <c r="C200" i="21" s="1"/>
  <c r="B36" i="16"/>
  <c r="B37" i="16" s="1"/>
  <c r="F17" i="4"/>
  <c r="F19" i="4" s="1"/>
  <c r="F22" i="4" s="1"/>
  <c r="H6" i="16"/>
  <c r="H20" i="16"/>
  <c r="H21" i="16" s="1"/>
  <c r="C8" i="10"/>
  <c r="C45" i="10" s="1" a="1"/>
  <c r="C45" i="10" s="1"/>
  <c r="G6" i="16"/>
  <c r="H12" i="20"/>
  <c r="H13" i="20" s="1"/>
  <c r="H22" i="21"/>
  <c r="C8" i="21" a="1"/>
  <c r="C8" i="21" s="1"/>
  <c r="H35" i="16"/>
  <c r="H24" i="20"/>
  <c r="H8" i="16"/>
  <c r="H35" i="20"/>
  <c r="H36" i="20" s="1"/>
  <c r="E20" i="1"/>
  <c r="L48" i="1"/>
  <c r="M51" i="1"/>
  <c r="M54" i="1"/>
  <c r="K25" i="1"/>
  <c r="L54" i="1"/>
  <c r="M32" i="1" s="1"/>
  <c r="B86" i="17" s="1"/>
  <c r="L51" i="1"/>
  <c r="I58" i="21"/>
  <c r="I185" i="21"/>
  <c r="M49" i="1"/>
  <c r="K30" i="1"/>
  <c r="L53" i="1"/>
  <c r="M48" i="1"/>
  <c r="M52" i="1"/>
  <c r="H47" i="1" a="1"/>
  <c r="K31" i="1"/>
  <c r="E21" i="1"/>
  <c r="M50" i="1"/>
  <c r="C47" i="1" a="1"/>
  <c r="L56" i="1"/>
  <c r="L52" i="1"/>
  <c r="L50" i="1"/>
  <c r="E25" i="1"/>
  <c r="H9" i="20"/>
  <c r="H10" i="20" s="1"/>
  <c r="G6" i="20"/>
  <c r="L124" i="21"/>
  <c r="F124" i="21"/>
  <c r="N124" i="21"/>
  <c r="H124" i="21"/>
  <c r="C91" i="21" l="1"/>
  <c r="C157" i="21"/>
  <c r="J153" i="21"/>
  <c r="I153" i="21"/>
  <c r="K170" i="21"/>
  <c r="I13" i="16"/>
  <c r="F125" i="21"/>
  <c r="G31" i="16"/>
  <c r="G32" i="16" s="1"/>
  <c r="L5" i="21"/>
  <c r="I25" i="20"/>
  <c r="I74" i="21"/>
  <c r="F60" i="16"/>
  <c r="D74" i="21"/>
  <c r="D125" i="21"/>
  <c r="J170" i="21"/>
  <c r="C58" i="21"/>
  <c r="G135" i="21"/>
  <c r="M58" i="21"/>
  <c r="D19" i="4"/>
  <c r="D22" i="4" s="1"/>
  <c r="I125" i="21"/>
  <c r="J157" i="21"/>
  <c r="B61" i="16"/>
  <c r="B13" i="20"/>
  <c r="B60" i="16"/>
  <c r="E26" i="1" s="1"/>
  <c r="L153" i="21"/>
  <c r="L157" i="21" s="1"/>
  <c r="C11" i="10"/>
  <c r="C36" i="10"/>
  <c r="C43" i="20"/>
  <c r="C23" i="1"/>
  <c r="K28" i="1" s="1"/>
  <c r="H5" i="21"/>
  <c r="M30" i="20"/>
  <c r="M31" i="20" s="1"/>
  <c r="E25" i="20"/>
  <c r="K125" i="21"/>
  <c r="E26" i="4"/>
  <c r="C183" i="21"/>
  <c r="B16" i="16"/>
  <c r="E31" i="16"/>
  <c r="E32" i="16" s="1"/>
  <c r="F31" i="16"/>
  <c r="F32" i="16" s="1"/>
  <c r="G26" i="16"/>
  <c r="L30" i="20"/>
  <c r="L31" i="20" s="1"/>
  <c r="M61" i="16"/>
  <c r="K153" i="21"/>
  <c r="I30" i="20"/>
  <c r="I31" i="20" s="1"/>
  <c r="F44" i="4"/>
  <c r="D170" i="21"/>
  <c r="G170" i="21"/>
  <c r="K60" i="16"/>
  <c r="D120" i="21"/>
  <c r="C125" i="21"/>
  <c r="H27" i="21"/>
  <c r="C50" i="4" s="1"/>
  <c r="E50" i="4" s="1"/>
  <c r="G45" i="4" s="1"/>
  <c r="C74" i="21"/>
  <c r="F5" i="21"/>
  <c r="C21" i="16"/>
  <c r="L183" i="21"/>
  <c r="J58" i="21"/>
  <c r="L170" i="21"/>
  <c r="J31" i="16"/>
  <c r="J32" i="16" s="1"/>
  <c r="E120" i="21"/>
  <c r="L125" i="21"/>
  <c r="K13" i="20"/>
  <c r="I31" i="16"/>
  <c r="I32" i="16" s="1"/>
  <c r="D13" i="20"/>
  <c r="E44" i="4"/>
  <c r="D35" i="4"/>
  <c r="K30" i="20"/>
  <c r="K31" i="20" s="1"/>
  <c r="C13" i="10"/>
  <c r="F57" i="1"/>
  <c r="K18" i="20"/>
  <c r="K19" i="16"/>
  <c r="G19" i="16"/>
  <c r="G18" i="20"/>
  <c r="I5" i="21"/>
  <c r="I170" i="21"/>
  <c r="I157" i="21"/>
  <c r="H26" i="16"/>
  <c r="E18" i="20"/>
  <c r="E19" i="16"/>
  <c r="B19" i="16"/>
  <c r="B18" i="20"/>
  <c r="E22" i="1"/>
  <c r="F25" i="20"/>
  <c r="C170" i="21"/>
  <c r="B25" i="20"/>
  <c r="I19" i="16"/>
  <c r="I18" i="20"/>
  <c r="F153" i="21"/>
  <c r="F157" i="21" s="1"/>
  <c r="I91" i="21"/>
  <c r="H60" i="16"/>
  <c r="M5" i="21"/>
  <c r="G125" i="21"/>
  <c r="C120" i="21"/>
  <c r="D153" i="21"/>
  <c r="E135" i="21"/>
  <c r="F135" i="21" s="1"/>
  <c r="E30" i="20"/>
  <c r="E31" i="20" s="1"/>
  <c r="F30" i="20"/>
  <c r="F31" i="20" s="1"/>
  <c r="E24" i="1"/>
  <c r="E29" i="1"/>
  <c r="C6" i="21" a="1"/>
  <c r="M258" i="21" s="1"/>
  <c r="B13" i="3"/>
  <c r="J61" i="16"/>
  <c r="D60" i="16"/>
  <c r="C60" i="16"/>
  <c r="F91" i="21"/>
  <c r="I61" i="16"/>
  <c r="C247" i="21"/>
  <c r="J185" i="21"/>
  <c r="B30" i="20"/>
  <c r="B31" i="20" s="1"/>
  <c r="B13" i="16"/>
  <c r="I117" i="21"/>
  <c r="AB135" i="21"/>
  <c r="Q125" i="21" s="1"/>
  <c r="I135" i="21" s="1"/>
  <c r="J135" i="21" s="1"/>
  <c r="K135" i="21" s="1"/>
  <c r="L135" i="21" s="1"/>
  <c r="M135" i="21" s="1"/>
  <c r="N135" i="21" s="1"/>
  <c r="O135" i="21" s="1"/>
  <c r="P135" i="21" s="1"/>
  <c r="Q135" i="21" s="1"/>
  <c r="R135" i="21" s="1"/>
  <c r="S135" i="21" s="1"/>
  <c r="T135" i="21" s="1"/>
  <c r="U135" i="21" s="1"/>
  <c r="V135" i="21" s="1"/>
  <c r="W135" i="21" s="1"/>
  <c r="X135" i="21" s="1"/>
  <c r="Y135" i="21" s="1"/>
  <c r="Z135" i="21" s="1"/>
  <c r="AA135" i="21" s="1"/>
  <c r="F170" i="21"/>
  <c r="C73" i="10"/>
  <c r="C46" i="10" s="1"/>
  <c r="H157" i="21"/>
  <c r="F74" i="21"/>
  <c r="D25" i="20"/>
  <c r="C25" i="20"/>
  <c r="F13" i="16"/>
  <c r="E13" i="16"/>
  <c r="K13" i="16"/>
  <c r="J13" i="16"/>
  <c r="C26" i="16"/>
  <c r="H13" i="16"/>
  <c r="G13" i="16"/>
  <c r="C30" i="20"/>
  <c r="C31" i="20" s="1"/>
  <c r="K25" i="20"/>
  <c r="J25" i="20"/>
  <c r="M24" i="1"/>
  <c r="G24" i="4"/>
  <c r="C38" i="21"/>
  <c r="C139" i="21" s="1"/>
  <c r="F219" i="21"/>
  <c r="E221" i="21"/>
  <c r="I40" i="10"/>
  <c r="J40" i="10" s="1"/>
  <c r="K29" i="1"/>
  <c r="C55" i="10"/>
  <c r="I25" i="10"/>
  <c r="J25" i="10" s="1"/>
  <c r="I34" i="10"/>
  <c r="J34" i="10" s="1"/>
  <c r="I11" i="10"/>
  <c r="J11" i="10" s="1"/>
  <c r="I13" i="10"/>
  <c r="J13" i="10" s="1"/>
  <c r="C29" i="10"/>
  <c r="D34" i="4"/>
  <c r="E34" i="4"/>
  <c r="E36" i="4" s="1"/>
  <c r="E43" i="4" s="1"/>
  <c r="C20" i="10"/>
  <c r="I20" i="10" s="1"/>
  <c r="C14" i="10"/>
  <c r="C30" i="10"/>
  <c r="C31" i="10"/>
  <c r="I47" i="1" a="1"/>
  <c r="S50" i="1" s="1"/>
  <c r="C28" i="10"/>
  <c r="C15" i="10"/>
  <c r="F15" i="4"/>
  <c r="C185" i="21"/>
  <c r="F7" i="4"/>
  <c r="D47" i="1" a="1"/>
  <c r="D47" i="1" s="1"/>
  <c r="D58" i="1" s="1"/>
  <c r="E28" i="1"/>
  <c r="F34" i="4"/>
  <c r="F36" i="4" s="1"/>
  <c r="B31" i="16"/>
  <c r="B32" i="16" s="1"/>
  <c r="H31" i="16"/>
  <c r="H32" i="16" s="1"/>
  <c r="D61" i="16"/>
  <c r="E31" i="1" s="1"/>
  <c r="D31" i="16"/>
  <c r="D32" i="16" s="1"/>
  <c r="C5" i="21"/>
  <c r="G183" i="21"/>
  <c r="G91" i="21"/>
  <c r="B20" i="20"/>
  <c r="E23" i="1"/>
  <c r="K157" i="21"/>
  <c r="K5" i="21"/>
  <c r="K74" i="21"/>
  <c r="K183" i="21"/>
  <c r="I27" i="10"/>
  <c r="J27" i="10" s="1"/>
  <c r="D91" i="21"/>
  <c r="M157" i="21"/>
  <c r="L26" i="16"/>
  <c r="M26" i="16"/>
  <c r="I26" i="16"/>
  <c r="E7" i="4"/>
  <c r="F5" i="4"/>
  <c r="J13" i="20"/>
  <c r="B26" i="16"/>
  <c r="K31" i="16"/>
  <c r="K32" i="16" s="1"/>
  <c r="N91" i="21"/>
  <c r="N183" i="21"/>
  <c r="N125" i="21"/>
  <c r="E47" i="1" a="1"/>
  <c r="E47" i="1" s="1"/>
  <c r="E91" i="21"/>
  <c r="E5" i="21"/>
  <c r="E74" i="21"/>
  <c r="C78" i="21" s="1"/>
  <c r="E157" i="21"/>
  <c r="E183" i="21"/>
  <c r="D157" i="21"/>
  <c r="C31" i="16"/>
  <c r="C32" i="16" s="1"/>
  <c r="H170" i="21"/>
  <c r="E58" i="21"/>
  <c r="E170" i="21"/>
  <c r="E185" i="21"/>
  <c r="H125" i="21"/>
  <c r="J30" i="20"/>
  <c r="J31" i="20" s="1"/>
  <c r="E125" i="21"/>
  <c r="D7" i="4"/>
  <c r="D12" i="4"/>
  <c r="D15" i="4"/>
  <c r="C13" i="20"/>
  <c r="H183" i="21"/>
  <c r="H91" i="21"/>
  <c r="G157" i="21"/>
  <c r="G5" i="21"/>
  <c r="H74" i="21"/>
  <c r="F26" i="16"/>
  <c r="E26" i="16"/>
  <c r="D13" i="16"/>
  <c r="C13" i="16"/>
  <c r="B21" i="16"/>
  <c r="K22" i="1"/>
  <c r="C203" i="21"/>
  <c r="C202" i="21"/>
  <c r="C204" i="21"/>
  <c r="C16" i="10"/>
  <c r="C18" i="10"/>
  <c r="C17" i="10"/>
  <c r="C33" i="10"/>
  <c r="G13" i="20"/>
  <c r="G46" i="4"/>
  <c r="F45" i="4"/>
  <c r="J40" i="1"/>
  <c r="F46" i="4"/>
  <c r="F47" i="4"/>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N47" i="4"/>
  <c r="V47" i="4"/>
  <c r="I46" i="4"/>
  <c r="Q46" i="4"/>
  <c r="Y46" i="4"/>
  <c r="N45" i="4"/>
  <c r="V45" i="4"/>
  <c r="AD45" i="4"/>
  <c r="H30" i="20"/>
  <c r="H31" i="20" s="1"/>
  <c r="G30" i="20"/>
  <c r="G31" i="20" s="1"/>
  <c r="J258" i="21"/>
  <c r="G25" i="20"/>
  <c r="H25" i="20"/>
  <c r="L57" i="1"/>
  <c r="M57" i="1"/>
  <c r="M29" i="1"/>
  <c r="M25" i="1"/>
  <c r="L184" i="21"/>
  <c r="I184" i="21"/>
  <c r="H44" i="21"/>
  <c r="K44" i="21"/>
  <c r="F44" i="21"/>
  <c r="L258" i="21"/>
  <c r="K27" i="1"/>
  <c r="K26" i="1"/>
  <c r="S46" i="1"/>
  <c r="H47" i="1"/>
  <c r="H58" i="1" s="1"/>
  <c r="R47" i="1"/>
  <c r="R46" i="1"/>
  <c r="R45" i="1"/>
  <c r="H59" i="1"/>
  <c r="R49" i="1"/>
  <c r="R48" i="1"/>
  <c r="R50" i="1"/>
  <c r="R44" i="1"/>
  <c r="L11" i="19"/>
  <c r="L6" i="19" s="1"/>
  <c r="N53" i="1"/>
  <c r="N55" i="1"/>
  <c r="C47" i="1"/>
  <c r="N48" i="1" s="1"/>
  <c r="N50" i="1"/>
  <c r="C59" i="1"/>
  <c r="N49" i="1"/>
  <c r="N54" i="1"/>
  <c r="C58" i="1"/>
  <c r="N52" i="1"/>
  <c r="N51" i="1"/>
  <c r="K258" i="21"/>
  <c r="D36" i="4" l="1"/>
  <c r="C61" i="21"/>
  <c r="C161" i="21"/>
  <c r="G47" i="1" a="1"/>
  <c r="G47" i="1" s="1"/>
  <c r="C81" i="21"/>
  <c r="L44" i="21"/>
  <c r="K184" i="21"/>
  <c r="J44" i="21"/>
  <c r="I258" i="21"/>
  <c r="M44" i="21"/>
  <c r="E44" i="21"/>
  <c r="H184" i="21"/>
  <c r="S49" i="1"/>
  <c r="S47" i="1"/>
  <c r="G6" i="4"/>
  <c r="G10" i="4" s="1"/>
  <c r="G38" i="4" s="1"/>
  <c r="E27" i="1"/>
  <c r="M58" i="1"/>
  <c r="C128" i="21"/>
  <c r="C173" i="21"/>
  <c r="C94" i="21"/>
  <c r="C34" i="21"/>
  <c r="C47" i="10"/>
  <c r="G258" i="21"/>
  <c r="J184" i="21"/>
  <c r="G44" i="21"/>
  <c r="M184" i="21"/>
  <c r="F184" i="21"/>
  <c r="N44" i="21"/>
  <c r="D184" i="21"/>
  <c r="N258" i="21"/>
  <c r="H258" i="21"/>
  <c r="F258" i="21"/>
  <c r="G184" i="21"/>
  <c r="E184" i="21"/>
  <c r="C6" i="21"/>
  <c r="C258" i="21" s="1"/>
  <c r="N184" i="21"/>
  <c r="I44" i="21"/>
  <c r="D44" i="21"/>
  <c r="D258" i="21"/>
  <c r="C56" i="1"/>
  <c r="N56" i="1" s="1"/>
  <c r="J20" i="10"/>
  <c r="C187" i="21"/>
  <c r="C188" i="21"/>
  <c r="C164" i="21"/>
  <c r="G21" i="4" s="1"/>
  <c r="C177" i="21"/>
  <c r="C66" i="21" s="1"/>
  <c r="H24" i="4"/>
  <c r="D237" i="21"/>
  <c r="D38" i="21"/>
  <c r="C99" i="21"/>
  <c r="F221" i="21"/>
  <c r="G219" i="21"/>
  <c r="G30" i="4"/>
  <c r="C172" i="21"/>
  <c r="C31" i="21"/>
  <c r="B72" i="20"/>
  <c r="B84" i="16"/>
  <c r="I33" i="10"/>
  <c r="J33" i="10" s="1"/>
  <c r="I17" i="10"/>
  <c r="J17" i="10" s="1"/>
  <c r="I18" i="10"/>
  <c r="J18" i="10" s="1"/>
  <c r="I29" i="10"/>
  <c r="J29" i="10" s="1"/>
  <c r="I16" i="10"/>
  <c r="J16" i="10" s="1"/>
  <c r="I15" i="10"/>
  <c r="J15" i="10" s="1"/>
  <c r="I28" i="10"/>
  <c r="J28" i="10" s="1"/>
  <c r="I31" i="10"/>
  <c r="J31" i="10" s="1"/>
  <c r="I30" i="10"/>
  <c r="J30" i="10" s="1"/>
  <c r="I36" i="10"/>
  <c r="J36" i="10" s="1"/>
  <c r="I14" i="10"/>
  <c r="J14" i="10" s="1"/>
  <c r="C39" i="10"/>
  <c r="B83" i="17"/>
  <c r="B81" i="16" s="1"/>
  <c r="M26" i="1"/>
  <c r="C41" i="10"/>
  <c r="C25" i="1"/>
  <c r="S48" i="1"/>
  <c r="D59" i="1"/>
  <c r="S45" i="1"/>
  <c r="O53" i="1"/>
  <c r="I47" i="1"/>
  <c r="S44" i="1"/>
  <c r="O55" i="1"/>
  <c r="L58" i="1"/>
  <c r="O54" i="1"/>
  <c r="O49" i="1"/>
  <c r="O50" i="1"/>
  <c r="O52" i="1"/>
  <c r="D56" i="1"/>
  <c r="O56" i="1" s="1"/>
  <c r="O48" i="1"/>
  <c r="O51" i="1"/>
  <c r="F43" i="4"/>
  <c r="G13" i="4" s="1"/>
  <c r="C33" i="21"/>
  <c r="C160" i="21"/>
  <c r="C159" i="21"/>
  <c r="G32" i="21"/>
  <c r="H32" i="21" s="1"/>
  <c r="G31" i="21" s="1"/>
  <c r="C129" i="21"/>
  <c r="C95" i="21"/>
  <c r="C32" i="21"/>
  <c r="C93" i="21"/>
  <c r="M31" i="1"/>
  <c r="C77" i="21"/>
  <c r="C96" i="21"/>
  <c r="C22" i="10"/>
  <c r="C21" i="10"/>
  <c r="C37" i="10"/>
  <c r="C249" i="21"/>
  <c r="C248" i="21"/>
  <c r="H56" i="1"/>
  <c r="C57" i="1"/>
  <c r="Q6" i="19"/>
  <c r="L8" i="19"/>
  <c r="Q8" i="19" s="1"/>
  <c r="L9" i="19"/>
  <c r="Q9" i="19" s="1"/>
  <c r="L7" i="19"/>
  <c r="Q7" i="19" s="1"/>
  <c r="C142" i="21" l="1"/>
  <c r="C143" i="21" s="1"/>
  <c r="G5" i="4"/>
  <c r="G14" i="4" s="1"/>
  <c r="G8" i="4"/>
  <c r="L59" i="1"/>
  <c r="G11" i="4"/>
  <c r="G20" i="4" s="1"/>
  <c r="M59" i="1"/>
  <c r="C260" i="21"/>
  <c r="C184" i="21"/>
  <c r="C262" i="21"/>
  <c r="C261" i="21"/>
  <c r="C44" i="21"/>
  <c r="C48" i="21" s="1"/>
  <c r="H57" i="1"/>
  <c r="G23" i="4"/>
  <c r="F194" i="21"/>
  <c r="I24" i="4"/>
  <c r="D164" i="21"/>
  <c r="H21" i="4" s="1"/>
  <c r="D177" i="21"/>
  <c r="D81" i="21"/>
  <c r="D132" i="21"/>
  <c r="H6" i="4"/>
  <c r="E38" i="21"/>
  <c r="D99" i="21"/>
  <c r="D139" i="21"/>
  <c r="E237" i="21"/>
  <c r="G221" i="21"/>
  <c r="H219" i="21"/>
  <c r="H30" i="4"/>
  <c r="I39" i="10"/>
  <c r="J39" i="10" s="1"/>
  <c r="I41" i="10"/>
  <c r="J41" i="10" s="1"/>
  <c r="G39" i="4"/>
  <c r="I37" i="10"/>
  <c r="J37" i="10" s="1"/>
  <c r="I21" i="10"/>
  <c r="J21" i="10" s="1"/>
  <c r="I22" i="10"/>
  <c r="J22" i="10" s="1"/>
  <c r="M28" i="1"/>
  <c r="M27" i="1"/>
  <c r="B69" i="20"/>
  <c r="D57" i="1"/>
  <c r="G25" i="4" l="1"/>
  <c r="G26" i="4" s="1"/>
  <c r="G31" i="4"/>
  <c r="C46" i="21"/>
  <c r="C47" i="21"/>
  <c r="C49" i="21"/>
  <c r="C67" i="21"/>
  <c r="C68" i="21" s="1"/>
  <c r="D66" i="21" s="1"/>
  <c r="D67" i="21" s="1"/>
  <c r="G40" i="4"/>
  <c r="G194" i="21"/>
  <c r="J24" i="4"/>
  <c r="F237" i="21"/>
  <c r="E132" i="21"/>
  <c r="F38" i="21"/>
  <c r="F177" i="21" s="1"/>
  <c r="E99" i="21"/>
  <c r="E177" i="21"/>
  <c r="I23" i="4" s="1"/>
  <c r="E164" i="21"/>
  <c r="I21" i="4" s="1"/>
  <c r="E81" i="21"/>
  <c r="E139" i="21"/>
  <c r="I6" i="4"/>
  <c r="H8" i="4"/>
  <c r="H11" i="4"/>
  <c r="H20" i="4" s="1"/>
  <c r="H10" i="4"/>
  <c r="H5" i="4"/>
  <c r="H25" i="4" s="1"/>
  <c r="D138" i="21"/>
  <c r="D140" i="21"/>
  <c r="H23" i="4"/>
  <c r="H221" i="21"/>
  <c r="I219" i="21"/>
  <c r="I30" i="4"/>
  <c r="H40" i="4" l="1"/>
  <c r="I40" i="4" s="1"/>
  <c r="D68" i="21"/>
  <c r="E66" i="21" s="1"/>
  <c r="E67" i="21" s="1"/>
  <c r="I9" i="4" s="1"/>
  <c r="D82" i="21"/>
  <c r="H9" i="4"/>
  <c r="H12" i="4" s="1"/>
  <c r="D252" i="21" s="1"/>
  <c r="H44" i="4" s="1"/>
  <c r="G9" i="4"/>
  <c r="C82" i="21"/>
  <c r="H194" i="21"/>
  <c r="K24" i="4"/>
  <c r="D142" i="21"/>
  <c r="D143" i="21" s="1"/>
  <c r="H26" i="4"/>
  <c r="H14" i="4"/>
  <c r="H31" i="4"/>
  <c r="H38" i="4"/>
  <c r="H39" i="4"/>
  <c r="I10" i="4"/>
  <c r="I11" i="4"/>
  <c r="I20" i="4" s="1"/>
  <c r="I8" i="4"/>
  <c r="I5" i="4"/>
  <c r="F139" i="21"/>
  <c r="F132" i="21"/>
  <c r="F81" i="21"/>
  <c r="F99" i="21"/>
  <c r="F164" i="21"/>
  <c r="J21" i="4" s="1"/>
  <c r="J6" i="4"/>
  <c r="G38" i="21"/>
  <c r="G177" i="21" s="1"/>
  <c r="E138" i="21"/>
  <c r="E140" i="21"/>
  <c r="G237" i="21"/>
  <c r="I221" i="21"/>
  <c r="J219" i="21"/>
  <c r="J30" i="4"/>
  <c r="E82" i="21"/>
  <c r="E68" i="21" l="1"/>
  <c r="F66" i="21" s="1"/>
  <c r="F67" i="21" s="1"/>
  <c r="F68" i="21" s="1"/>
  <c r="G66" i="21" s="1"/>
  <c r="I39" i="4"/>
  <c r="I12" i="4"/>
  <c r="E252" i="21" s="1"/>
  <c r="I44" i="4" s="1"/>
  <c r="I28" i="4" s="1"/>
  <c r="J23" i="4"/>
  <c r="J40" i="4" s="1"/>
  <c r="K23" i="4"/>
  <c r="G41" i="4"/>
  <c r="H41" i="4" s="1"/>
  <c r="I41" i="4" s="1"/>
  <c r="G12" i="4"/>
  <c r="I194" i="21"/>
  <c r="J194" i="21" s="1"/>
  <c r="L24" i="4"/>
  <c r="H237" i="21"/>
  <c r="E142" i="21"/>
  <c r="E143" i="21" s="1"/>
  <c r="G139" i="21"/>
  <c r="G164" i="21"/>
  <c r="K21" i="4" s="1"/>
  <c r="G132" i="21"/>
  <c r="G81" i="21"/>
  <c r="H38" i="21"/>
  <c r="H177" i="21" s="1"/>
  <c r="K6" i="4"/>
  <c r="G99" i="21"/>
  <c r="J10" i="4"/>
  <c r="J39" i="4" s="1"/>
  <c r="J5" i="4"/>
  <c r="J8" i="4"/>
  <c r="J11" i="4"/>
  <c r="J20" i="4" s="1"/>
  <c r="F138" i="21"/>
  <c r="F140" i="21"/>
  <c r="I31" i="4"/>
  <c r="I25" i="4"/>
  <c r="I26" i="4" s="1"/>
  <c r="I38" i="4"/>
  <c r="J38" i="4" s="1"/>
  <c r="I14" i="4"/>
  <c r="J221" i="21"/>
  <c r="K219" i="21"/>
  <c r="K30" i="4"/>
  <c r="K40" i="4" l="1"/>
  <c r="J31" i="4"/>
  <c r="C252" i="21"/>
  <c r="G44" i="4" s="1"/>
  <c r="H28" i="4" s="1"/>
  <c r="K194" i="21"/>
  <c r="L194" i="21" s="1"/>
  <c r="M194" i="21" s="1"/>
  <c r="N194" i="21" s="1"/>
  <c r="O194" i="21" s="1"/>
  <c r="P194" i="21" s="1"/>
  <c r="Q194" i="21" s="1"/>
  <c r="R194" i="21" s="1"/>
  <c r="S194" i="21" s="1"/>
  <c r="T194" i="21" s="1"/>
  <c r="X24" i="4" s="1"/>
  <c r="N24" i="4"/>
  <c r="M24" i="4"/>
  <c r="J14" i="4"/>
  <c r="F142" i="21"/>
  <c r="F143" i="21" s="1"/>
  <c r="J25" i="4"/>
  <c r="J26" i="4" s="1"/>
  <c r="K8" i="4"/>
  <c r="K10" i="4"/>
  <c r="K5" i="4"/>
  <c r="K11" i="4"/>
  <c r="K20" i="4" s="1"/>
  <c r="H132" i="21"/>
  <c r="H81" i="21"/>
  <c r="L6" i="4"/>
  <c r="H139" i="21"/>
  <c r="L23" i="4"/>
  <c r="H164" i="21"/>
  <c r="L21" i="4" s="1"/>
  <c r="H99" i="21"/>
  <c r="I38" i="21"/>
  <c r="I177" i="21" s="1"/>
  <c r="G140" i="21"/>
  <c r="G138" i="21"/>
  <c r="I237" i="21"/>
  <c r="K221" i="21"/>
  <c r="L219" i="21"/>
  <c r="L30" i="4"/>
  <c r="J9" i="4"/>
  <c r="F82" i="21"/>
  <c r="G67" i="21"/>
  <c r="G68" i="21" s="1"/>
  <c r="H66" i="21" s="1"/>
  <c r="L40" i="4" l="1"/>
  <c r="G15" i="4"/>
  <c r="G16" i="4" s="1"/>
  <c r="G17" i="4" s="1"/>
  <c r="C207" i="21" s="1"/>
  <c r="C238" i="21" s="1"/>
  <c r="G29" i="4" s="1"/>
  <c r="G35" i="4" s="1"/>
  <c r="G142" i="21"/>
  <c r="G143" i="21" s="1"/>
  <c r="G28" i="4"/>
  <c r="O24" i="4"/>
  <c r="J237" i="21"/>
  <c r="M6" i="4"/>
  <c r="J38" i="21"/>
  <c r="J177" i="21" s="1"/>
  <c r="I99" i="21"/>
  <c r="I81" i="21"/>
  <c r="I132" i="21"/>
  <c r="I164" i="21"/>
  <c r="M21" i="4" s="1"/>
  <c r="I139" i="21"/>
  <c r="M23" i="4"/>
  <c r="L11" i="4"/>
  <c r="L20" i="4" s="1"/>
  <c r="L8" i="4"/>
  <c r="L10" i="4"/>
  <c r="L5" i="4"/>
  <c r="H138" i="21"/>
  <c r="H140" i="21"/>
  <c r="K31" i="4"/>
  <c r="K25" i="4"/>
  <c r="K26" i="4" s="1"/>
  <c r="K39" i="4"/>
  <c r="K38" i="4"/>
  <c r="K14" i="4"/>
  <c r="L221" i="21"/>
  <c r="M219" i="21"/>
  <c r="M30" i="4"/>
  <c r="J12" i="4"/>
  <c r="F252" i="21" s="1"/>
  <c r="J44" i="4" s="1"/>
  <c r="J41" i="4"/>
  <c r="K9" i="4"/>
  <c r="K12" i="4" s="1"/>
  <c r="G252" i="21" s="1"/>
  <c r="K44" i="4" s="1"/>
  <c r="G82" i="21"/>
  <c r="H67" i="21"/>
  <c r="H68" i="21" s="1"/>
  <c r="I66" i="21" s="1"/>
  <c r="M40" i="4" l="1"/>
  <c r="G19" i="4"/>
  <c r="G22" i="4" s="1"/>
  <c r="L14" i="4"/>
  <c r="L38" i="4"/>
  <c r="G32" i="4"/>
  <c r="P24" i="4"/>
  <c r="H142" i="21"/>
  <c r="H143" i="21" s="1"/>
  <c r="L25" i="4"/>
  <c r="L26" i="4" s="1"/>
  <c r="L31" i="4"/>
  <c r="L39" i="4"/>
  <c r="I138" i="21"/>
  <c r="I140" i="21"/>
  <c r="K38" i="21"/>
  <c r="K177" i="21" s="1"/>
  <c r="J139" i="21"/>
  <c r="J81" i="21"/>
  <c r="J99" i="21"/>
  <c r="J164" i="21"/>
  <c r="N21" i="4" s="1"/>
  <c r="N23" i="4"/>
  <c r="J132" i="21"/>
  <c r="N6" i="4"/>
  <c r="M5" i="4"/>
  <c r="M10" i="4"/>
  <c r="M11" i="4"/>
  <c r="M20" i="4" s="1"/>
  <c r="M8" i="4"/>
  <c r="K237" i="21"/>
  <c r="M221" i="21"/>
  <c r="N219" i="21"/>
  <c r="N30" i="4"/>
  <c r="K28" i="4"/>
  <c r="K41" i="4"/>
  <c r="J28" i="4"/>
  <c r="L9" i="4"/>
  <c r="L12" i="4" s="1"/>
  <c r="H252" i="21" s="1"/>
  <c r="L44" i="4" s="1"/>
  <c r="H82" i="21"/>
  <c r="I67" i="21"/>
  <c r="I68" i="21" s="1"/>
  <c r="J66" i="21" s="1"/>
  <c r="N40" i="4" l="1"/>
  <c r="G34" i="4"/>
  <c r="G36" i="4" s="1"/>
  <c r="G43" i="4" s="1"/>
  <c r="H13" i="4" s="1"/>
  <c r="H15" i="4" s="1"/>
  <c r="H16" i="4" s="1"/>
  <c r="H17" i="4" s="1"/>
  <c r="Q24" i="4"/>
  <c r="L237" i="21"/>
  <c r="M39" i="4"/>
  <c r="M38" i="4"/>
  <c r="M25" i="4"/>
  <c r="M26" i="4" s="1"/>
  <c r="M31" i="4"/>
  <c r="M14" i="4"/>
  <c r="N8" i="4"/>
  <c r="N10" i="4"/>
  <c r="N11" i="4"/>
  <c r="N20" i="4" s="1"/>
  <c r="N5" i="4"/>
  <c r="J138" i="21"/>
  <c r="J140" i="21"/>
  <c r="O6" i="4"/>
  <c r="K132" i="21"/>
  <c r="K99" i="21"/>
  <c r="K164" i="21"/>
  <c r="O21" i="4" s="1"/>
  <c r="K139" i="21"/>
  <c r="K81" i="21"/>
  <c r="O23" i="4"/>
  <c r="L38" i="21"/>
  <c r="L177" i="21" s="1"/>
  <c r="I142" i="21"/>
  <c r="I143" i="21" s="1"/>
  <c r="N221" i="21"/>
  <c r="O219" i="21"/>
  <c r="O30" i="4"/>
  <c r="L41" i="4"/>
  <c r="L28" i="4"/>
  <c r="M9" i="4"/>
  <c r="M12" i="4" s="1"/>
  <c r="I252" i="21" s="1"/>
  <c r="M44" i="4" s="1"/>
  <c r="M28" i="4" s="1"/>
  <c r="I82" i="21"/>
  <c r="J67" i="21"/>
  <c r="O40" i="4" l="1"/>
  <c r="H19" i="4"/>
  <c r="H22" i="4" s="1"/>
  <c r="D207" i="21"/>
  <c r="D238" i="21" s="1"/>
  <c r="H29" i="4" s="1"/>
  <c r="R24" i="4"/>
  <c r="P6" i="4"/>
  <c r="M38" i="21"/>
  <c r="M177" i="21" s="1"/>
  <c r="L81" i="21"/>
  <c r="L99" i="21"/>
  <c r="L164" i="21"/>
  <c r="P21" i="4" s="1"/>
  <c r="L139" i="21"/>
  <c r="P23" i="4"/>
  <c r="P40" i="4" s="1"/>
  <c r="L132" i="21"/>
  <c r="K140" i="21"/>
  <c r="K138" i="21"/>
  <c r="O10" i="4"/>
  <c r="O8" i="4"/>
  <c r="O5" i="4"/>
  <c r="O11" i="4"/>
  <c r="O20" i="4" s="1"/>
  <c r="J142" i="21"/>
  <c r="J143" i="21" s="1"/>
  <c r="N31" i="4"/>
  <c r="N25" i="4"/>
  <c r="N26" i="4" s="1"/>
  <c r="N14" i="4"/>
  <c r="N38" i="4"/>
  <c r="O38" i="4" s="1"/>
  <c r="N39" i="4"/>
  <c r="M237" i="21"/>
  <c r="P219" i="21"/>
  <c r="O221" i="21"/>
  <c r="P30" i="4"/>
  <c r="M41" i="4"/>
  <c r="N9" i="4"/>
  <c r="N12" i="4" s="1"/>
  <c r="J252" i="21" s="1"/>
  <c r="N44" i="4" s="1"/>
  <c r="J82" i="21"/>
  <c r="J68" i="21"/>
  <c r="K66" i="21" s="1"/>
  <c r="H35" i="4" l="1"/>
  <c r="H32" i="4"/>
  <c r="H34" i="4" s="1"/>
  <c r="O14" i="4"/>
  <c r="K142" i="21"/>
  <c r="K143" i="21" s="1"/>
  <c r="O39" i="4"/>
  <c r="S24" i="4"/>
  <c r="N237" i="21"/>
  <c r="O25" i="4"/>
  <c r="O26" i="4" s="1"/>
  <c r="O31" i="4"/>
  <c r="L138" i="21"/>
  <c r="L140" i="21"/>
  <c r="N38" i="21"/>
  <c r="N177" i="21" s="1"/>
  <c r="Q6" i="4"/>
  <c r="M99" i="21"/>
  <c r="M132" i="21"/>
  <c r="M164" i="21"/>
  <c r="Q21" i="4" s="1"/>
  <c r="M139" i="21"/>
  <c r="Q23" i="4"/>
  <c r="Q40" i="4" s="1"/>
  <c r="M81" i="21"/>
  <c r="P10" i="4"/>
  <c r="P8" i="4"/>
  <c r="P11" i="4"/>
  <c r="P20" i="4" s="1"/>
  <c r="P5" i="4"/>
  <c r="Q219" i="21"/>
  <c r="P221" i="21"/>
  <c r="Q30" i="4"/>
  <c r="N41" i="4"/>
  <c r="N28" i="4"/>
  <c r="K67" i="21"/>
  <c r="H36" i="4" l="1"/>
  <c r="H43" i="4" s="1"/>
  <c r="I13" i="4" s="1"/>
  <c r="I15" i="4" s="1"/>
  <c r="I16" i="4" s="1"/>
  <c r="I17" i="4" s="1"/>
  <c r="T24" i="4"/>
  <c r="P14" i="4"/>
  <c r="P31" i="4"/>
  <c r="P25" i="4"/>
  <c r="P26" i="4" s="1"/>
  <c r="P38" i="4"/>
  <c r="P39" i="4"/>
  <c r="M138" i="21"/>
  <c r="M140" i="21"/>
  <c r="Q10" i="4"/>
  <c r="Q8" i="4"/>
  <c r="Q11" i="4"/>
  <c r="Q20" i="4" s="1"/>
  <c r="Q5" i="4"/>
  <c r="N99" i="21"/>
  <c r="N139" i="21"/>
  <c r="R23" i="4"/>
  <c r="R40" i="4" s="1"/>
  <c r="N164" i="21"/>
  <c r="R21" i="4" s="1"/>
  <c r="O38" i="21"/>
  <c r="O177" i="21" s="1"/>
  <c r="N81" i="21"/>
  <c r="N132" i="21"/>
  <c r="R6" i="4"/>
  <c r="L142" i="21"/>
  <c r="L143" i="21" s="1"/>
  <c r="O237" i="21"/>
  <c r="R219" i="21"/>
  <c r="Q221" i="21"/>
  <c r="R30" i="4"/>
  <c r="O9" i="4"/>
  <c r="K82" i="21"/>
  <c r="K68" i="21"/>
  <c r="L66" i="21" s="1"/>
  <c r="I19" i="4" l="1"/>
  <c r="I22" i="4" s="1"/>
  <c r="E207" i="21"/>
  <c r="E238" i="21" s="1"/>
  <c r="I29" i="4" s="1"/>
  <c r="I32" i="4" s="1"/>
  <c r="U24" i="4"/>
  <c r="P237" i="21"/>
  <c r="R10" i="4"/>
  <c r="R11" i="4"/>
  <c r="R20" i="4" s="1"/>
  <c r="R5" i="4"/>
  <c r="R8" i="4"/>
  <c r="N138" i="21"/>
  <c r="N140" i="21"/>
  <c r="O99" i="21"/>
  <c r="O81" i="21"/>
  <c r="S6" i="4"/>
  <c r="O139" i="21"/>
  <c r="O132" i="21"/>
  <c r="S23" i="4"/>
  <c r="S40" i="4" s="1"/>
  <c r="O164" i="21"/>
  <c r="S21" i="4" s="1"/>
  <c r="P38" i="21"/>
  <c r="P177" i="21" s="1"/>
  <c r="Q31" i="4"/>
  <c r="Q25" i="4"/>
  <c r="Q26" i="4" s="1"/>
  <c r="M142" i="21"/>
  <c r="M143" i="21" s="1"/>
  <c r="Q39" i="4"/>
  <c r="Q38" i="4"/>
  <c r="Q14" i="4"/>
  <c r="S219" i="21"/>
  <c r="R221" i="21"/>
  <c r="S30" i="4"/>
  <c r="O12" i="4"/>
  <c r="K252" i="21" s="1"/>
  <c r="O44" i="4" s="1"/>
  <c r="O41" i="4"/>
  <c r="L67" i="21"/>
  <c r="I34" i="4" l="1"/>
  <c r="I35" i="4"/>
  <c r="R38" i="4"/>
  <c r="R39" i="4"/>
  <c r="R14" i="4"/>
  <c r="V24" i="4"/>
  <c r="P99" i="21"/>
  <c r="Q38" i="21"/>
  <c r="Q177" i="21" s="1"/>
  <c r="T6" i="4"/>
  <c r="P164" i="21"/>
  <c r="T21" i="4" s="1"/>
  <c r="T23" i="4"/>
  <c r="T40" i="4" s="1"/>
  <c r="P81" i="21"/>
  <c r="P139" i="21"/>
  <c r="P132" i="21"/>
  <c r="O140" i="21"/>
  <c r="O138" i="21"/>
  <c r="S10" i="4"/>
  <c r="S8" i="4"/>
  <c r="S11" i="4"/>
  <c r="S20" i="4" s="1"/>
  <c r="S5" i="4"/>
  <c r="N142" i="21"/>
  <c r="N143" i="21" s="1"/>
  <c r="R25" i="4"/>
  <c r="R26" i="4" s="1"/>
  <c r="R31" i="4"/>
  <c r="Q237" i="21"/>
  <c r="T219" i="21"/>
  <c r="S221" i="21"/>
  <c r="T30" i="4"/>
  <c r="O28" i="4"/>
  <c r="P9" i="4"/>
  <c r="P12" i="4" s="1"/>
  <c r="L252" i="21" s="1"/>
  <c r="P44" i="4" s="1"/>
  <c r="P28" i="4" s="1"/>
  <c r="L82" i="21"/>
  <c r="L68" i="21"/>
  <c r="M66" i="21" s="1"/>
  <c r="I36" i="4" l="1"/>
  <c r="I43" i="4" s="1"/>
  <c r="J13" i="4" s="1"/>
  <c r="J15" i="4" s="1"/>
  <c r="J16" i="4" s="1"/>
  <c r="J17" i="4" s="1"/>
  <c r="F207" i="21" s="1"/>
  <c r="F238" i="21" s="1"/>
  <c r="J29" i="4" s="1"/>
  <c r="J35" i="4" s="1"/>
  <c r="O142" i="21"/>
  <c r="O143" i="21" s="1"/>
  <c r="U194" i="21"/>
  <c r="W24" i="4"/>
  <c r="R237" i="21"/>
  <c r="S25" i="4"/>
  <c r="S26" i="4" s="1"/>
  <c r="S31" i="4"/>
  <c r="S14" i="4"/>
  <c r="S39" i="4"/>
  <c r="S38" i="4"/>
  <c r="P138" i="21"/>
  <c r="P140" i="21"/>
  <c r="T10" i="4"/>
  <c r="T11" i="4"/>
  <c r="T20" i="4" s="1"/>
  <c r="T8" i="4"/>
  <c r="T5" i="4"/>
  <c r="R38" i="21"/>
  <c r="R177" i="21" s="1"/>
  <c r="U23" i="4"/>
  <c r="U40" i="4" s="1"/>
  <c r="Q132" i="21"/>
  <c r="Q164" i="21"/>
  <c r="U21" i="4" s="1"/>
  <c r="Q139" i="21"/>
  <c r="Q99" i="21"/>
  <c r="Q81" i="21"/>
  <c r="U6" i="4"/>
  <c r="U219" i="21"/>
  <c r="T221" i="21"/>
  <c r="U30" i="4"/>
  <c r="P41" i="4"/>
  <c r="M67" i="21"/>
  <c r="M68" i="21" s="1"/>
  <c r="N66" i="21" s="1"/>
  <c r="J32" i="4" l="1"/>
  <c r="J19" i="4"/>
  <c r="J22" i="4" s="1"/>
  <c r="T39" i="4"/>
  <c r="V194" i="21"/>
  <c r="Y24" i="4"/>
  <c r="U5" i="4"/>
  <c r="U10" i="4"/>
  <c r="U8" i="4"/>
  <c r="U11" i="4"/>
  <c r="U20" i="4" s="1"/>
  <c r="Q138" i="21"/>
  <c r="Q140" i="21"/>
  <c r="R81" i="21"/>
  <c r="V6" i="4"/>
  <c r="R132" i="21"/>
  <c r="R99" i="21"/>
  <c r="S38" i="21"/>
  <c r="S177" i="21" s="1"/>
  <c r="V23" i="4"/>
  <c r="V40" i="4" s="1"/>
  <c r="R164" i="21"/>
  <c r="V21" i="4" s="1"/>
  <c r="R139" i="21"/>
  <c r="T25" i="4"/>
  <c r="T26" i="4" s="1"/>
  <c r="T31" i="4"/>
  <c r="P142" i="21"/>
  <c r="P143" i="21" s="1"/>
  <c r="T38" i="4"/>
  <c r="T14" i="4"/>
  <c r="S237" i="21"/>
  <c r="V219" i="21"/>
  <c r="U221" i="21"/>
  <c r="V30" i="4"/>
  <c r="Q9" i="4"/>
  <c r="Q12" i="4" s="1"/>
  <c r="M252" i="21" s="1"/>
  <c r="Q44" i="4" s="1"/>
  <c r="M82" i="21"/>
  <c r="N67" i="21"/>
  <c r="N68" i="21" s="1"/>
  <c r="O66" i="21" s="1"/>
  <c r="J34" i="4" l="1"/>
  <c r="J36" i="4" s="1"/>
  <c r="J43" i="4" s="1"/>
  <c r="K13" i="4" s="1"/>
  <c r="K15" i="4" s="1"/>
  <c r="K16" i="4" s="1"/>
  <c r="K17" i="4" s="1"/>
  <c r="K19" i="4" s="1"/>
  <c r="K22" i="4" s="1"/>
  <c r="U14" i="4"/>
  <c r="W194" i="21"/>
  <c r="Z24" i="4"/>
  <c r="T237" i="21"/>
  <c r="W23" i="4"/>
  <c r="W40" i="4" s="1"/>
  <c r="S132" i="21"/>
  <c r="T38" i="21"/>
  <c r="T177" i="21" s="1"/>
  <c r="S139" i="21"/>
  <c r="S81" i="21"/>
  <c r="S164" i="21"/>
  <c r="W21" i="4" s="1"/>
  <c r="W6" i="4"/>
  <c r="S99" i="21"/>
  <c r="R138" i="21"/>
  <c r="R140" i="21"/>
  <c r="V8" i="4"/>
  <c r="V5" i="4"/>
  <c r="V11" i="4"/>
  <c r="V20" i="4" s="1"/>
  <c r="V10" i="4"/>
  <c r="Q142" i="21"/>
  <c r="Q143" i="21" s="1"/>
  <c r="U38" i="4"/>
  <c r="U39" i="4"/>
  <c r="U25" i="4"/>
  <c r="U26" i="4" s="1"/>
  <c r="U31" i="4"/>
  <c r="W219" i="21"/>
  <c r="V221" i="21"/>
  <c r="W30" i="4"/>
  <c r="Q28" i="4"/>
  <c r="Q41" i="4"/>
  <c r="R9" i="4"/>
  <c r="R12" i="4" s="1"/>
  <c r="N252" i="21" s="1"/>
  <c r="R44" i="4" s="1"/>
  <c r="N82" i="21"/>
  <c r="O67" i="21"/>
  <c r="O68" i="21" s="1"/>
  <c r="P66" i="21" s="1"/>
  <c r="G207" i="21" l="1"/>
  <c r="G238" i="21" s="1"/>
  <c r="K29" i="4" s="1"/>
  <c r="K32" i="4" s="1"/>
  <c r="K34" i="4" s="1"/>
  <c r="V39" i="4"/>
  <c r="X194" i="21"/>
  <c r="AA24" i="4"/>
  <c r="V38" i="4"/>
  <c r="V14" i="4"/>
  <c r="V25" i="4"/>
  <c r="V26" i="4" s="1"/>
  <c r="V31" i="4"/>
  <c r="R142" i="21"/>
  <c r="R143" i="21" s="1"/>
  <c r="W11" i="4"/>
  <c r="W20" i="4" s="1"/>
  <c r="W8" i="4"/>
  <c r="W10" i="4"/>
  <c r="W5" i="4"/>
  <c r="T132" i="21"/>
  <c r="T139" i="21"/>
  <c r="T164" i="21"/>
  <c r="X21" i="4" s="1"/>
  <c r="X6" i="4"/>
  <c r="T99" i="21"/>
  <c r="U38" i="21"/>
  <c r="U177" i="21" s="1"/>
  <c r="X23" i="4"/>
  <c r="X40" i="4" s="1"/>
  <c r="T81" i="21"/>
  <c r="S140" i="21"/>
  <c r="S138" i="21"/>
  <c r="U237" i="21"/>
  <c r="X219" i="21"/>
  <c r="W221" i="21"/>
  <c r="X30" i="4"/>
  <c r="R41" i="4"/>
  <c r="S9" i="4"/>
  <c r="S12" i="4" s="1"/>
  <c r="O252" i="21" s="1"/>
  <c r="S44" i="4" s="1"/>
  <c r="S28" i="4" s="1"/>
  <c r="O82" i="21"/>
  <c r="R28" i="4"/>
  <c r="P67" i="21"/>
  <c r="P68" i="21" s="1"/>
  <c r="Q66" i="21" s="1"/>
  <c r="K35" i="4" l="1"/>
  <c r="K36" i="4" s="1"/>
  <c r="K43" i="4" s="1"/>
  <c r="L13" i="4" s="1"/>
  <c r="L15" i="4" s="1"/>
  <c r="L16" i="4" s="1"/>
  <c r="L17" i="4" s="1"/>
  <c r="L19" i="4" s="1"/>
  <c r="L22" i="4" s="1"/>
  <c r="S142" i="21"/>
  <c r="S143" i="21" s="1"/>
  <c r="Y194" i="21"/>
  <c r="AB24" i="4"/>
  <c r="V237" i="21"/>
  <c r="V38" i="21"/>
  <c r="V177" i="21" s="1"/>
  <c r="Y23" i="4"/>
  <c r="Y40" i="4" s="1"/>
  <c r="Y6" i="4"/>
  <c r="U164" i="21"/>
  <c r="Y21" i="4" s="1"/>
  <c r="U132" i="21"/>
  <c r="U99" i="21"/>
  <c r="U81" i="21"/>
  <c r="U139" i="21"/>
  <c r="X8" i="4"/>
  <c r="X11" i="4"/>
  <c r="X20" i="4" s="1"/>
  <c r="X10" i="4"/>
  <c r="X5" i="4"/>
  <c r="T138" i="21"/>
  <c r="T140" i="21"/>
  <c r="W25" i="4"/>
  <c r="W26" i="4" s="1"/>
  <c r="W31" i="4"/>
  <c r="W38" i="4"/>
  <c r="W39" i="4"/>
  <c r="W14" i="4"/>
  <c r="Y219" i="21"/>
  <c r="X221" i="21"/>
  <c r="Y30" i="4"/>
  <c r="S41" i="4"/>
  <c r="T9" i="4"/>
  <c r="T12" i="4" s="1"/>
  <c r="P252" i="21" s="1"/>
  <c r="T44" i="4" s="1"/>
  <c r="T28" i="4" s="1"/>
  <c r="P82" i="21"/>
  <c r="Q67" i="21"/>
  <c r="H207" i="21" l="1"/>
  <c r="H238" i="21" s="1"/>
  <c r="L29" i="4" s="1"/>
  <c r="L35" i="4" s="1"/>
  <c r="X38" i="4"/>
  <c r="X39" i="4"/>
  <c r="X14" i="4"/>
  <c r="Z194" i="21"/>
  <c r="AC24" i="4"/>
  <c r="T142" i="21"/>
  <c r="T143" i="21" s="1"/>
  <c r="X25" i="4"/>
  <c r="X26" i="4" s="1"/>
  <c r="X31" i="4"/>
  <c r="U138" i="21"/>
  <c r="U140" i="21"/>
  <c r="Y10" i="4"/>
  <c r="Y5" i="4"/>
  <c r="Y11" i="4"/>
  <c r="Y20" i="4" s="1"/>
  <c r="Y8" i="4"/>
  <c r="Z23" i="4"/>
  <c r="Z40" i="4" s="1"/>
  <c r="V99" i="21"/>
  <c r="V132" i="21"/>
  <c r="V139" i="21"/>
  <c r="V164" i="21"/>
  <c r="Z21" i="4" s="1"/>
  <c r="V81" i="21"/>
  <c r="Z6" i="4"/>
  <c r="W38" i="21"/>
  <c r="W177" i="21" s="1"/>
  <c r="W237" i="21"/>
  <c r="Z219" i="21"/>
  <c r="Y221" i="21"/>
  <c r="Z30" i="4"/>
  <c r="T41" i="4"/>
  <c r="U9" i="4"/>
  <c r="U12" i="4" s="1"/>
  <c r="Q252" i="21" s="1"/>
  <c r="U44" i="4" s="1"/>
  <c r="U28" i="4" s="1"/>
  <c r="Q82" i="21"/>
  <c r="Q68" i="21"/>
  <c r="R66" i="21" s="1"/>
  <c r="L32" i="4" l="1"/>
  <c r="L34" i="4" s="1"/>
  <c r="L36" i="4" s="1"/>
  <c r="L43" i="4" s="1"/>
  <c r="M13" i="4" s="1"/>
  <c r="M15" i="4" s="1"/>
  <c r="M16" i="4" s="1"/>
  <c r="M17" i="4" s="1"/>
  <c r="M19" i="4" s="1"/>
  <c r="M22" i="4" s="1"/>
  <c r="AA194" i="21"/>
  <c r="AD24" i="4"/>
  <c r="X237" i="21"/>
  <c r="W81" i="21"/>
  <c r="AA6" i="4"/>
  <c r="W99" i="21"/>
  <c r="X38" i="21"/>
  <c r="X177" i="21" s="1"/>
  <c r="W139" i="21"/>
  <c r="W164" i="21"/>
  <c r="AA21" i="4" s="1"/>
  <c r="AA23" i="4"/>
  <c r="AA40" i="4" s="1"/>
  <c r="W132" i="21"/>
  <c r="Z11" i="4"/>
  <c r="Z20" i="4" s="1"/>
  <c r="Z8" i="4"/>
  <c r="Z5" i="4"/>
  <c r="Z10" i="4"/>
  <c r="V140" i="21"/>
  <c r="V138" i="21"/>
  <c r="Y14" i="4"/>
  <c r="Z14" i="4" s="1"/>
  <c r="Y31" i="4"/>
  <c r="Y25" i="4"/>
  <c r="Y26" i="4" s="1"/>
  <c r="Y39" i="4"/>
  <c r="Y38" i="4"/>
  <c r="U142" i="21"/>
  <c r="U143" i="21" s="1"/>
  <c r="AA219" i="21"/>
  <c r="Z221" i="21"/>
  <c r="AA30" i="4"/>
  <c r="U41" i="4"/>
  <c r="R67" i="21"/>
  <c r="R68" i="21" s="1"/>
  <c r="S66" i="21" s="1"/>
  <c r="I207" i="21" l="1"/>
  <c r="I238" i="21" s="1"/>
  <c r="M29" i="4" s="1"/>
  <c r="M35" i="4" s="1"/>
  <c r="Z38" i="4"/>
  <c r="Z39" i="4"/>
  <c r="V142" i="21"/>
  <c r="V143" i="21" s="1"/>
  <c r="AB194" i="21"/>
  <c r="AF24" i="4" s="1"/>
  <c r="AE24" i="4"/>
  <c r="Z25" i="4"/>
  <c r="Z26" i="4" s="1"/>
  <c r="Z31" i="4"/>
  <c r="W138" i="21"/>
  <c r="W140" i="21"/>
  <c r="X81" i="21"/>
  <c r="Y38" i="21"/>
  <c r="Y177" i="21" s="1"/>
  <c r="AB23" i="4"/>
  <c r="AB40" i="4" s="1"/>
  <c r="X139" i="21"/>
  <c r="AB6" i="4"/>
  <c r="X164" i="21"/>
  <c r="AB21" i="4" s="1"/>
  <c r="X99" i="21"/>
  <c r="X132" i="21"/>
  <c r="AA8" i="4"/>
  <c r="AA5" i="4"/>
  <c r="AA10" i="4"/>
  <c r="AA11" i="4"/>
  <c r="AA20" i="4" s="1"/>
  <c r="Y237" i="21"/>
  <c r="AB219" i="21"/>
  <c r="AA221" i="21"/>
  <c r="AB30" i="4"/>
  <c r="V9" i="4"/>
  <c r="V12" i="4" s="1"/>
  <c r="R252" i="21" s="1"/>
  <c r="V44" i="4" s="1"/>
  <c r="V28" i="4" s="1"/>
  <c r="R82" i="21"/>
  <c r="S67" i="21"/>
  <c r="S68" i="21" s="1"/>
  <c r="T66" i="21" s="1"/>
  <c r="M32" i="4" l="1"/>
  <c r="M34" i="4" s="1"/>
  <c r="M36" i="4" s="1"/>
  <c r="M43" i="4" s="1"/>
  <c r="N13" i="4" s="1"/>
  <c r="N15" i="4" s="1"/>
  <c r="N16" i="4" s="1"/>
  <c r="N17" i="4" s="1"/>
  <c r="N19" i="4" s="1"/>
  <c r="N22" i="4" s="1"/>
  <c r="Z237" i="21"/>
  <c r="AA38" i="4"/>
  <c r="AA39" i="4"/>
  <c r="AA31" i="4"/>
  <c r="AA25" i="4"/>
  <c r="AA26" i="4" s="1"/>
  <c r="AA14" i="4"/>
  <c r="X140" i="21"/>
  <c r="X138" i="21"/>
  <c r="AB8" i="4"/>
  <c r="AB5" i="4"/>
  <c r="AB10" i="4"/>
  <c r="AB11" i="4"/>
  <c r="AB20" i="4" s="1"/>
  <c r="Z38" i="21"/>
  <c r="Z177" i="21" s="1"/>
  <c r="Y132" i="21"/>
  <c r="AC6" i="4"/>
  <c r="Y164" i="21"/>
  <c r="AC21" i="4" s="1"/>
  <c r="Y139" i="21"/>
  <c r="AC23" i="4"/>
  <c r="AC40" i="4" s="1"/>
  <c r="Y81" i="21"/>
  <c r="Y99" i="21"/>
  <c r="W142" i="21"/>
  <c r="W143" i="21" s="1"/>
  <c r="AB221" i="21"/>
  <c r="AC30" i="4"/>
  <c r="V41" i="4"/>
  <c r="W9" i="4"/>
  <c r="W12" i="4" s="1"/>
  <c r="S252" i="21" s="1"/>
  <c r="W44" i="4" s="1"/>
  <c r="W28" i="4" s="1"/>
  <c r="S82" i="21"/>
  <c r="T67" i="21"/>
  <c r="X142" i="21" l="1"/>
  <c r="J207" i="21"/>
  <c r="J238" i="21" s="1"/>
  <c r="N29" i="4" s="1"/>
  <c r="N32" i="4" s="1"/>
  <c r="N34" i="4" s="1"/>
  <c r="AC11" i="4"/>
  <c r="AC20" i="4" s="1"/>
  <c r="AC10" i="4"/>
  <c r="AC8" i="4"/>
  <c r="AC5" i="4"/>
  <c r="Y138" i="21"/>
  <c r="Y140" i="21"/>
  <c r="Z164" i="21"/>
  <c r="AD21" i="4" s="1"/>
  <c r="Z99" i="21"/>
  <c r="AA38" i="21"/>
  <c r="AA177" i="21" s="1"/>
  <c r="AD23" i="4"/>
  <c r="AD40" i="4" s="1"/>
  <c r="Z139" i="21"/>
  <c r="Z81" i="21"/>
  <c r="AD6" i="4"/>
  <c r="Z132" i="21"/>
  <c r="AB25" i="4"/>
  <c r="AB26" i="4" s="1"/>
  <c r="AB31" i="4"/>
  <c r="X143" i="21"/>
  <c r="AB14" i="4"/>
  <c r="AB39" i="4"/>
  <c r="AB38" i="4"/>
  <c r="AB237" i="21"/>
  <c r="AA237" i="21"/>
  <c r="AD30" i="4"/>
  <c r="W41" i="4"/>
  <c r="X9" i="4"/>
  <c r="X12" i="4" s="1"/>
  <c r="T252" i="21" s="1"/>
  <c r="X44" i="4" s="1"/>
  <c r="X28" i="4" s="1"/>
  <c r="T82" i="21"/>
  <c r="T68" i="21"/>
  <c r="U66" i="21" s="1"/>
  <c r="AC38" i="4" l="1"/>
  <c r="AC39" i="4"/>
  <c r="N35" i="4"/>
  <c r="N36" i="4" s="1"/>
  <c r="N43" i="4" s="1"/>
  <c r="O13" i="4" s="1"/>
  <c r="O15" i="4" s="1"/>
  <c r="O16" i="4" s="1"/>
  <c r="O17" i="4" s="1"/>
  <c r="AC14" i="4"/>
  <c r="Z140" i="21"/>
  <c r="Z138" i="21"/>
  <c r="AD8" i="4"/>
  <c r="AD5" i="4"/>
  <c r="AD10" i="4"/>
  <c r="AD11" i="4"/>
  <c r="AD20" i="4" s="1"/>
  <c r="AB38" i="21"/>
  <c r="AB177" i="21" s="1"/>
  <c r="AA81" i="21"/>
  <c r="AA132" i="21"/>
  <c r="AA99" i="21"/>
  <c r="AE6" i="4"/>
  <c r="AE23" i="4"/>
  <c r="AE40" i="4" s="1"/>
  <c r="AA139" i="21"/>
  <c r="AA164" i="21"/>
  <c r="AE21" i="4" s="1"/>
  <c r="Y142" i="21"/>
  <c r="Y143" i="21" s="1"/>
  <c r="AC25" i="4"/>
  <c r="AC26" i="4" s="1"/>
  <c r="AC31" i="4"/>
  <c r="AE30" i="4"/>
  <c r="AF30" i="4"/>
  <c r="X41" i="4"/>
  <c r="U67" i="21"/>
  <c r="U68" i="21" s="1"/>
  <c r="V66" i="21" s="1"/>
  <c r="O19" i="4" l="1"/>
  <c r="O22" i="4" s="1"/>
  <c r="K207" i="21"/>
  <c r="K238" i="21" s="1"/>
  <c r="O29" i="4" s="1"/>
  <c r="O32" i="4" s="1"/>
  <c r="Z142" i="21"/>
  <c r="Z143" i="21" s="1"/>
  <c r="AE10" i="4"/>
  <c r="AE11" i="4"/>
  <c r="AE20" i="4" s="1"/>
  <c r="AE8" i="4"/>
  <c r="AE5" i="4"/>
  <c r="AA138" i="21"/>
  <c r="AA140" i="21"/>
  <c r="AF6" i="4"/>
  <c r="AB81" i="21"/>
  <c r="AF23" i="4"/>
  <c r="AF40" i="4" s="1"/>
  <c r="AB139" i="21"/>
  <c r="AB132" i="21"/>
  <c r="AB164" i="21"/>
  <c r="AF21" i="4" s="1"/>
  <c r="AB99" i="21"/>
  <c r="AD39" i="4"/>
  <c r="AD38" i="4"/>
  <c r="AD14" i="4"/>
  <c r="AD25" i="4"/>
  <c r="AD26" i="4" s="1"/>
  <c r="AD31" i="4"/>
  <c r="Y9" i="4"/>
  <c r="Y41" i="4" s="1"/>
  <c r="U82" i="21"/>
  <c r="V67" i="21"/>
  <c r="O34" i="4" l="1"/>
  <c r="AE38" i="4"/>
  <c r="O35" i="4"/>
  <c r="Y12" i="4"/>
  <c r="U252" i="21" s="1"/>
  <c r="Y44" i="4" s="1"/>
  <c r="Y28" i="4" s="1"/>
  <c r="AB140" i="21"/>
  <c r="AB138" i="21"/>
  <c r="AF8" i="4"/>
  <c r="AF10" i="4"/>
  <c r="AF11" i="4"/>
  <c r="AF20" i="4" s="1"/>
  <c r="AF5" i="4"/>
  <c r="AA142" i="21"/>
  <c r="AA143" i="21" s="1"/>
  <c r="AE14" i="4"/>
  <c r="AE25" i="4"/>
  <c r="AE26" i="4" s="1"/>
  <c r="AE31" i="4"/>
  <c r="AE39" i="4"/>
  <c r="Z9" i="4"/>
  <c r="Z12" i="4" s="1"/>
  <c r="V252" i="21" s="1"/>
  <c r="Z44" i="4" s="1"/>
  <c r="V82" i="21"/>
  <c r="V68" i="21"/>
  <c r="O36" i="4" l="1"/>
  <c r="O43" i="4" s="1"/>
  <c r="P13" i="4" s="1"/>
  <c r="P15" i="4" s="1"/>
  <c r="P16" i="4" s="1"/>
  <c r="P17" i="4" s="1"/>
  <c r="P19" i="4" s="1"/>
  <c r="P22" i="4" s="1"/>
  <c r="Z28" i="4"/>
  <c r="AB142" i="21"/>
  <c r="AB143" i="21" s="1"/>
  <c r="W66" i="21"/>
  <c r="W67" i="21" s="1"/>
  <c r="AA9" i="4" s="1"/>
  <c r="AA12" i="4" s="1"/>
  <c r="W252" i="21" s="1"/>
  <c r="AA44" i="4" s="1"/>
  <c r="AF14" i="4"/>
  <c r="AF25" i="4"/>
  <c r="AF26" i="4" s="1"/>
  <c r="AF31" i="4"/>
  <c r="AF39" i="4"/>
  <c r="AF38" i="4"/>
  <c r="Z41" i="4"/>
  <c r="W82" i="21" l="1"/>
  <c r="L207" i="21"/>
  <c r="L238" i="21" s="1"/>
  <c r="P29" i="4" s="1"/>
  <c r="P35" i="4" s="1"/>
  <c r="W68" i="21"/>
  <c r="X66" i="21" s="1"/>
  <c r="X67" i="21" s="1"/>
  <c r="AB9" i="4" s="1"/>
  <c r="AB12" i="4" s="1"/>
  <c r="X252" i="21" s="1"/>
  <c r="AB44" i="4" s="1"/>
  <c r="AA41" i="4"/>
  <c r="AA28" i="4"/>
  <c r="P32" i="4" l="1"/>
  <c r="P34" i="4" s="1"/>
  <c r="P36" i="4" s="1"/>
  <c r="P43" i="4" s="1"/>
  <c r="Q13" i="4" s="1"/>
  <c r="Q15" i="4" s="1"/>
  <c r="Q16" i="4" s="1"/>
  <c r="Q17" i="4" s="1"/>
  <c r="Q19" i="4" s="1"/>
  <c r="Q22" i="4" s="1"/>
  <c r="X68" i="21"/>
  <c r="Y66" i="21" s="1"/>
  <c r="Y67" i="21" s="1"/>
  <c r="X82" i="21"/>
  <c r="AB41" i="4"/>
  <c r="AB28" i="4"/>
  <c r="M207" i="21" l="1"/>
  <c r="M238" i="21" s="1"/>
  <c r="Q29" i="4" s="1"/>
  <c r="Q35" i="4" s="1"/>
  <c r="Y68" i="21"/>
  <c r="Z66" i="21" s="1"/>
  <c r="Z67" i="21" s="1"/>
  <c r="Z82" i="21" s="1"/>
  <c r="Y82" i="21"/>
  <c r="AC9" i="4"/>
  <c r="AC12" i="4" s="1"/>
  <c r="Y252" i="21" s="1"/>
  <c r="AC44" i="4" s="1"/>
  <c r="AD9" i="4"/>
  <c r="AD12" i="4" s="1"/>
  <c r="Z252" i="21" s="1"/>
  <c r="AD44" i="4" s="1"/>
  <c r="Q32" i="4" l="1"/>
  <c r="Q34" i="4" s="1"/>
  <c r="Q36" i="4" s="1"/>
  <c r="Q43" i="4" s="1"/>
  <c r="R13" i="4" s="1"/>
  <c r="R15" i="4" s="1"/>
  <c r="R16" i="4" s="1"/>
  <c r="R17" i="4" s="1"/>
  <c r="R19" i="4" s="1"/>
  <c r="R22" i="4" s="1"/>
  <c r="Z68" i="21"/>
  <c r="AA66" i="21" s="1"/>
  <c r="AA67" i="21" s="1"/>
  <c r="AA68" i="21" s="1"/>
  <c r="AB66" i="21" s="1"/>
  <c r="AC41" i="4"/>
  <c r="AD41" i="4" s="1"/>
  <c r="AC28" i="4"/>
  <c r="AD28" i="4"/>
  <c r="N207" i="21" l="1"/>
  <c r="N238" i="21" s="1"/>
  <c r="R29" i="4" s="1"/>
  <c r="R35" i="4" s="1"/>
  <c r="AE9" i="4"/>
  <c r="AE12" i="4" s="1"/>
  <c r="AA252" i="21" s="1"/>
  <c r="AE44" i="4" s="1"/>
  <c r="AA82" i="21"/>
  <c r="AB67" i="21"/>
  <c r="R32" i="4" l="1"/>
  <c r="R34" i="4" s="1"/>
  <c r="R36" i="4" s="1"/>
  <c r="R43" i="4" s="1"/>
  <c r="S13" i="4" s="1"/>
  <c r="S15" i="4" s="1"/>
  <c r="S16" i="4" s="1"/>
  <c r="S17" i="4" s="1"/>
  <c r="S19" i="4" s="1"/>
  <c r="S22" i="4" s="1"/>
  <c r="AE41" i="4"/>
  <c r="AE28" i="4"/>
  <c r="AF9" i="4"/>
  <c r="AF12" i="4" s="1"/>
  <c r="AB252" i="21" s="1"/>
  <c r="AF44" i="4" s="1"/>
  <c r="AF28" i="4" s="1"/>
  <c r="AB82" i="21"/>
  <c r="AB68" i="21"/>
  <c r="O207" i="21" l="1"/>
  <c r="O238" i="21" s="1"/>
  <c r="S29" i="4" s="1"/>
  <c r="S35" i="4" s="1"/>
  <c r="AF41" i="4"/>
  <c r="S32" i="4" l="1"/>
  <c r="S34" i="4" s="1"/>
  <c r="S36" i="4" s="1"/>
  <c r="S43" i="4" s="1"/>
  <c r="T13" i="4" s="1"/>
  <c r="T15" i="4" s="1"/>
  <c r="T16" i="4" s="1"/>
  <c r="T17" i="4" s="1"/>
  <c r="T19" i="4" s="1"/>
  <c r="T22" i="4" s="1"/>
  <c r="P207" i="21" l="1"/>
  <c r="P238" i="21" s="1"/>
  <c r="T29" i="4" s="1"/>
  <c r="T35" i="4" s="1"/>
  <c r="T32" i="4" l="1"/>
  <c r="T34" i="4" s="1"/>
  <c r="T36" i="4" s="1"/>
  <c r="T43" i="4" s="1"/>
  <c r="U13" i="4" s="1"/>
  <c r="U15" i="4" s="1"/>
  <c r="U16" i="4" s="1"/>
  <c r="U17" i="4" s="1"/>
  <c r="U19" i="4" s="1"/>
  <c r="U22" i="4" s="1"/>
  <c r="Q207" i="21" l="1"/>
  <c r="Q238" i="21" s="1"/>
  <c r="U29" i="4" s="1"/>
  <c r="U35" i="4" s="1"/>
  <c r="E46" i="10"/>
  <c r="I46" i="10" s="1"/>
  <c r="J46" i="10" s="1"/>
  <c r="I45" i="10"/>
  <c r="J45" i="10" s="1"/>
  <c r="U32" i="4" l="1"/>
  <c r="U34" i="4" s="1"/>
  <c r="U36" i="4" s="1"/>
  <c r="U43" i="4" s="1"/>
  <c r="V13" i="4" s="1"/>
  <c r="V15" i="4" s="1"/>
  <c r="V16" i="4" s="1"/>
  <c r="V17" i="4" s="1"/>
  <c r="V19" i="4" s="1"/>
  <c r="V22" i="4" s="1"/>
  <c r="E47" i="10"/>
  <c r="I47" i="10" s="1"/>
  <c r="J47" i="10" s="1"/>
  <c r="K20" i="3"/>
  <c r="D21" i="3"/>
  <c r="K21" i="3" s="1"/>
  <c r="R207" i="21" l="1"/>
  <c r="R238" i="21" s="1"/>
  <c r="V29" i="4" s="1"/>
  <c r="V32" i="4" s="1"/>
  <c r="V34" i="4" s="1"/>
  <c r="B18" i="3"/>
  <c r="H29" i="1" s="1"/>
  <c r="B20" i="3"/>
  <c r="H31" i="1" s="1"/>
  <c r="B19" i="3"/>
  <c r="V35" i="4" l="1"/>
  <c r="V36" i="4" s="1"/>
  <c r="V43" i="4" s="1"/>
  <c r="W13" i="4" s="1"/>
  <c r="W15" i="4" s="1"/>
  <c r="W16" i="4" s="1"/>
  <c r="W17" i="4" s="1"/>
  <c r="W19" i="4" s="1"/>
  <c r="W22" i="4" s="1"/>
  <c r="H30" i="1"/>
  <c r="B21" i="3"/>
  <c r="S207" i="21" l="1"/>
  <c r="S238" i="21" s="1"/>
  <c r="W29" i="4" s="1"/>
  <c r="W35" i="4" s="1"/>
  <c r="W32" i="4" l="1"/>
  <c r="W34" i="4" s="1"/>
  <c r="W36" i="4" s="1"/>
  <c r="W43" i="4" s="1"/>
  <c r="X13" i="4" s="1"/>
  <c r="X15" i="4" s="1"/>
  <c r="X16" i="4" s="1"/>
  <c r="X17" i="4" s="1"/>
  <c r="X19" i="4" s="1"/>
  <c r="X22" i="4" s="1"/>
  <c r="T207" i="21" l="1"/>
  <c r="T238" i="21" s="1"/>
  <c r="X29" i="4" s="1"/>
  <c r="X35" i="4" s="1"/>
  <c r="X32" i="4" l="1"/>
  <c r="X34" i="4" s="1"/>
  <c r="X36" i="4" s="1"/>
  <c r="X43" i="4" s="1"/>
  <c r="Y13" i="4" s="1"/>
  <c r="Y15" i="4" s="1"/>
  <c r="Y16" i="4" s="1"/>
  <c r="Y17" i="4" s="1"/>
  <c r="Y19" i="4" s="1"/>
  <c r="Y22" i="4" s="1"/>
  <c r="U207" i="21" l="1"/>
  <c r="U238" i="21" s="1"/>
  <c r="Y29" i="4" s="1"/>
  <c r="Y32" i="4" s="1"/>
  <c r="Y34" i="4" s="1"/>
  <c r="Y35" i="4" l="1"/>
  <c r="Y36" i="4" s="1"/>
  <c r="Y43" i="4" s="1"/>
  <c r="Z13" i="4" s="1"/>
  <c r="Z15" i="4" s="1"/>
  <c r="Z16" i="4" s="1"/>
  <c r="Z17" i="4" s="1"/>
  <c r="Z19" i="4" l="1"/>
  <c r="Z22" i="4" s="1"/>
  <c r="V207" i="21"/>
  <c r="V238" i="21" s="1"/>
  <c r="Z29" i="4" s="1"/>
  <c r="Z32" i="4" s="1"/>
  <c r="Z34" i="4" s="1"/>
  <c r="Z35" i="4" l="1"/>
  <c r="Z36" i="4" s="1"/>
  <c r="Z43" i="4" s="1"/>
  <c r="AA13" i="4" s="1"/>
  <c r="AA15" i="4" s="1"/>
  <c r="AA16" i="4" s="1"/>
  <c r="AA17" i="4" s="1"/>
  <c r="AA19" i="4" s="1"/>
  <c r="AA22" i="4" s="1"/>
  <c r="W207" i="21" l="1"/>
  <c r="W238" i="21" s="1"/>
  <c r="AA29" i="4" s="1"/>
  <c r="AA35" i="4" s="1"/>
  <c r="AA32" i="4" l="1"/>
  <c r="AA34" i="4" s="1"/>
  <c r="AA36" i="4" s="1"/>
  <c r="AA43" i="4" s="1"/>
  <c r="AB13" i="4" s="1"/>
  <c r="AB15" i="4" s="1"/>
  <c r="AB16" i="4" s="1"/>
  <c r="AB17" i="4" s="1"/>
  <c r="AB19" i="4" l="1"/>
  <c r="AB22" i="4" s="1"/>
  <c r="X207" i="21"/>
  <c r="X238" i="21" s="1"/>
  <c r="AB29" i="4" s="1"/>
  <c r="AB32" i="4" s="1"/>
  <c r="AB34" i="4" s="1"/>
  <c r="AB35" i="4" l="1"/>
  <c r="AB36" i="4" s="1"/>
  <c r="AB43" i="4" s="1"/>
  <c r="AC13" i="4" l="1"/>
  <c r="AC15" i="4" s="1"/>
  <c r="AC16" i="4" s="1"/>
  <c r="AC17" i="4" s="1"/>
  <c r="AC19" i="4" s="1"/>
  <c r="AC22" i="4" s="1"/>
  <c r="Y207" i="21" l="1"/>
  <c r="Y238" i="21" s="1"/>
  <c r="AC29" i="4" s="1"/>
  <c r="AC32" i="4" s="1"/>
  <c r="AC34" i="4" s="1"/>
  <c r="AC35" i="4" l="1"/>
  <c r="AC36" i="4" s="1"/>
  <c r="AC43" i="4" s="1"/>
  <c r="AD13" i="4" l="1"/>
  <c r="AD15" i="4" s="1"/>
  <c r="AD16" i="4" s="1"/>
  <c r="AD17" i="4" s="1"/>
  <c r="AD19" i="4" s="1"/>
  <c r="AD22" i="4" s="1"/>
  <c r="Z207" i="21" l="1"/>
  <c r="Z238" i="21" s="1"/>
  <c r="AD29" i="4" s="1"/>
  <c r="AD35" i="4" s="1"/>
  <c r="AD32" i="4" l="1"/>
  <c r="AD34" i="4" s="1"/>
  <c r="AD36" i="4" s="1"/>
  <c r="AD43" i="4" s="1"/>
  <c r="AE13" i="4" s="1"/>
  <c r="AE15" i="4" s="1"/>
  <c r="AE16" i="4" s="1"/>
  <c r="AE17" i="4" s="1"/>
  <c r="AE19" i="4" l="1"/>
  <c r="AE22" i="4" s="1"/>
  <c r="AA207" i="21"/>
  <c r="AA238" i="21" s="1"/>
  <c r="AE29" i="4" s="1"/>
  <c r="AE32" i="4" s="1"/>
  <c r="AE34" i="4" s="1"/>
  <c r="AE35" i="4" l="1"/>
  <c r="AE36" i="4" s="1"/>
  <c r="AE43" i="4" s="1"/>
  <c r="AF13" i="4" l="1"/>
  <c r="AF15" i="4" s="1"/>
  <c r="AF16" i="4" s="1"/>
  <c r="AF17" i="4" s="1"/>
  <c r="AF19" i="4" s="1"/>
  <c r="AF22" i="4" s="1"/>
  <c r="AB207" i="21" l="1"/>
  <c r="AB238" i="21" s="1"/>
  <c r="AF29" i="4" s="1"/>
  <c r="AF35" i="4" s="1"/>
  <c r="AF32" i="4" l="1"/>
  <c r="AF34" i="4" s="1"/>
  <c r="AF36" i="4" s="1"/>
  <c r="AF43" i="4" l="1"/>
  <c r="J54" i="4"/>
  <c r="J53" i="4" l="1"/>
  <c r="J55" i="4" s="1"/>
  <c r="J58" i="4" s="1"/>
  <c r="J57" i="4" s="1"/>
  <c r="M40" i="1" s="1"/>
  <c r="D68" i="4"/>
  <c r="E68" i="4" s="1"/>
  <c r="D67" i="4"/>
  <c r="E67" i="4" s="1"/>
  <c r="H40" i="1" l="1"/>
  <c r="L53" i="4"/>
  <c r="L5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Catarina Relvas Pires Guimarães</author>
    <author>Eduardo Ferreira</author>
  </authors>
  <commentList>
    <comment ref="B2"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B22" authorId="3" shapeId="0" xr:uid="{D4736251-A18F-47E1-BB1E-3B24A658D61E}">
      <text>
        <r>
          <rPr>
            <sz val="10"/>
            <rFont val="Arial"/>
            <family val="2"/>
          </rPr>
          <t xml:space="preserve">Catarina Guimarães:
table on line P explains market cap.
</t>
        </r>
      </text>
    </comment>
    <comment ref="D46" authorId="4" shapeId="0" xr:uid="{00000000-0006-0000-0000-00000400000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 ref="J63" authorId="3" shapeId="0" xr:uid="{9CE78359-CFB4-4B5B-B06C-1175A96EDCC0}">
      <text>
        <r>
          <rPr>
            <sz val="10"/>
            <rFont val="Arial"/>
            <family val="2"/>
          </rPr>
          <t xml:space="preserve">Catarina Guimarães:
owns both types of shares, but mostly registered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Niel Brainer Latifo Ganàncio</author>
  </authors>
  <commentList>
    <comment ref="G14" authorId="0" shapeId="0" xr:uid="{00000000-0006-0000-0300-000001000000}">
      <text>
        <r>
          <rPr>
            <sz val="10"/>
            <rFont val="Arial"/>
            <family val="2"/>
          </rPr>
          <t xml:space="preserve">Niel Brainer Latifo Ganàncio:
Boosted by Asia growth, lifting of restrictions. </t>
        </r>
      </text>
    </comment>
    <comment ref="E39" authorId="0" shapeId="0" xr:uid="{0850D51E-4D9E-478E-8292-4595EE007F56}">
      <text>
        <r>
          <rPr>
            <sz val="10"/>
            <rFont val="Arial"/>
            <family val="2"/>
          </rPr>
          <t xml:space="preserve">Niel Brainer Latifo Ganàncio:
Market screener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THIAGO SANTOS FERREIRA</author>
  </authors>
  <commentList>
    <comment ref="M4" authorId="0" shapeId="0" xr:uid="{00000000-0006-0000-0400-000001000000}">
      <text>
        <r>
          <rPr>
            <sz val="10"/>
            <rFont val="Arial"/>
            <family val="2"/>
          </rPr>
          <t>THIAGO SANTOS FERREIRA:
2023</t>
        </r>
      </text>
    </comment>
    <comment ref="N4" authorId="0" shapeId="0" xr:uid="{00000000-0006-0000-0400-000002000000}">
      <text>
        <r>
          <rPr>
            <sz val="10"/>
            <rFont val="Arial"/>
            <family val="2"/>
          </rPr>
          <t>THIAGO SANTOS FERREIRA:
2023</t>
        </r>
      </text>
    </comment>
    <comment ref="O4" authorId="0" shapeId="0" xr:uid="{00000000-0006-0000-0400-000003000000}">
      <text>
        <r>
          <rPr>
            <sz val="10"/>
            <rFont val="Arial"/>
            <family val="2"/>
          </rPr>
          <t>THIAGO SANTOS FERREIRA:
2022</t>
        </r>
      </text>
    </comment>
    <comment ref="P4" authorId="0" shapeId="0" xr:uid="{00000000-0006-0000-0400-000004000000}">
      <text>
        <r>
          <rPr>
            <sz val="10"/>
            <rFont val="Arial"/>
            <family val="2"/>
          </rPr>
          <t>THIAGO SANTOS FERREIRA:
2022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Catarina Relvas Pires Guimarães</author>
  </authors>
  <commentList>
    <comment ref="B50" authorId="0" shapeId="0" xr:uid="{1E5A37B2-C6E1-4071-A531-0B79DB8BF07B}">
      <text>
        <r>
          <rPr>
            <sz val="10"/>
            <rFont val="Arial"/>
            <family val="2"/>
          </rPr>
          <t>Switzerland 10Y zero-coupon bond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THIAGO SANTOS FERREIRA</author>
  </authors>
  <commentList>
    <comment ref="H117" authorId="0" shapeId="0" xr:uid="{00000000-0006-0000-0600-000001000000}">
      <text>
        <r>
          <rPr>
            <sz val="10"/>
            <rFont val="Arial"/>
            <family val="2"/>
          </rPr>
          <t>resultado baseado nos multiples de CCC</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 Gonçalves</author>
    <author>Catarina Relvas Pires Guimarães</author>
  </authors>
  <commentList>
    <comment ref="B9" authorId="0" shapeId="0" xr:uid="{58D0731F-2BAD-476A-A1D4-810A81AAD11B}">
      <text>
        <r>
          <rPr>
            <sz val="10"/>
            <rFont val="Arial"/>
            <family val="2"/>
          </rPr>
          <t>Gabriel Gonçalves:
share of result from associates and joint ventures + minority interests
+non operating result</t>
        </r>
      </text>
    </comment>
    <comment ref="B10" authorId="0" shapeId="0" xr:uid="{CE699BA5-218F-45D3-B5E5-F22B828AB113}">
      <text>
        <r>
          <rPr>
            <b/>
            <sz val="9"/>
            <color indexed="81"/>
            <rFont val="Tahoma"/>
            <family val="2"/>
          </rPr>
          <t>Gabriel Gonçalves:</t>
        </r>
        <r>
          <rPr>
            <sz val="9"/>
            <color indexed="81"/>
            <rFont val="Tahoma"/>
            <family val="2"/>
          </rPr>
          <t xml:space="preserve">
net interest expense + other financial income and expense</t>
        </r>
      </text>
    </comment>
    <comment ref="A46" authorId="1" shapeId="0" xr:uid="{74BB91C1-DF1B-40C9-9D61-AF18696CAE4D}">
      <text>
        <r>
          <rPr>
            <sz val="10"/>
            <rFont val="Arial"/>
            <family val="2"/>
          </rPr>
          <t>Catarina Guimarães:
included accrued expenses. big weight on "others"
[2022- 533]</t>
        </r>
      </text>
    </comment>
    <comment ref="A50" authorId="1" shapeId="0" xr:uid="{633B83A6-AF8F-4232-9BB5-CC3187A85C1B}">
      <text>
        <r>
          <rPr>
            <sz val="10"/>
            <rFont val="Arial"/>
            <family val="2"/>
          </rPr>
          <t xml:space="preserve">Catarina Guimarães:
biggest share is deferred tax liabilities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<sst xmlns="http://schemas.openxmlformats.org/spreadsheetml/2006/main" count="2337" uniqueCount="1133">
  <si>
    <t>Luxury Team</t>
  </si>
  <si>
    <t>Next Report: December, 2023</t>
  </si>
  <si>
    <t>SWX</t>
  </si>
  <si>
    <t xml:space="preserve">SIC: </t>
  </si>
  <si>
    <t>COMPANY DESCRIPTION</t>
  </si>
  <si>
    <t>CEO &amp; BOARD OF DIRECTORS</t>
  </si>
  <si>
    <t>Name</t>
  </si>
  <si>
    <t>Gender</t>
  </si>
  <si>
    <t>Age</t>
  </si>
  <si>
    <t>Tenure</t>
  </si>
  <si>
    <t>Executive?</t>
  </si>
  <si>
    <t>Other roles</t>
  </si>
  <si>
    <t>Nick Hayek</t>
  </si>
  <si>
    <t>M</t>
  </si>
  <si>
    <t>Y</t>
  </si>
  <si>
    <t>President of the Executive Group Management Board, CEO</t>
  </si>
  <si>
    <t>Nayla Hayek</t>
  </si>
  <si>
    <t>F</t>
  </si>
  <si>
    <t>Chairwoman of the Board of Directors</t>
  </si>
  <si>
    <t>Ernst Tanner</t>
  </si>
  <si>
    <t>Vice-Chairman of the Board of Directors</t>
  </si>
  <si>
    <t>Daniela Aeschlimann</t>
  </si>
  <si>
    <t>N/A</t>
  </si>
  <si>
    <t>N</t>
  </si>
  <si>
    <t>Member of the Swatch Group Board</t>
  </si>
  <si>
    <t>Shares</t>
  </si>
  <si>
    <t>Oustanding shares</t>
  </si>
  <si>
    <t>Price</t>
  </si>
  <si>
    <t>Market cap</t>
  </si>
  <si>
    <t>Prof.Dr.H.C.Claude Nicollier</t>
  </si>
  <si>
    <t>Bearer shares</t>
  </si>
  <si>
    <t>Registered shares</t>
  </si>
  <si>
    <t>Dr. Jean-Pierre Roth</t>
  </si>
  <si>
    <t>(rounding approximations)</t>
  </si>
  <si>
    <t>CHF MILLIONS</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</si>
  <si>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</si>
  <si>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</si>
  <si>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</si>
  <si>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</si>
  <si>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</si>
  <si>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</si>
  <si>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</si>
  <si>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</si>
  <si>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</si>
  <si>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</si>
  <si>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</si>
  <si>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</si>
  <si>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</si>
  <si>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</si>
  <si>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</si>
  <si>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1 October 2022</t>
  </si>
  <si>
    <t>Insiders Own</t>
  </si>
  <si>
    <t>Market Cap.*</t>
  </si>
  <si>
    <t>Cash/Share</t>
  </si>
  <si>
    <t>EBITDA</t>
  </si>
  <si>
    <t>b (Yahoo)</t>
  </si>
  <si>
    <t>+Total Debt</t>
  </si>
  <si>
    <t>EBIDTA/Net Financial Cost (NFC)</t>
  </si>
  <si>
    <t>Depreciation &amp; Amortization</t>
  </si>
  <si>
    <t>Score (S&amp;P)</t>
  </si>
  <si>
    <t>-Cash</t>
  </si>
  <si>
    <t>Debt/EBITDA</t>
  </si>
  <si>
    <t>EBIT</t>
  </si>
  <si>
    <t>Price/Book Value</t>
  </si>
  <si>
    <t>=Enterprise Value</t>
  </si>
  <si>
    <t>"Others Assets"/Asset</t>
  </si>
  <si>
    <t>Net Income</t>
  </si>
  <si>
    <t>NCF(3y avg)/Asset</t>
  </si>
  <si>
    <t>Holdings (nac/int'l)</t>
  </si>
  <si>
    <t>-</t>
  </si>
  <si>
    <t>Debt/Assets</t>
  </si>
  <si>
    <t>EPS</t>
  </si>
  <si>
    <t>Price/Net Inc. (3y avg)</t>
  </si>
  <si>
    <t>t liq. (Holdings/Vol.)</t>
  </si>
  <si>
    <t>EBITDA Margin (average)</t>
  </si>
  <si>
    <t>ROA</t>
  </si>
  <si>
    <t>EV/Asset</t>
  </si>
  <si>
    <t>% Short</t>
  </si>
  <si>
    <t>Operating Margin (average)</t>
  </si>
  <si>
    <t>Categories</t>
  </si>
  <si>
    <t>ROIC</t>
  </si>
  <si>
    <t>EV/Ebidta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</si>
  <si>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</si>
  <si>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</si>
  <si>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</si>
  <si>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</si>
  <si>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</si>
  <si>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</si>
  <si>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</si>
  <si>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</si>
  <si>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</si>
  <si>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</si>
  <si>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</si>
  <si>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</si>
  <si>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</si>
  <si>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</si>
  <si>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</si>
  <si>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</si>
  <si>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Pillar</t>
  </si>
  <si>
    <t>Explanation</t>
  </si>
  <si>
    <t>BUY</t>
  </si>
  <si>
    <t>Brand strengths and competitive advantage</t>
  </si>
  <si>
    <t>The conglomerate is composed of a variety of brands, from different ranges and target customers, very well recognized in the market, such as Swatch, Tissot and Omega.</t>
  </si>
  <si>
    <t>Expansion of the microeletronics segment</t>
  </si>
  <si>
    <t>With an expansion of its presence in this growing market, the company enjoys the opportunities of the market, along with the reduction of its dependance on the Watches and Jewerly segment.</t>
  </si>
  <si>
    <t>Market position</t>
  </si>
  <si>
    <t>Swatch is the largest watchmaking group in the world and supplies almost all components for the watch production process (very vertically integrated).</t>
  </si>
  <si>
    <t>Risks of Investment</t>
  </si>
  <si>
    <t>Price Target</t>
  </si>
  <si>
    <t>Valuation</t>
  </si>
  <si>
    <t>Risk</t>
  </si>
  <si>
    <t>Discount Rate</t>
  </si>
  <si>
    <t>Upside</t>
  </si>
  <si>
    <t>ESG results</t>
  </si>
  <si>
    <t>Must achieve better results in the three ESG standards.</t>
  </si>
  <si>
    <t>Cash Conversion Cycle</t>
  </si>
  <si>
    <t>The CCC is extremelly high and must be reduced by almost a half of its value, mainly lowering the inventory on hand.</t>
  </si>
  <si>
    <t>Board's Age</t>
  </si>
  <si>
    <t>The age of board members should be considered, as the youngest is 68 years old and they might loose on modernization and trends.</t>
  </si>
  <si>
    <t>Dependence on one sector</t>
  </si>
  <si>
    <t>With a 95% dependency of one single sector, Swatch Group is very exposed to possible fluctuations in the Watch and Jewerly market (especially in the Asian market, which they are also very dependent on).</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</si>
  <si>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</si>
  <si>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</si>
  <si>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</si>
  <si>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</si>
  <si>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</si>
  <si>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</si>
  <si>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</si>
  <si>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</si>
  <si>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</si>
  <si>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</si>
  <si>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</si>
  <si>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</si>
  <si>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</si>
  <si>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</si>
  <si>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</si>
  <si>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</si>
  <si>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</si>
  <si>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</si>
  <si>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</si>
  <si>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</si>
  <si>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</si>
  <si>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</si>
  <si>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</si>
  <si>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</si>
  <si>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</si>
  <si>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</si>
  <si>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</si>
  <si>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</si>
  <si>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 Stake</t>
  </si>
  <si>
    <r>
      <rPr>
        <b/>
        <sz val="9"/>
        <color rgb="FF000000"/>
        <rFont val="Arial"/>
        <family val="2"/>
      </rPr>
      <t>Strong position in the industry with a high degree of vertical integration</t>
    </r>
    <r>
      <rPr>
        <sz val="9"/>
        <color rgb="FF000000"/>
        <rFont val="Arial"/>
        <family val="2"/>
      </rPr>
      <t xml:space="preserve"> - ensures higher quality and efficiency in its operations - e.g. the groups owns subsidiaries that manufacture necessary components and watches, such as ETA SA Manufacture Horlogère Suisse and Micro Crystal AG</t>
    </r>
  </si>
  <si>
    <r>
      <rPr>
        <b/>
        <sz val="10"/>
        <color rgb="FF000000"/>
        <rFont val="Arial"/>
        <family val="2"/>
      </rPr>
      <t>Dependency on chinese consumers</t>
    </r>
    <r>
      <rPr>
        <sz val="10"/>
        <color rgb="FF000000"/>
        <rFont val="Arial"/>
        <family val="2"/>
      </rPr>
      <t xml:space="preserve"> - more than 50% of asia sales come from China</t>
    </r>
  </si>
  <si>
    <t>Hayek Pool</t>
  </si>
  <si>
    <r>
      <rPr>
        <b/>
        <sz val="10"/>
        <color rgb="FF000000"/>
        <rFont val="Arial"/>
        <family val="2"/>
      </rPr>
      <t>Global Presence</t>
    </r>
    <r>
      <rPr>
        <sz val="10"/>
        <color rgb="FF000000"/>
        <rFont val="Arial"/>
        <family val="2"/>
      </rPr>
      <t xml:space="preserve"> - present in more than 30 countries. Stong presence in Asia.</t>
    </r>
  </si>
  <si>
    <r>
      <rPr>
        <b/>
        <sz val="10"/>
        <color rgb="FF000000"/>
        <rFont val="Arial"/>
        <family val="2"/>
      </rPr>
      <t xml:space="preserve">Reliance on Watches &amp; Jewelry sector </t>
    </r>
    <r>
      <rPr>
        <sz val="10"/>
        <color rgb="FF000000"/>
        <rFont val="Arial"/>
        <family val="2"/>
      </rPr>
      <t>- Poor diversification of revenue sources and greater vulnerability to economic fluctuations in the sector</t>
    </r>
  </si>
  <si>
    <r>
      <rPr>
        <b/>
        <sz val="10"/>
        <color rgb="FF000000"/>
        <rFont val="Arial"/>
        <family val="2"/>
      </rPr>
      <t xml:space="preserve">Diversified portfolio of brands </t>
    </r>
    <r>
      <rPr>
        <sz val="10"/>
        <color rgb="FF000000"/>
        <rFont val="Arial"/>
        <family val="2"/>
      </rPr>
      <t>- ranging from luxury to more affordable brands (harry winston, longines, tissot, swatch)</t>
    </r>
  </si>
  <si>
    <t>Opportunities</t>
  </si>
  <si>
    <t>Risks</t>
  </si>
  <si>
    <r>
      <rPr>
        <b/>
        <sz val="10"/>
        <color rgb="FF000000"/>
        <rFont val="Arial"/>
        <family val="2"/>
      </rPr>
      <t>Growth in emerging markets</t>
    </r>
    <r>
      <rPr>
        <sz val="10"/>
        <color rgb="FF000000"/>
        <rFont val="Arial"/>
        <family val="2"/>
      </rPr>
      <t xml:space="preserve"> - e.g. China - Asian countries were severely affected by covid and there was a slowdown in the Chinese market</t>
    </r>
  </si>
  <si>
    <r>
      <rPr>
        <b/>
        <sz val="10"/>
        <color rgb="FF000000"/>
        <rFont val="Arial"/>
        <family val="2"/>
      </rPr>
      <t xml:space="preserve">Currency volatility </t>
    </r>
    <r>
      <rPr>
        <sz val="10"/>
        <color rgb="FF000000"/>
        <rFont val="Arial"/>
        <family val="2"/>
      </rPr>
      <t>- The group operates worldwide and currency volatility results in unpredictable variations after the conversion of profits into the base currency (exhange rates from foreign currencies to CHF)</t>
    </r>
  </si>
  <si>
    <r>
      <rPr>
        <b/>
        <sz val="10"/>
        <color rgb="FF000000"/>
        <rFont val="Arial"/>
        <family val="2"/>
      </rPr>
      <t xml:space="preserve">Smartwatch market </t>
    </r>
    <r>
      <rPr>
        <sz val="10"/>
        <color rgb="FF000000"/>
        <rFont val="Arial"/>
        <family val="2"/>
      </rPr>
      <t>- capitalize on the growing interest in smartwatches by either developing their own smartwatches or acquiring a company</t>
    </r>
  </si>
  <si>
    <r>
      <rPr>
        <b/>
        <sz val="10"/>
        <color rgb="FF000000"/>
        <rFont val="Arial"/>
        <family val="2"/>
      </rPr>
      <t>Economic uncertainty</t>
    </r>
    <r>
      <rPr>
        <sz val="10"/>
        <color rgb="FF000000"/>
        <rFont val="Arial"/>
        <family val="2"/>
      </rPr>
      <t xml:space="preserve"> - Russia/Ukraine conflit - all the company's stores have been closed in Russia since March 2022 </t>
    </r>
  </si>
  <si>
    <t>NOTES</t>
  </si>
  <si>
    <t>STOCK PERFORMANCE (5 years)</t>
  </si>
  <si>
    <t>In 2016, sales decreased and net income was much lower than in 2015. The Watches &amp; Jewelry segment had an operating margin of 12.2% (previous year: 18.8%).</t>
  </si>
  <si>
    <t>"To keep the cash balance low, particularly in order to avoid negative interest, treasury shares with a market value of CHF 332 million were repurchased in 2016 within the scope of a three-year share buyback program."</t>
  </si>
  <si>
    <t>On 31 December 2022, there were no other individual of group of shareholders holding more that 5%, known by the Company</t>
  </si>
  <si>
    <t>Invertir</t>
  </si>
  <si>
    <t>NO invertir</t>
  </si>
  <si>
    <t>Mantener sin elevar posición</t>
  </si>
  <si>
    <t>Mantener (y seguir comprando)</t>
  </si>
  <si>
    <t>Liquidar</t>
  </si>
  <si>
    <t>PENDIENTE</t>
  </si>
  <si>
    <t>Products</t>
  </si>
  <si>
    <t>Nominal value</t>
  </si>
  <si>
    <t>YoY Growth</t>
  </si>
  <si>
    <t>Weight</t>
  </si>
  <si>
    <t>Region</t>
  </si>
  <si>
    <t>Switzerland</t>
  </si>
  <si>
    <t>Rest of Europe</t>
  </si>
  <si>
    <t>Greater China (inc. Macau, HK)</t>
  </si>
  <si>
    <t>Rest of Asia</t>
  </si>
  <si>
    <t>Americas</t>
  </si>
  <si>
    <t>Oceania &amp; Africa</t>
  </si>
  <si>
    <t>TOTAL</t>
  </si>
  <si>
    <t>Category</t>
  </si>
  <si>
    <t>Watches &amp; Jewelry</t>
  </si>
  <si>
    <t>Electronic Systems</t>
  </si>
  <si>
    <t>Others</t>
  </si>
  <si>
    <t>Description</t>
  </si>
  <si>
    <t>Graphs</t>
  </si>
  <si>
    <t>W&amp;J: Prestige Range</t>
  </si>
  <si>
    <t>With an average starting of around €5,000, this range has brands. Omega, Blancpain, Breguet, Harry Winston, etc.</t>
  </si>
  <si>
    <t>W&amp;J: High Range</t>
  </si>
  <si>
    <t>Longiness, Rado, Union Glashutte. Brands in this range usually retail in the ballpark of €2,000 - €4,500.</t>
  </si>
  <si>
    <t>W&amp;J: Middle Range</t>
  </si>
  <si>
    <t>Tissot, Hamilton and Balmain, etc. In this range, lower end watches (€300 - €550) have battery powered quartz movements, while more expensive options (€700+) begin to provide basic automatic movements.</t>
  </si>
  <si>
    <t>W&amp;J: Basic Range</t>
  </si>
  <si>
    <t>Swatch's most acessible range is made up of name brand Swatch and Flik Flak. Almost all of the watches in this category are made simple, battery powered quartz movement.</t>
  </si>
  <si>
    <t>Swatch's Eletronic Systems is comprised of semiconductor manufactor as EM Microeletronic - Marin, and automotive and medical industries supplier Micro Crystal. As well as sports timing activities, done by companies Omega and Swatch</t>
  </si>
  <si>
    <t>Industry</t>
  </si>
  <si>
    <t>Graphs (Industry Forecasts)</t>
  </si>
  <si>
    <t>Drivers</t>
  </si>
  <si>
    <t>Lifting of Last Chinese travel Restrictions</t>
  </si>
  <si>
    <t>As china lifted it's last travel restrictions earlier in 2023, the market for mainland china, as well as for destinations popular with chinese tourists, has been experiencing significant surges in revenue (11% rise in net sales over 1st half of 2022)</t>
  </si>
  <si>
    <t>Watches as Investment</t>
  </si>
  <si>
    <t>Younger generations have drifted way from traditional investments into alternative ways to maintain and increase it's "portfolio", watches have risen as a popular investment opportunity, with models such as Omega's Speedmaster Moonshine having an increase in value of almost 40% in a single year.</t>
  </si>
  <si>
    <t>Shortage of semiconductors</t>
  </si>
  <si>
    <t>Since 2022, the supply chain for semiconductors has been erratic and uncertain in all levels: from Raw Materials to Human Resources</t>
  </si>
  <si>
    <t>Sales forecast</t>
  </si>
  <si>
    <t>Source</t>
  </si>
  <si>
    <t>Market Growth CGAR</t>
  </si>
  <si>
    <t>Period</t>
  </si>
  <si>
    <t>Global News Wire</t>
  </si>
  <si>
    <t>2023-2027</t>
  </si>
  <si>
    <t>Statista</t>
  </si>
  <si>
    <t>2023-2028</t>
  </si>
  <si>
    <t>Mordor Intelligence</t>
  </si>
  <si>
    <t>Average</t>
  </si>
  <si>
    <t>Company's Strategy / Extra Notes</t>
  </si>
  <si>
    <r>
      <rPr>
        <b/>
        <sz val="12"/>
        <color rgb="FF000000"/>
        <rFont val="Arial"/>
        <family val="2"/>
      </rPr>
      <t>Microeletronics</t>
    </r>
    <r>
      <rPr>
        <sz val="12"/>
        <color rgb="FF000000"/>
        <rFont val="Arial"/>
        <family val="2"/>
      </rPr>
      <t xml:space="preserve">: Using it's know-how and manufacturing facilities on the production of microcomponents for watches, Swatch Group has officially stated it's plans on developing it's presence in the telecomunications sector, with the production of highly specialized microcomponents and semiconductors.
</t>
    </r>
    <r>
      <rPr>
        <b/>
        <sz val="12"/>
        <color rgb="FF000000"/>
        <rFont val="Arial"/>
        <family val="2"/>
      </rPr>
      <t>Retailing</t>
    </r>
    <r>
      <rPr>
        <sz val="12"/>
        <color rgb="FF000000"/>
        <rFont val="Arial"/>
        <family val="2"/>
      </rPr>
      <t xml:space="preserve">: Swatch plans on expanding the retailing of watches in their own stores. Lead by the success of the multi-brand stores under torbillon, as well as that of the MoonSwatch release, only on swatch stores, the company believes in enhancing the buying experience has been successful and will focus on it.
</t>
    </r>
    <r>
      <rPr>
        <b/>
        <sz val="12"/>
        <color rgb="FF000000"/>
        <rFont val="Arial"/>
        <family val="2"/>
      </rPr>
      <t>New Generation Loyalty</t>
    </r>
    <r>
      <rPr>
        <sz val="12"/>
        <color rgb="FF000000"/>
        <rFont val="Arial"/>
        <family val="2"/>
      </rPr>
      <t>: Swatch's MoonSwatch, a partnership with swatch group's own top luxury brand Omega, was considered by many, 2022 Watch of the Year, selling over 1 million units. This strategy of using basic and affordable brands and products to introduce potencial customers to it's more exclusive brands has showed to be successful. So much so that company has made another successful collaboration , this time with BlancPain, released Sep 9th, 2023. https://www.bloomberg.com/news/articles/2023-09-09/blancpain-x-swatch-collaboration-sparks-another-sales-surge?utm_campaign=socialflow-organic&amp;utm_content=business&amp;cmpid=socialflow-twitter-business&amp;utm_source=twitter&amp;utm_medium=social</t>
    </r>
  </si>
  <si>
    <t xml:space="preserve"> </t>
  </si>
  <si>
    <t>Peer Logo</t>
  </si>
  <si>
    <t>Peer Name</t>
  </si>
  <si>
    <t>Casio Computer Co., Ltd. is a Japanese multinational conglomerate headquartered in Hamura, Tokyo, Japan, that develops, manufactures, and sells consumer electronics. The company's products include watches, clocks, calculators, musical instruments, digital cameras, and other consumer goods. Casio also manufactures components for other companies, such as LCD displays and semiconductors.</t>
  </si>
  <si>
    <t>Citizen Watch Co., Ltd. is a Japanese multinational company that manufactures watches, machine tools, and other precision instruments. The company was founded in 1918 and is headquartered in Tokyo, Japan. Citizen is one of the world's largest watch manufacturers. The company's products are sold in over 160 countries and territories.</t>
  </si>
  <si>
    <t>Seiko Group Corporation is a Japanese multinational conglomerate headquartered in Shinjuku, Tokyo, Japan. The company's principal businesses include watches, electronic devices, and systems solutions. Seiko was founded in 1877 and is one of the world's largest watch manufacturers,  The company's products are sold in over 120 countries and territories.</t>
  </si>
  <si>
    <t>Compagnie Financiere Richemont SA is a Swiss multinational luxury goods holding company headquartered in Geneva, Switzerland. The company's principal businesses include jewelry, watches, and writing instruments. Richemont was founded in 1988 and is one of the world's largest luxury goods companies. The company's products are sold in over 140 countries and territories.</t>
  </si>
  <si>
    <t>Burberry Group plc is a United Kingdom-based global luxury goods manufacturer, retailer, and wholesaler. The Company also licenses third parties to manufacture and distribute products using the Burberry trademarks. The Company's segments include Retail/wholesale and Licensing. The flow of global product between retail and wholesale channels and across its regions is monitored and optimized at a corporate level and implemented via the Company's inventory hubs situated in Europe, the United States, mainland China, Hong Kong, and Special Administrative Regions (S.A.R.) China. The Licensing segment includes royalties.</t>
  </si>
  <si>
    <t>In Millions USD (exc Market Cap)</t>
  </si>
  <si>
    <t>Seiko Group Corporation</t>
  </si>
  <si>
    <t>AVERAGE</t>
  </si>
  <si>
    <t>Deviation from Average</t>
  </si>
  <si>
    <t>Company Info</t>
  </si>
  <si>
    <t>TRAFFIC</t>
  </si>
  <si>
    <t>Market Cap</t>
  </si>
  <si>
    <t>Best Value</t>
  </si>
  <si>
    <t>Net Sales (current)</t>
  </si>
  <si>
    <t>Profitability</t>
  </si>
  <si>
    <t>Middle Ground</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</si>
  <si>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</si>
  <si>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</si>
  <si>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</si>
  <si>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</si>
  <si>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</si>
  <si>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</si>
  <si>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</si>
  <si>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</si>
  <si>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</si>
  <si>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</si>
  <si>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</si>
  <si>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</si>
  <si>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</si>
  <si>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</si>
  <si>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</si>
  <si>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</si>
  <si>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</si>
  <si>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</si>
  <si>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</si>
  <si>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</si>
  <si>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</si>
  <si>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</si>
  <si>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</si>
  <si>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</si>
  <si>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</si>
  <si>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</si>
  <si>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</si>
  <si>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</si>
  <si>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</si>
  <si>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</si>
  <si>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</si>
  <si>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</si>
  <si>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Financial Data</t>
  </si>
  <si>
    <t>Casio</t>
  </si>
  <si>
    <t>Citizen</t>
  </si>
  <si>
    <t>Seiko</t>
  </si>
  <si>
    <t>Richemont</t>
  </si>
  <si>
    <t>Buberry</t>
  </si>
  <si>
    <t>IS</t>
  </si>
  <si>
    <t>Net Sales (36m ago)</t>
  </si>
  <si>
    <t>Net Sales (12m ago)</t>
  </si>
  <si>
    <t>COGS</t>
  </si>
  <si>
    <t>Operating Income</t>
  </si>
  <si>
    <t>Net Financial Cost</t>
  </si>
  <si>
    <t>Taxes</t>
  </si>
  <si>
    <t>BS</t>
  </si>
  <si>
    <t>Cash &amp; Eq.</t>
  </si>
  <si>
    <t>Acc. Receivables</t>
  </si>
  <si>
    <t>Inventory</t>
  </si>
  <si>
    <t>Current Assets</t>
  </si>
  <si>
    <t>Fixed Assets</t>
  </si>
  <si>
    <t>Acc. Payable</t>
  </si>
  <si>
    <t>Current Liabilities</t>
  </si>
  <si>
    <t>Total Debt</t>
  </si>
  <si>
    <t>Total Equity</t>
  </si>
  <si>
    <t>Target price</t>
  </si>
  <si>
    <t>Growth</t>
  </si>
  <si>
    <t>Company GICS Sector:</t>
  </si>
  <si>
    <t>Yes</t>
  </si>
  <si>
    <t>Consumer Staples</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</si>
  <si>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</si>
  <si>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</si>
  <si>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</si>
  <si>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</si>
  <si>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</si>
  <si>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</si>
  <si>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</si>
  <si>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</si>
  <si>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</si>
  <si>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</si>
  <si>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</si>
  <si>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</si>
  <si>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</si>
  <si>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Swatch Group</t>
  </si>
  <si>
    <t>Burberry</t>
  </si>
  <si>
    <t>Environmental</t>
  </si>
  <si>
    <t>Ratios</t>
  </si>
  <si>
    <t>CO2 Direct Emissions</t>
  </si>
  <si>
    <t>Medium High</t>
  </si>
  <si>
    <t>Climate neutral for Scope 1 and 2 emissions by 2050; Reducing emissions from refrigerants and process emissions by 50% by 2030 and to 0 by 2040</t>
  </si>
  <si>
    <t>CO2 Emissions/$M Sales</t>
  </si>
  <si>
    <t>Total Water Consumption</t>
  </si>
  <si>
    <t>Medium</t>
  </si>
  <si>
    <t>"Over 99% of Swatch Group’s water withdrawals made in countries with little water scarcity, due to the concentration of production in Switzerland."  Recent increase in water consumption is attributable to production facilities, particularly in the water-intensive production of microchips</t>
  </si>
  <si>
    <t>Water Consumption/$M Sales</t>
  </si>
  <si>
    <t>Total Energy Consumption</t>
  </si>
  <si>
    <t>Reducing energy consumption and heat consumption per unit of floor space</t>
  </si>
  <si>
    <t>Optimization or replacement of air-conditioning and water-cooling systems, renovation of heating installations, and the commissioning of new heat recovery units</t>
  </si>
  <si>
    <t>Energy Consumption/$M Sales</t>
  </si>
  <si>
    <t>Waste Management</t>
  </si>
  <si>
    <t>65% of waste was recycled</t>
  </si>
  <si>
    <t>Waste Production/$M Sales</t>
  </si>
  <si>
    <t>Land Degradation/Deforestation/Biodiversity loss/Animal sufering/…</t>
  </si>
  <si>
    <t>Some production sites are located near or in areas with high biodiversity</t>
  </si>
  <si>
    <t>Inputs</t>
  </si>
  <si>
    <t>Social</t>
  </si>
  <si>
    <t>Net Sales ($M)</t>
  </si>
  <si>
    <t>Employee Turnover %</t>
  </si>
  <si>
    <t>Turnover per age range: 
&lt;30 years = 40%; 
30 years to 50 years = 18%; 
&gt;50 years = 12%; 
Total = 20%</t>
  </si>
  <si>
    <t>CO2 Emissions Total (Tonnes)</t>
  </si>
  <si>
    <t>Salaries &amp; Compensation</t>
  </si>
  <si>
    <t>Water Consumption Total (Cubic Meters)</t>
  </si>
  <si>
    <t>Reputation</t>
  </si>
  <si>
    <t>Strong reputation with no apparent polemics. Recently sued the Malaysian government for seizing LGBTQ-themed watches from its stores</t>
  </si>
  <si>
    <t>Energy Consumption Total (Gigajoules)</t>
  </si>
  <si>
    <t>Discrimination Events</t>
  </si>
  <si>
    <t>Waste Production Total (Tonnes)</t>
  </si>
  <si>
    <t>Work Safety</t>
  </si>
  <si>
    <t>Each Group company has its own occupational health and safety officer; suppliers are also obliged to ensure the occupational health and safety of their employees, which is checked with regular audits.</t>
  </si>
  <si>
    <t>ESG Scores</t>
  </si>
  <si>
    <t>Damage to consumer health</t>
  </si>
  <si>
    <t>"Best in class"</t>
  </si>
  <si>
    <t>Refinitiv</t>
  </si>
  <si>
    <t>B</t>
  </si>
  <si>
    <t>B-</t>
  </si>
  <si>
    <t>A-</t>
  </si>
  <si>
    <t>PXP?</t>
  </si>
  <si>
    <t>Sustainalytics (ESG Risk Rating)</t>
  </si>
  <si>
    <t>Supply chain</t>
  </si>
  <si>
    <t>The Group applies international guidelines and standards, including the OECD Due Diligence Guidance for Responsible Supply Chains from Conflict-Affected and High-Risk Areas and its Supplement on Gold, Social Accountability International SA 8000 standard, and CITES – Convention on International Trade in Endangered Species of Wild Fauna and Flora, particularly as a company with a particular responsibility for the extraction and sourcing of raw materials and the procurement of biological raw materials from endangered species</t>
  </si>
  <si>
    <t>ISS</t>
  </si>
  <si>
    <t>C-</t>
  </si>
  <si>
    <t>Community involvement</t>
  </si>
  <si>
    <t>Public Sector</t>
  </si>
  <si>
    <t>Litigation</t>
  </si>
  <si>
    <t>Corporate Governance</t>
  </si>
  <si>
    <t>PARAMETERS</t>
  </si>
  <si>
    <t>Diversity (Gender, Age, Industry, Region)</t>
  </si>
  <si>
    <t>Board: 4 Males, 2 Females ; High average age (74y)</t>
  </si>
  <si>
    <t>IMPACT</t>
  </si>
  <si>
    <t>RANKING</t>
  </si>
  <si>
    <t>MITIGATION PLAN</t>
  </si>
  <si>
    <t>% Independence</t>
  </si>
  <si>
    <t>Low</t>
  </si>
  <si>
    <t>Evidence / plan?</t>
  </si>
  <si>
    <t>Average time as independent directors</t>
  </si>
  <si>
    <t>Too low rotation (average 14y)</t>
  </si>
  <si>
    <t>Recent departures of directors / C-level executives?</t>
  </si>
  <si>
    <t>Mougahed Darwish stepped down from the Executive Management Board on April 1, 2022</t>
  </si>
  <si>
    <t>High</t>
  </si>
  <si>
    <t>CEO/Chairman duality</t>
  </si>
  <si>
    <t>Very high</t>
  </si>
  <si>
    <t>"Villain"</t>
  </si>
  <si>
    <t>Transparency (ESG, segments, acquisitions, other)</t>
  </si>
  <si>
    <t>Easy to find information related to ESG</t>
  </si>
  <si>
    <t>Time taken to report after the end of the quarter / year</t>
  </si>
  <si>
    <t>Fiscal year 31/Dec/22 - Publication date 16/Mar/23</t>
  </si>
  <si>
    <t>Additional participation of the CEO in other boards or excessive participation of Ch.</t>
  </si>
  <si>
    <t>Audit / Consulting</t>
  </si>
  <si>
    <t>PricewaterhouseCoopers - 4.5million CHF (Audit) / 1.7million CHF (Consultancy for taxes and duties)</t>
  </si>
  <si>
    <t>ESG-compensation related</t>
  </si>
  <si>
    <t>There isn't any mention to ESG based compensation</t>
  </si>
  <si>
    <t>Management compensation schemes</t>
  </si>
  <si>
    <t>Non-executive members of the Board of Directors comprises only fixed compensation elements. Compensation of executive members of the Board of Directors and the members of the Executive Management comprises fixed and variable compensation elements. Based on job function, degree of responsibility, and achievement of defined performance objectives</t>
  </si>
  <si>
    <t>VALUATION MODEL</t>
  </si>
  <si>
    <t>Short Term</t>
  </si>
  <si>
    <t>Long Term</t>
  </si>
  <si>
    <t>Section</t>
  </si>
  <si>
    <t>Line #</t>
  </si>
  <si>
    <t>ITEM</t>
  </si>
  <si>
    <t>2020 (Real)</t>
  </si>
  <si>
    <t>2021 (Real)</t>
  </si>
  <si>
    <t>2022 (Real)</t>
  </si>
  <si>
    <t>INCOME STATEMENT</t>
  </si>
  <si>
    <t>Revenues/Sales</t>
  </si>
  <si>
    <t>EBIT/Operating Margin</t>
  </si>
  <si>
    <t>5a</t>
  </si>
  <si>
    <t>(Dep)</t>
  </si>
  <si>
    <t>5b</t>
  </si>
  <si>
    <t>Amort</t>
  </si>
  <si>
    <t>5c</t>
  </si>
  <si>
    <t>(Stock based compensation)</t>
  </si>
  <si>
    <t>EBIDTA</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</si>
  <si>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</si>
  <si>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</si>
  <si>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</si>
  <si>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</si>
  <si>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</si>
  <si>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</si>
  <si>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</si>
  <si>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</si>
  <si>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</si>
  <si>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</si>
  <si>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</si>
  <si>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</si>
  <si>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</si>
  <si>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</si>
  <si>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</si>
  <si>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</si>
  <si>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</si>
  <si>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(Respurchases)/Issuance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</si>
  <si>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</si>
  <si>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</si>
  <si>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</si>
  <si>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</si>
  <si>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</si>
  <si>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</si>
  <si>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</si>
  <si>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</si>
  <si>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</si>
  <si>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</si>
  <si>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</si>
  <si>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</si>
  <si>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</si>
  <si>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</si>
  <si>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</si>
  <si>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</si>
  <si>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</si>
  <si>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</si>
  <si>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</si>
  <si>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</si>
  <si>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</si>
  <si>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</si>
  <si>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</si>
  <si>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</si>
  <si>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</si>
  <si>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</si>
  <si>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CHF millions</t>
  </si>
  <si>
    <t>Weight on Total Value</t>
  </si>
  <si>
    <t>Amortization factor</t>
  </si>
  <si>
    <t>% revenue (l2)</t>
  </si>
  <si>
    <t>Value of flows</t>
  </si>
  <si>
    <t>Stock-based comp</t>
  </si>
  <si>
    <t>% revenue</t>
  </si>
  <si>
    <t>Value of perpetuity</t>
  </si>
  <si>
    <t>Tax Rate</t>
  </si>
  <si>
    <t>% (line 9)</t>
  </si>
  <si>
    <t>Total Value</t>
  </si>
  <si>
    <t>Interest Rate on debt</t>
  </si>
  <si>
    <t>% debt (l29)</t>
  </si>
  <si>
    <t>Actual share price</t>
  </si>
  <si>
    <t xml:space="preserve">Capex </t>
  </si>
  <si>
    <t>Total value vs Mkt Cap</t>
  </si>
  <si>
    <t>Estimated NPV per share</t>
  </si>
  <si>
    <t>Sensitivity +0.1%</t>
  </si>
  <si>
    <t>Sensibility</t>
  </si>
  <si>
    <t>Sensitivity +0.5%</t>
  </si>
  <si>
    <t>Notes</t>
  </si>
  <si>
    <t>DATA</t>
  </si>
  <si>
    <t xml:space="preserve">Revenues </t>
  </si>
  <si>
    <t>Tax</t>
  </si>
  <si>
    <t>Stock Based Compensation</t>
  </si>
  <si>
    <t>--</t>
  </si>
  <si>
    <t>Dividend + buy back</t>
  </si>
  <si>
    <t>Depreciation</t>
  </si>
  <si>
    <t>Amortization</t>
  </si>
  <si>
    <t>CAPEX</t>
  </si>
  <si>
    <t xml:space="preserve">Investments &amp; acquisitions </t>
  </si>
  <si>
    <t>PP&amp;E</t>
  </si>
  <si>
    <t>EQUITY RISK PREMIUM</t>
  </si>
  <si>
    <t>Revenues 2022</t>
  </si>
  <si>
    <t>%</t>
  </si>
  <si>
    <t>Equity risk premium</t>
  </si>
  <si>
    <t>Equity Risk Premium (Demodaran)</t>
  </si>
  <si>
    <t>China</t>
  </si>
  <si>
    <t>Other Asia</t>
  </si>
  <si>
    <t>Forecast</t>
  </si>
  <si>
    <t>Europe</t>
  </si>
  <si>
    <t>Historical values and titles</t>
  </si>
  <si>
    <t>relevant value</t>
  </si>
  <si>
    <t>America</t>
  </si>
  <si>
    <t>multiples</t>
  </si>
  <si>
    <t>REVENUES</t>
  </si>
  <si>
    <t>Industry forecast growth</t>
  </si>
  <si>
    <t>Swatch´s average</t>
  </si>
  <si>
    <t>Average growth (total)</t>
  </si>
  <si>
    <t>Average growth (3y)</t>
  </si>
  <si>
    <t>2017-2022</t>
  </si>
  <si>
    <t>Average growth (5y)</t>
  </si>
  <si>
    <t>Average growth (pre-covid)</t>
  </si>
  <si>
    <t>Growth forecast (%)</t>
  </si>
  <si>
    <t>Revenue forecast (AV)</t>
  </si>
  <si>
    <t>EBIT (as a % of revenue)</t>
  </si>
  <si>
    <t>Average (total)</t>
  </si>
  <si>
    <t>Average (5y)</t>
  </si>
  <si>
    <t>Average (total without covid)</t>
  </si>
  <si>
    <t>Average (5y without covid)</t>
  </si>
  <si>
    <t>EBIT forecast (%)</t>
  </si>
  <si>
    <t>DEPRECIATION</t>
  </si>
  <si>
    <t>Depreciation (as % of CAPEX)</t>
  </si>
  <si>
    <t>(no sense)</t>
  </si>
  <si>
    <t>Depreciation (as % of PP&amp;E)</t>
  </si>
  <si>
    <t>Stable</t>
  </si>
  <si>
    <t>Average (as % of CAPEX)</t>
  </si>
  <si>
    <t>Average (as % of PP&amp;E, total)</t>
  </si>
  <si>
    <t>Average (as % of PP&amp;E, 5y)</t>
  </si>
  <si>
    <r>
      <t xml:space="preserve">PP&amp;E </t>
    </r>
    <r>
      <rPr>
        <b/>
        <sz val="10"/>
        <rFont val="Arial"/>
        <family val="2"/>
      </rPr>
      <t>Before</t>
    </r>
    <r>
      <rPr>
        <sz val="10"/>
        <rFont val="Arial"/>
        <family val="2"/>
      </rPr>
      <t xml:space="preserve"> Depreciation forecast</t>
    </r>
  </si>
  <si>
    <t>Depreciation forecast</t>
  </si>
  <si>
    <r>
      <t xml:space="preserve">PP&amp;E </t>
    </r>
    <r>
      <rPr>
        <b/>
        <sz val="10"/>
        <rFont val="Arial"/>
        <family val="2"/>
      </rPr>
      <t>After</t>
    </r>
    <r>
      <rPr>
        <sz val="10"/>
        <rFont val="Arial"/>
        <family val="2"/>
      </rPr>
      <t xml:space="preserve"> Depreciation forecast</t>
    </r>
  </si>
  <si>
    <t>AMORTIZATION</t>
  </si>
  <si>
    <t>Amortization (as a % of revenue)</t>
  </si>
  <si>
    <t>(more stable)</t>
  </si>
  <si>
    <t>Amortization (as a % of intangible assets)</t>
  </si>
  <si>
    <t>Average (total, as a % of revenue)</t>
  </si>
  <si>
    <t>ST multiple</t>
  </si>
  <si>
    <t>(% of revenue)</t>
  </si>
  <si>
    <t>LT multiple</t>
  </si>
  <si>
    <t>Amortization forecast</t>
  </si>
  <si>
    <t>Depreciation + Amortization forecast</t>
  </si>
  <si>
    <t>STOCK BASED COMPENSATION</t>
  </si>
  <si>
    <t>Employees</t>
  </si>
  <si>
    <t>Stock based comp (as a % of revenue)</t>
  </si>
  <si>
    <t>Average (since 2016)</t>
  </si>
  <si>
    <t>Stock Based Compensation forecast</t>
  </si>
  <si>
    <t>NET WORKING CAPITAL</t>
  </si>
  <si>
    <t>Cash Conversion Cycle (CCC) = Days of Inventory on Hand (DOH) + Days Sales Outstanding (DSO) - Days Payable Outstanding (DPO)</t>
  </si>
  <si>
    <t>DOH = Inventory / COGS *365</t>
  </si>
  <si>
    <t>DSO = Ac. Receivable / Revenue * 365</t>
  </si>
  <si>
    <t>DPO = Ac. Payable / COGS * 365</t>
  </si>
  <si>
    <t>DOH</t>
  </si>
  <si>
    <t>DSO</t>
  </si>
  <si>
    <t>DPO</t>
  </si>
  <si>
    <t>CCC</t>
  </si>
  <si>
    <t>Average 3y</t>
  </si>
  <si>
    <t>Average 5y</t>
  </si>
  <si>
    <t>Average Total</t>
  </si>
  <si>
    <t>Observation</t>
  </si>
  <si>
    <t>Change per year</t>
  </si>
  <si>
    <t>Increasing trend</t>
  </si>
  <si>
    <t>Decreasing trend</t>
  </si>
  <si>
    <t>Stable average</t>
  </si>
  <si>
    <t>COGS (as a % of revenue)</t>
  </si>
  <si>
    <t>Average (3y)</t>
  </si>
  <si>
    <t>COGS forecast</t>
  </si>
  <si>
    <t>DOH forecast</t>
  </si>
  <si>
    <t>***</t>
  </si>
  <si>
    <t>Inventory forecast</t>
  </si>
  <si>
    <t>AR forecast</t>
  </si>
  <si>
    <t>AP forecast</t>
  </si>
  <si>
    <t>Non-cash Net Working Capital</t>
  </si>
  <si>
    <t>Working Capital Flows V1 Forecast</t>
  </si>
  <si>
    <t>SECOND VERSION</t>
  </si>
  <si>
    <t>AR</t>
  </si>
  <si>
    <t>AP</t>
  </si>
  <si>
    <t>Working Capital Flows</t>
  </si>
  <si>
    <t>Working Capital Flows (as a % of rev change)</t>
  </si>
  <si>
    <t>Working capital Flows V2 forecast</t>
  </si>
  <si>
    <t>CAPEX (as a % of revenue)</t>
  </si>
  <si>
    <t>ST multiple (2023)</t>
  </si>
  <si>
    <t>LT multiple (terminal value)</t>
  </si>
  <si>
    <r>
      <rPr>
        <sz val="10"/>
        <color rgb="FF000000"/>
        <rFont val="Arial"/>
        <family val="2"/>
      </rPr>
      <t>(</t>
    </r>
    <r>
      <rPr>
        <b/>
        <sz val="10"/>
        <color rgb="FF000000"/>
        <rFont val="Arial"/>
        <family val="2"/>
      </rPr>
      <t>Side note</t>
    </r>
    <r>
      <rPr>
        <sz val="10"/>
        <color rgb="FF000000"/>
        <rFont val="Arial"/>
        <family val="2"/>
      </rPr>
      <t>: the forecast possesses cyclicity, with highest multiple reaching 7.5% in revenues in 2032)</t>
    </r>
  </si>
  <si>
    <t>CAPEX forecast</t>
  </si>
  <si>
    <t>INVESTMENTS &amp; ACQUISITIONS</t>
  </si>
  <si>
    <t>Investments &amp; acquisitions (as % of revenue)</t>
  </si>
  <si>
    <t>Investments &amp; acquisitions (as % of EBIT)</t>
  </si>
  <si>
    <t>Investments &amp; acquisitions (as % of CAPEX)</t>
  </si>
  <si>
    <t>(growth YoY)</t>
  </si>
  <si>
    <t>DIVIDENDS AND SHARE BUYBACK</t>
  </si>
  <si>
    <t>Dividends + Buy back (as a % of net income)</t>
  </si>
  <si>
    <t>(negative NI)</t>
  </si>
  <si>
    <t>Average (total, without covid)</t>
  </si>
  <si>
    <t>(% of Net income)</t>
  </si>
  <si>
    <t>Average (5y, without covid)</t>
  </si>
  <si>
    <t>Average (3y, without covid)</t>
  </si>
  <si>
    <t>Forecast Dividend + Share BuyBack (AV)</t>
  </si>
  <si>
    <t>Bearer Shares Outsanding</t>
  </si>
  <si>
    <t>Registered shares Oustanding</t>
  </si>
  <si>
    <t>Total shares oustanding</t>
  </si>
  <si>
    <t>Bearer delta</t>
  </si>
  <si>
    <t>Registered delta</t>
  </si>
  <si>
    <t>Bearer</t>
  </si>
  <si>
    <t>Registered</t>
  </si>
  <si>
    <t>Forecasted Bearer Shares Outsanding</t>
  </si>
  <si>
    <t>Forecasted Registered shares oustanding</t>
  </si>
  <si>
    <t>Forecasted Total shares oustanding</t>
  </si>
  <si>
    <t>Dividends per Bearer shares</t>
  </si>
  <si>
    <t xml:space="preserve">Dividend per Registered shares </t>
  </si>
  <si>
    <t>(YoY growth)</t>
  </si>
  <si>
    <t>Forecast Dividends per Registered share</t>
  </si>
  <si>
    <t>Forecast Dividends per Bearer share</t>
  </si>
  <si>
    <t>Forecast Dividends (AV)</t>
  </si>
  <si>
    <t>Forecast Share Buy Back</t>
  </si>
  <si>
    <t>TOTAL DEBT</t>
  </si>
  <si>
    <t>Total debt</t>
  </si>
  <si>
    <t>Debt to EBITDA</t>
  </si>
  <si>
    <t>Average (without covid)</t>
  </si>
  <si>
    <t>Forecast Total Debt (as a % of EBITDA)</t>
  </si>
  <si>
    <t>TAX RATE</t>
  </si>
  <si>
    <t>Tax (as a % of EBIT)</t>
  </si>
  <si>
    <t>(% of EBIT)</t>
  </si>
  <si>
    <t>Results</t>
  </si>
  <si>
    <t>Growth vs. Previous year</t>
  </si>
  <si>
    <t>Gross Profit</t>
  </si>
  <si>
    <t>% over sales</t>
  </si>
  <si>
    <t>Operating expenses</t>
  </si>
  <si>
    <t xml:space="preserve">     Growth vs. Previous year</t>
  </si>
  <si>
    <t>Other Expenses (Revenues)</t>
  </si>
  <si>
    <t>Depreciation and Amortization</t>
  </si>
  <si>
    <t>Changes Net Working Capital</t>
  </si>
  <si>
    <t>% Tax</t>
  </si>
  <si>
    <t>Cash Generated</t>
  </si>
  <si>
    <t>Share buyback</t>
  </si>
  <si>
    <t>FNP</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</si>
  <si>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</si>
  <si>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</si>
  <si>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</si>
  <si>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</si>
  <si>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</si>
  <si>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</si>
  <si>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</si>
  <si>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</si>
  <si>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</si>
  <si>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</si>
  <si>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</si>
  <si>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</si>
  <si>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</si>
  <si>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</si>
  <si>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</si>
  <si>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Debt</t>
  </si>
  <si>
    <t>Minority Interest</t>
  </si>
  <si>
    <t xml:space="preserve">Shareholder's Equity </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</si>
  <si>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</si>
  <si>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</si>
  <si>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</si>
  <si>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</si>
  <si>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</si>
  <si>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</si>
  <si>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</si>
  <si>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</si>
  <si>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</si>
  <si>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</si>
  <si>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</si>
  <si>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</si>
  <si>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EBITDA Margin</t>
  </si>
  <si>
    <t>Net Debt</t>
  </si>
  <si>
    <t>Changes in cash</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</si>
  <si>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</si>
  <si>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</si>
  <si>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</si>
  <si>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</si>
  <si>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</si>
  <si>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</si>
  <si>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</si>
  <si>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</si>
  <si>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</si>
  <si>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</si>
  <si>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</si>
  <si>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</si>
  <si>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</si>
  <si>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</si>
  <si>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</si>
  <si>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</si>
  <si>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</si>
  <si>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</si>
  <si>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</si>
  <si>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</si>
  <si>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</si>
  <si>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</si>
  <si>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</si>
  <si>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</si>
  <si>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</si>
  <si>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</si>
  <si>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</si>
  <si>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</si>
  <si>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</si>
  <si>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</si>
  <si>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</si>
  <si>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</si>
  <si>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</si>
  <si>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</si>
  <si>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</si>
  <si>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</si>
  <si>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</si>
  <si>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</si>
  <si>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</si>
  <si>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</si>
  <si>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</si>
  <si>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</si>
  <si>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</si>
  <si>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</si>
  <si>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</si>
  <si>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</si>
  <si>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</si>
  <si>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</si>
  <si>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</si>
  <si>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</si>
  <si>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</si>
  <si>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</si>
  <si>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</si>
  <si>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</si>
  <si>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</si>
  <si>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</si>
  <si>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</si>
  <si>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</si>
  <si>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</si>
  <si>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</si>
  <si>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</si>
  <si>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</si>
  <si>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</si>
  <si>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</si>
  <si>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</si>
  <si>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</si>
  <si>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</si>
  <si>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</si>
  <si>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</si>
  <si>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</si>
  <si>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</si>
  <si>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</si>
  <si>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</si>
  <si>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</si>
  <si>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</si>
  <si>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</si>
  <si>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</si>
  <si>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</si>
  <si>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</si>
  <si>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</si>
  <si>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</si>
  <si>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</si>
  <si>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</si>
  <si>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</si>
  <si>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</si>
  <si>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</si>
  <si>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</si>
  <si>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</si>
  <si>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</si>
  <si>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</si>
  <si>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</si>
  <si>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</si>
  <si>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</si>
  <si>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</si>
  <si>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</si>
  <si>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</si>
  <si>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</si>
  <si>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</si>
  <si>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</si>
  <si>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</si>
  <si>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</si>
  <si>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</si>
  <si>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</si>
  <si>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</si>
  <si>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</si>
  <si>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</si>
  <si>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</si>
  <si>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</si>
  <si>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</si>
  <si>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</si>
  <si>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</si>
  <si>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</si>
  <si>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</si>
  <si>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</si>
  <si>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</si>
  <si>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</si>
  <si>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</si>
  <si>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</si>
  <si>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</si>
  <si>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</si>
  <si>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</si>
  <si>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</si>
  <si>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</si>
  <si>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</si>
  <si>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</si>
  <si>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</si>
  <si>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</si>
  <si>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</si>
  <si>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</si>
  <si>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</si>
  <si>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</si>
  <si>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</si>
  <si>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</si>
  <si>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</si>
  <si>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</si>
  <si>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</si>
  <si>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</si>
  <si>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</si>
  <si>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</si>
  <si>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</si>
  <si>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</si>
  <si>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</si>
  <si>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</si>
  <si>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</si>
  <si>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</si>
  <si>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</si>
  <si>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</si>
  <si>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</si>
  <si>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</si>
  <si>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</si>
  <si>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</si>
  <si>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</si>
  <si>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</si>
  <si>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</si>
  <si>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</si>
  <si>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</si>
  <si>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</si>
  <si>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</si>
  <si>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</si>
  <si>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</si>
  <si>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</si>
  <si>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</si>
  <si>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Swiss Francs</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</si>
  <si>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</si>
  <si>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</si>
  <si>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</si>
  <si>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</si>
  <si>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</si>
  <si>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</si>
  <si>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</si>
  <si>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</si>
  <si>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</si>
  <si>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</si>
  <si>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</si>
  <si>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</si>
  <si>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</si>
  <si>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</si>
  <si>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</si>
  <si>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</si>
  <si>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</si>
  <si>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</si>
  <si>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</si>
  <si>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</si>
  <si>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</si>
  <si>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</si>
  <si>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</si>
  <si>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</si>
  <si>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</si>
  <si>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</si>
  <si>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</si>
  <si>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</si>
  <si>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</si>
  <si>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</si>
  <si>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</si>
  <si>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</si>
  <si>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</si>
  <si>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</si>
  <si>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</si>
  <si>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</si>
  <si>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</si>
  <si>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</si>
  <si>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</si>
  <si>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</si>
  <si>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</si>
  <si>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</si>
  <si>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</si>
  <si>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</si>
  <si>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</si>
  <si>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</si>
  <si>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</si>
  <si>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</si>
  <si>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</si>
  <si>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</si>
  <si>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</si>
  <si>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</si>
  <si>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</si>
  <si>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</si>
  <si>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</si>
  <si>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</si>
  <si>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</si>
  <si>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</si>
  <si>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</si>
  <si>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</si>
  <si>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</si>
  <si>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</si>
  <si>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</si>
  <si>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</si>
  <si>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</si>
  <si>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</si>
  <si>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</si>
  <si>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</si>
  <si>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Issuance (Retirement) of Debt, Net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</si>
  <si>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</si>
  <si>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</si>
  <si>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</si>
  <si>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</si>
  <si>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</si>
  <si>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</si>
  <si>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</si>
  <si>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</si>
  <si>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</si>
  <si>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</si>
  <si>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</si>
  <si>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</si>
  <si>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Yahoo Finance</t>
  </si>
  <si>
    <t>Country</t>
  </si>
  <si>
    <t>Moody's rating</t>
  </si>
  <si>
    <t>Default Spread</t>
  </si>
  <si>
    <t>Country Risk Premium</t>
  </si>
  <si>
    <t>Equity Risk Premium</t>
  </si>
  <si>
    <t>Corporate Tax Rate</t>
  </si>
  <si>
    <t>Abu Dhabi</t>
  </si>
  <si>
    <t>Aa2</t>
  </si>
  <si>
    <t>Albania</t>
  </si>
  <si>
    <t>B1</t>
  </si>
  <si>
    <t>Asia:</t>
  </si>
  <si>
    <t>https://pages.stern.nyu.edu/~adamodar/New_Home_Page/datafile/ctryprem.html</t>
  </si>
  <si>
    <t>Algeria</t>
  </si>
  <si>
    <t>NR</t>
  </si>
  <si>
    <t>India</t>
  </si>
  <si>
    <t>Andorra (Principality of)</t>
  </si>
  <si>
    <t>Baa2</t>
  </si>
  <si>
    <t>United Arab Emirates</t>
  </si>
  <si>
    <t>Angola</t>
  </si>
  <si>
    <t>B3</t>
  </si>
  <si>
    <t>Korea</t>
  </si>
  <si>
    <t>Argentina</t>
  </si>
  <si>
    <t>Ca</t>
  </si>
  <si>
    <t>taiwan</t>
  </si>
  <si>
    <t>Armenia</t>
  </si>
  <si>
    <t>Ba3</t>
  </si>
  <si>
    <t>macao</t>
  </si>
  <si>
    <t>Aruba</t>
  </si>
  <si>
    <t>hong kong</t>
  </si>
  <si>
    <t>Australia</t>
  </si>
  <si>
    <t>Aaa</t>
  </si>
  <si>
    <t>thailand</t>
  </si>
  <si>
    <t>Austria</t>
  </si>
  <si>
    <t>Aa1</t>
  </si>
  <si>
    <t>singapore</t>
  </si>
  <si>
    <t>Azerbaijan</t>
  </si>
  <si>
    <t>Ba1</t>
  </si>
  <si>
    <t>malaysia</t>
  </si>
  <si>
    <t>Bahamas</t>
  </si>
  <si>
    <t>Europe:</t>
  </si>
  <si>
    <t>Bahrain</t>
  </si>
  <si>
    <t>B2</t>
  </si>
  <si>
    <t>United kingdom</t>
  </si>
  <si>
    <t>Bangladesh</t>
  </si>
  <si>
    <t>Spain</t>
  </si>
  <si>
    <t>Barbados</t>
  </si>
  <si>
    <t>Caa1</t>
  </si>
  <si>
    <t>France</t>
  </si>
  <si>
    <t>Belarus</t>
  </si>
  <si>
    <t>C</t>
  </si>
  <si>
    <t>Germany</t>
  </si>
  <si>
    <t>Belgium</t>
  </si>
  <si>
    <t>Aa3</t>
  </si>
  <si>
    <t>Luxembourg</t>
  </si>
  <si>
    <t>Belize</t>
  </si>
  <si>
    <t>Caa2</t>
  </si>
  <si>
    <t>Benin</t>
  </si>
  <si>
    <t>Netherlands</t>
  </si>
  <si>
    <t>Bermuda</t>
  </si>
  <si>
    <t>A2</t>
  </si>
  <si>
    <t>Italy</t>
  </si>
  <si>
    <t>Bolivia</t>
  </si>
  <si>
    <t>Norway</t>
  </si>
  <si>
    <t>Bosnia and Herzegovina</t>
  </si>
  <si>
    <t>Sweden</t>
  </si>
  <si>
    <t>Botswana</t>
  </si>
  <si>
    <t>A3</t>
  </si>
  <si>
    <t>Finland</t>
  </si>
  <si>
    <t>Brazil</t>
  </si>
  <si>
    <t>Ba2</t>
  </si>
  <si>
    <t>Denmark</t>
  </si>
  <si>
    <t>Brunei</t>
  </si>
  <si>
    <t>Bulgaria</t>
  </si>
  <si>
    <t>Baa1</t>
  </si>
  <si>
    <t>Poland</t>
  </si>
  <si>
    <t>Burkina Faso</t>
  </si>
  <si>
    <t>Cambodia</t>
  </si>
  <si>
    <t>United States</t>
  </si>
  <si>
    <t>Cameroon</t>
  </si>
  <si>
    <t>Canada</t>
  </si>
  <si>
    <t>Cape Verde</t>
  </si>
  <si>
    <t>Cayman Islands</t>
  </si>
  <si>
    <t>Chile</t>
  </si>
  <si>
    <t>A1</t>
  </si>
  <si>
    <t>Colombia</t>
  </si>
  <si>
    <t>Congo (Democratic Republic of)</t>
  </si>
  <si>
    <t>Congo (Republic of)</t>
  </si>
  <si>
    <t>Cook Islands</t>
  </si>
  <si>
    <t>Costa Rica</t>
  </si>
  <si>
    <t>Côte d'Ivoire</t>
  </si>
  <si>
    <t>Croatia</t>
  </si>
  <si>
    <t>Cuba</t>
  </si>
  <si>
    <t>Curacao</t>
  </si>
  <si>
    <t>Cyprus</t>
  </si>
  <si>
    <t>Czech Republic</t>
  </si>
  <si>
    <t>Dominican Republic</t>
  </si>
  <si>
    <t>Ecuador</t>
  </si>
  <si>
    <t>Caa3</t>
  </si>
  <si>
    <t>Egypt</t>
  </si>
  <si>
    <t>El Salvador</t>
  </si>
  <si>
    <t>Estonia</t>
  </si>
  <si>
    <t>Ethiopia</t>
  </si>
  <si>
    <t>Fiji</t>
  </si>
  <si>
    <t>Gabon</t>
  </si>
  <si>
    <t>Gambia</t>
  </si>
  <si>
    <t>Georgia</t>
  </si>
  <si>
    <t>Ghana</t>
  </si>
  <si>
    <t>Greece</t>
  </si>
  <si>
    <t>Guatemala</t>
  </si>
  <si>
    <t>Guernsey (States of)</t>
  </si>
  <si>
    <t>Guinea</t>
  </si>
  <si>
    <t>Guinea-Bissau</t>
  </si>
  <si>
    <t>Guyana</t>
  </si>
  <si>
    <t>Haiti</t>
  </si>
  <si>
    <t>Honduras</t>
  </si>
  <si>
    <t>Hong Kong</t>
  </si>
  <si>
    <t>Hungary</t>
  </si>
  <si>
    <t>Iceland</t>
  </si>
  <si>
    <t>Baa3</t>
  </si>
  <si>
    <t>Indonesia</t>
  </si>
  <si>
    <t>Iran</t>
  </si>
  <si>
    <t>Iraq</t>
  </si>
  <si>
    <t>Ireland</t>
  </si>
  <si>
    <t>Isle of Man</t>
  </si>
  <si>
    <t>Israel</t>
  </si>
  <si>
    <t>Jamaica</t>
  </si>
  <si>
    <t>Japan</t>
  </si>
  <si>
    <t>Jersey (States of)</t>
  </si>
  <si>
    <t>Jordan</t>
  </si>
  <si>
    <t>Kazakhstan</t>
  </si>
  <si>
    <t>Kenya</t>
  </si>
  <si>
    <t>Korea, D.P.R.</t>
  </si>
  <si>
    <t>Kuwait</t>
  </si>
  <si>
    <t>Kyrgyzstan</t>
  </si>
  <si>
    <t>Laos</t>
  </si>
  <si>
    <t>Latvia</t>
  </si>
  <si>
    <t>Lebanon</t>
  </si>
  <si>
    <t>Liberia</t>
  </si>
  <si>
    <t>Libya</t>
  </si>
  <si>
    <t>Liechtenstein</t>
  </si>
  <si>
    <t>Lithuania</t>
  </si>
  <si>
    <t>Macao</t>
  </si>
  <si>
    <t>Macedonia</t>
  </si>
  <si>
    <t>Madagascar</t>
  </si>
  <si>
    <t>Malawi</t>
  </si>
  <si>
    <t>Malaysia</t>
  </si>
  <si>
    <t>Maldives</t>
  </si>
  <si>
    <t>Mali</t>
  </si>
  <si>
    <t>Malta</t>
  </si>
  <si>
    <t>Mauritius</t>
  </si>
  <si>
    <t>Mexico</t>
  </si>
  <si>
    <t>Moldova</t>
  </si>
  <si>
    <t>Mongolia</t>
  </si>
  <si>
    <t>Montenegro</t>
  </si>
  <si>
    <t>Montserrat</t>
  </si>
  <si>
    <t>Morocco</t>
  </si>
  <si>
    <t>Mozambique</t>
  </si>
  <si>
    <t>Myanmar</t>
  </si>
  <si>
    <t>Namibia</t>
  </si>
  <si>
    <t>New Zealand</t>
  </si>
  <si>
    <t>Nicaragua</t>
  </si>
  <si>
    <t>Niger</t>
  </si>
  <si>
    <t>Nigeria</t>
  </si>
  <si>
    <t>Oman</t>
  </si>
  <si>
    <t>Pakistan</t>
  </si>
  <si>
    <t>Panama</t>
  </si>
  <si>
    <t>Papua New Guinea</t>
  </si>
  <si>
    <t>Paraguay</t>
  </si>
  <si>
    <t>Peru</t>
  </si>
  <si>
    <t>Philippines</t>
  </si>
  <si>
    <t>Portugal</t>
  </si>
  <si>
    <t>Qatar</t>
  </si>
  <si>
    <t>Ras Al Khaimah (Emirate of)</t>
  </si>
  <si>
    <t>Romania</t>
  </si>
  <si>
    <t>Russia</t>
  </si>
  <si>
    <t>Rwanda</t>
  </si>
  <si>
    <t>Saudi Arabia</t>
  </si>
  <si>
    <t>Senegal</t>
  </si>
  <si>
    <t>Serbia</t>
  </si>
  <si>
    <t>Sharjah</t>
  </si>
  <si>
    <t>Sierra Leone</t>
  </si>
  <si>
    <t>Singapore</t>
  </si>
  <si>
    <t>Slovakia</t>
  </si>
  <si>
    <t>Slovenia</t>
  </si>
  <si>
    <t>Solomon Islands</t>
  </si>
  <si>
    <t>Somalia</t>
  </si>
  <si>
    <t>South Africa</t>
  </si>
  <si>
    <t>Sri Lanka</t>
  </si>
  <si>
    <t>St. Maarten</t>
  </si>
  <si>
    <t>St. Vincent &amp; the Grenadines</t>
  </si>
  <si>
    <t>Sudan</t>
  </si>
  <si>
    <t>Suriname</t>
  </si>
  <si>
    <t>Swaziland</t>
  </si>
  <si>
    <t>Syria</t>
  </si>
  <si>
    <t>Taiwan</t>
  </si>
  <si>
    <t>Tajikistan</t>
  </si>
  <si>
    <t>Tanzania</t>
  </si>
  <si>
    <t>Thailand</t>
  </si>
  <si>
    <t>Togo</t>
  </si>
  <si>
    <t>Trinidad and Tobago</t>
  </si>
  <si>
    <t>Tunisia</t>
  </si>
  <si>
    <t>Turkey</t>
  </si>
  <si>
    <t>Turks and Caicos Islands</t>
  </si>
  <si>
    <t>Uganda</t>
  </si>
  <si>
    <t>Ukraine</t>
  </si>
  <si>
    <t>United Kingdom</t>
  </si>
  <si>
    <t>Uruguay</t>
  </si>
  <si>
    <t>Uzbekistan</t>
  </si>
  <si>
    <t>Venezuela</t>
  </si>
  <si>
    <t>Vietnam</t>
  </si>
  <si>
    <t>Yemen, Republic</t>
  </si>
  <si>
    <t>Zambia</t>
  </si>
  <si>
    <t>Zimbabwe</t>
  </si>
  <si>
    <t>Shares Oustanding</t>
  </si>
  <si>
    <t>(average oustanding shares- key figures report)</t>
  </si>
  <si>
    <t>Thousands</t>
  </si>
  <si>
    <t>% of total</t>
  </si>
  <si>
    <t>Bearer Shares</t>
  </si>
  <si>
    <t>Registered Shares</t>
  </si>
  <si>
    <t>Dividends per share</t>
  </si>
  <si>
    <t>(key figures report &amp; half-year report)</t>
  </si>
  <si>
    <t>CHF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</si>
</sst>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76" formatCode="_-&quot;$&quot;* #,##0.00_-;\-&quot;$&quot;* #,##0.00_-;_-&quot;$&quot;* &quot;-&quot;??_-;_-@_-"/>
    <numFmt numFmtId="177" formatCode="&quot;$&quot;#,##0.00"/>
    <numFmt numFmtId="178" formatCode="&quot;$&quot;#,##0.0"/>
    <numFmt numFmtId="179" formatCode="&quot;$&quot;#,##0"/>
    <numFmt numFmtId="180" formatCode="0.0%"/>
    <numFmt numFmtId="181" formatCode="0.0"/>
    <numFmt numFmtId="182" formatCode="#,##0.0"/>
    <numFmt numFmtId="183" formatCode="[$$-409]#,##0.00_ ;\-[$$-409]#,##0.00\ "/>
    <numFmt numFmtId="184" formatCode="[$$-409]#,##0"/>
    <numFmt numFmtId="185" formatCode="_-[$$-409]* #,##0.00_ ;_-[$$-409]* \-#,##0.00\ ;_-[$$-409]* &quot;-&quot;??_ ;_-@_ "/>
    <numFmt numFmtId="186" formatCode="_([$$-409]* #,##0.00_);_([$$-409]* \(#,##0.00\);_([$$-409]* &quot;-&quot;??_);_(@_)"/>
    <numFmt numFmtId="187" formatCode="#,##0.0_);[Red]\(#,##0.0\)"/>
    <numFmt numFmtId="188" formatCode="_ * #,##0_)\ [$CHF-100C]_ ;_ * \(#,##0\)\ [$CHF-100C]_ ;_ * &quot;-&quot;_)\ [$CHF-100C]_ ;_ @_ "/>
    <numFmt numFmtId="189" formatCode="_-* #,##0.00\ [$CHF-100C]_-;\-* #,##0.00\ [$CHF-100C]_-;_-* &quot;-&quot;??\ [$CHF-100C]_-;_-@_-"/>
    <numFmt numFmtId="190" formatCode="_([$€-2]\ * #,##0.00_);_([$€-2]\ * \(#,##0.00\);_([$€-2]\ * &quot;-&quot;??_);_(@_)"/>
    <numFmt numFmtId="191" formatCode="_-* #,##0\ [$CHF-100C]_-;\-* #,##0\ [$CHF-100C]_-;_-* &quot;-&quot;\ [$CHF-100C]_-;_-@_-"/>
    <numFmt numFmtId="192" formatCode="_-* #,##0\ [$CHF-100C]_-;\-* #,##0\ [$CHF-100C]_-;_-* &quot;-&quot;??\ [$CHF-100C]_-;_-@_-"/>
    <numFmt numFmtId="193" formatCode="[$$-409]#,##0.00"/>
    <numFmt numFmtId="194" formatCode="[$$-1004]#,##0.00"/>
  </numFmts>
  <fonts count="9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7.5"/>
      <color theme="0"/>
      <name val="Arial"/>
      <family val="2"/>
    </font>
    <font>
      <b/>
      <sz val="16"/>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sz val="10"/>
      <color rgb="FFFFFFFF"/>
      <name val="Arial"/>
      <family val="2"/>
    </font>
    <font>
      <sz val="11"/>
      <name val="Calibri"/>
      <family val="2"/>
    </font>
    <font>
      <b/>
      <sz val="14"/>
      <color rgb="FF000000"/>
      <name val="Calibri"/>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0"/>
      <color theme="1"/>
      <name val="Calibri"/>
      <family val="2"/>
      <scheme val="minor"/>
    </font>
    <font>
      <i/>
      <sz val="10"/>
      <name val="Arial"/>
      <family val="2"/>
    </font>
    <font>
      <b/>
      <sz val="10"/>
      <color rgb="FF232A31"/>
      <name val="Arial"/>
      <family val="2"/>
    </font>
    <font>
      <b/>
      <sz val="10"/>
      <color theme="1" tint="0.249977111117893"/>
      <name val="Arial"/>
      <family val="2"/>
    </font>
    <font>
      <sz val="10"/>
      <color rgb="FF000000"/>
      <name val="Calibri"/>
      <family val="2"/>
    </font>
    <font>
      <i/>
      <sz val="9"/>
      <name val="Times"/>
      <family val="1"/>
      <charset val="1"/>
    </font>
    <font>
      <sz val="9"/>
      <name val="Times"/>
      <family val="1"/>
      <charset val="1"/>
    </font>
    <font>
      <sz val="9"/>
      <name val="Geneva"/>
      <charset val="1"/>
    </font>
    <font>
      <sz val="11"/>
      <color rgb="FF444444"/>
      <name val="Calibri"/>
      <family val="2"/>
      <charset val="1"/>
    </font>
    <font>
      <sz val="12"/>
      <color rgb="FF000000"/>
      <name val="Arial"/>
      <family val="2"/>
    </font>
    <font>
      <sz val="10"/>
      <color rgb="FF444444"/>
      <name val="Arial"/>
      <family val="2"/>
    </font>
    <font>
      <b/>
      <sz val="9"/>
      <color rgb="FF000000"/>
      <name val="Arial"/>
      <family val="2"/>
    </font>
    <font>
      <sz val="9"/>
      <color rgb="FF000000"/>
      <name val="Arial"/>
      <family val="2"/>
    </font>
    <font>
      <b/>
      <sz val="12"/>
      <color rgb="FF000000"/>
      <name val="Arial"/>
      <family val="2"/>
    </font>
    <font>
      <sz val="10"/>
      <color rgb="FFFFFF00"/>
      <name val="Arial"/>
      <family val="2"/>
    </font>
    <font>
      <sz val="11"/>
      <color rgb="FF000000"/>
      <name val="Arial"/>
      <family val="2"/>
    </font>
    <font>
      <sz val="10"/>
      <color rgb="FFC00000"/>
      <name val="Arial"/>
      <family val="2"/>
    </font>
    <font>
      <sz val="8"/>
      <name val="Arial"/>
      <family val="2"/>
    </font>
    <font>
      <b/>
      <sz val="11"/>
      <color theme="1"/>
      <name val="Arial"/>
      <family val="2"/>
    </font>
    <font>
      <b/>
      <sz val="10"/>
      <color theme="1"/>
      <name val="Arial"/>
      <family val="2"/>
    </font>
    <font>
      <b/>
      <sz val="8"/>
      <color rgb="FFFFFFFF"/>
      <name val="Arial"/>
      <family val="2"/>
    </font>
    <font>
      <b/>
      <sz val="10"/>
      <color rgb="FFFFFFFF"/>
      <name val="Arial"/>
      <family val="2"/>
    </font>
    <font>
      <sz val="9"/>
      <name val="Arial"/>
      <family val="2"/>
    </font>
    <font>
      <sz val="10"/>
      <color rgb="FFFF0000"/>
      <name val="Arial"/>
      <family val="2"/>
    </font>
    <font>
      <sz val="9"/>
      <color indexed="81"/>
      <name val="Tahoma"/>
      <family val="2"/>
    </font>
    <font>
      <b/>
      <sz val="9"/>
      <color indexed="81"/>
      <name val="Tahoma"/>
      <family val="2"/>
    </font>
  </fonts>
  <fills count="61">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theme="2"/>
        <bgColor indexed="64"/>
      </patternFill>
    </fill>
    <fill>
      <patternFill patternType="solid">
        <fgColor rgb="FF808080"/>
        <bgColor indexed="64"/>
      </patternFill>
    </fill>
    <fill>
      <patternFill patternType="solid">
        <fgColor rgb="FFE7E6E6"/>
        <bgColor indexed="64"/>
      </patternFill>
    </fill>
    <fill>
      <patternFill patternType="solid">
        <fgColor theme="4" tint="0.59999389629810485"/>
        <bgColor indexed="64"/>
      </patternFill>
    </fill>
    <fill>
      <patternFill patternType="solid">
        <fgColor rgb="FF63CB97"/>
        <bgColor indexed="64"/>
      </patternFill>
    </fill>
    <fill>
      <patternFill patternType="solid">
        <fgColor rgb="FF8BF7E9"/>
        <bgColor indexed="64"/>
      </patternFill>
    </fill>
    <fill>
      <patternFill patternType="solid">
        <fgColor theme="9" tint="0.59999389629810485"/>
        <bgColor indexed="64"/>
      </patternFill>
    </fill>
    <fill>
      <patternFill patternType="solid">
        <fgColor rgb="FF0070C0"/>
        <bgColor indexed="64"/>
      </patternFill>
    </fill>
    <fill>
      <patternFill patternType="solid">
        <fgColor theme="4"/>
        <bgColor indexed="64"/>
      </patternFill>
    </fill>
    <fill>
      <patternFill patternType="solid">
        <fgColor rgb="FF00B050"/>
        <bgColor rgb="FF000000"/>
      </patternFill>
    </fill>
    <fill>
      <patternFill patternType="solid">
        <fgColor rgb="FFFF0000"/>
        <bgColor rgb="FF000000"/>
      </patternFill>
    </fill>
    <fill>
      <patternFill patternType="solid">
        <fgColor rgb="FFFFEB84"/>
        <bgColor indexed="64"/>
      </patternFill>
    </fill>
    <fill>
      <patternFill patternType="solid">
        <fgColor rgb="FFFC8183"/>
        <bgColor indexed="64"/>
      </patternFill>
    </fill>
    <fill>
      <patternFill patternType="solid">
        <fgColor rgb="FFFCA978"/>
        <bgColor indexed="64"/>
      </patternFill>
    </fill>
    <fill>
      <patternFill patternType="solid">
        <fgColor rgb="FFE3FF66"/>
        <bgColor indexed="64"/>
      </patternFill>
    </fill>
    <fill>
      <patternFill patternType="solid">
        <fgColor rgb="FF90FF6E"/>
        <bgColor indexed="64"/>
      </patternFill>
    </fill>
    <fill>
      <patternFill patternType="solid">
        <fgColor theme="9"/>
        <bgColor indexed="64"/>
      </patternFill>
    </fill>
  </fills>
  <borders count="402">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style="thin">
        <color theme="0" tint="-0.249977111117893"/>
      </left>
      <right/>
      <top style="thin">
        <color theme="0" tint="-0.249977111117893"/>
      </top>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thin">
        <color theme="0" tint="-0.249977111117893"/>
      </left>
      <right style="thin">
        <color theme="0" tint="-0.249977111117893"/>
      </right>
      <top/>
      <bottom/>
      <diagonal/>
    </border>
    <border>
      <left style="medium">
        <color rgb="FF1F497D"/>
      </left>
      <right/>
      <top/>
      <bottom/>
      <diagonal/>
    </border>
    <border>
      <left/>
      <right style="medium">
        <color rgb="FF1F497D"/>
      </right>
      <top/>
      <bottom/>
      <diagonal/>
    </border>
    <border>
      <left style="medium">
        <color rgb="FF1F497D"/>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77111117893"/>
      </left>
      <right style="medium">
        <color theme="3"/>
      </right>
      <top style="thin">
        <color theme="0" tint="-0.249977111117893"/>
      </top>
      <bottom/>
      <diagonal/>
    </border>
    <border>
      <left style="thin">
        <color theme="0" tint="-0.249977111117893"/>
      </left>
      <right style="medium">
        <color theme="3"/>
      </right>
      <top/>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theme="3"/>
      </left>
      <right style="medium">
        <color theme="3"/>
      </right>
      <top style="medium">
        <color theme="3"/>
      </top>
      <bottom style="medium">
        <color theme="3"/>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style="medium">
        <color rgb="FF1F497D"/>
      </left>
      <right/>
      <top/>
      <bottom style="medium">
        <color theme="0" tint="-0.24994659260841701"/>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right style="thin">
        <color theme="0" tint="-0.249977111117893"/>
      </right>
      <top style="thin">
        <color theme="0" tint="-0.24994659260841701"/>
      </top>
      <bottom style="thin">
        <color theme="0" tint="-0.24994659260841701"/>
      </bottom>
      <diagonal/>
    </border>
    <border>
      <left/>
      <right/>
      <top style="medium">
        <color rgb="FFE5EBF4"/>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style="thin">
        <color indexed="64"/>
      </top>
      <bottom/>
      <diagonal/>
    </border>
    <border>
      <left/>
      <right style="thin">
        <color rgb="FF000000"/>
      </right>
      <top/>
      <bottom style="thin">
        <color indexed="64"/>
      </bottom>
      <diagonal/>
    </border>
    <border>
      <left style="thin">
        <color theme="0" tint="-0.24994659260841701"/>
      </left>
      <right style="medium">
        <color theme="3"/>
      </right>
      <top/>
      <bottom/>
      <diagonal/>
    </border>
    <border>
      <left style="medium">
        <color rgb="FF1F497D"/>
      </left>
      <right style="thin">
        <color theme="0" tint="-0.24994659260841701"/>
      </right>
      <top style="thin">
        <color theme="0" tint="-0.24994659260841701"/>
      </top>
      <bottom/>
      <diagonal/>
    </border>
    <border>
      <left style="medium">
        <color theme="1" tint="0.24994659260841701"/>
      </left>
      <right style="medium">
        <color theme="1" tint="0.24994659260841701"/>
      </right>
      <top style="medium">
        <color theme="1" tint="0.24994659260841701"/>
      </top>
      <bottom/>
      <diagonal/>
    </border>
    <border>
      <left style="medium">
        <color theme="1" tint="0.24994659260841701"/>
      </left>
      <right style="medium">
        <color theme="1" tint="0.24994659260841701"/>
      </right>
      <top/>
      <bottom style="medium">
        <color theme="1" tint="0.24994659260841701"/>
      </bottom>
      <diagonal/>
    </border>
    <border>
      <left/>
      <right style="medium">
        <color theme="1" tint="0.24994659260841701"/>
      </right>
      <top/>
      <bottom style="medium">
        <color theme="1" tint="0.24994659260841701"/>
      </bottom>
      <diagonal/>
    </border>
    <border>
      <left/>
      <right/>
      <top style="medium">
        <color rgb="FF000000"/>
      </top>
      <bottom/>
      <diagonal/>
    </border>
    <border>
      <left style="thin">
        <color rgb="FF000000"/>
      </left>
      <right style="thin">
        <color rgb="FF000000"/>
      </right>
      <top style="thin">
        <color rgb="FF000000"/>
      </top>
      <bottom style="medium">
        <color rgb="FF000000"/>
      </bottom>
      <diagonal/>
    </border>
    <border>
      <left style="thin">
        <color indexed="64"/>
      </left>
      <right style="thin">
        <color indexed="64"/>
      </right>
      <top style="thin">
        <color indexed="64"/>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diagonal/>
    </border>
    <border>
      <left/>
      <right style="thin">
        <color rgb="FF000000"/>
      </right>
      <top style="medium">
        <color rgb="FF000000"/>
      </top>
      <bottom/>
      <diagonal/>
    </border>
    <border>
      <left style="medium">
        <color rgb="FF000000"/>
      </left>
      <right/>
      <top style="medium">
        <color rgb="FF000000"/>
      </top>
      <bottom style="thin">
        <color indexed="64"/>
      </bottom>
      <diagonal/>
    </border>
    <border>
      <left style="medium">
        <color rgb="FF000000"/>
      </left>
      <right/>
      <top style="thin">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medium">
        <color rgb="FF000000"/>
      </right>
      <top style="thin">
        <color rgb="FF000000"/>
      </top>
      <bottom/>
      <diagonal/>
    </border>
    <border>
      <left/>
      <right/>
      <top style="medium">
        <color rgb="FF1F497D"/>
      </top>
      <bottom style="thin">
        <color theme="0" tint="-0.24994659260841701"/>
      </bottom>
      <diagonal/>
    </border>
    <border>
      <left style="medium">
        <color theme="3" tint="-0.249977111117893"/>
      </left>
      <right/>
      <top style="medium">
        <color theme="3" tint="-0.249977111117893"/>
      </top>
      <bottom style="medium">
        <color theme="3" tint="-0.249977111117893"/>
      </bottom>
      <diagonal/>
    </border>
    <border>
      <left/>
      <right/>
      <top style="medium">
        <color theme="3" tint="-0.249977111117893"/>
      </top>
      <bottom style="medium">
        <color theme="3" tint="-0.249977111117893"/>
      </bottom>
      <diagonal/>
    </border>
    <border>
      <left/>
      <right style="medium">
        <color theme="3" tint="-0.249977111117893"/>
      </right>
      <top style="medium">
        <color theme="3" tint="-0.249977111117893"/>
      </top>
      <bottom style="medium">
        <color theme="3" tint="-0.249977111117893"/>
      </bottom>
      <diagonal/>
    </border>
    <border>
      <left/>
      <right style="medium">
        <color rgb="FF1F497D"/>
      </right>
      <top style="thin">
        <color theme="0" tint="-0.24994659260841701"/>
      </top>
      <bottom/>
      <diagonal/>
    </border>
    <border>
      <left style="medium">
        <color theme="3" tint="-0.249977111117893"/>
      </left>
      <right/>
      <top style="medium">
        <color rgb="FF1F497D"/>
      </top>
      <bottom style="thin">
        <color theme="0" tint="-0.24994659260841701"/>
      </bottom>
      <diagonal/>
    </border>
    <border>
      <left style="medium">
        <color rgb="FF1F497D"/>
      </left>
      <right style="medium">
        <color theme="3" tint="-0.249977111117893"/>
      </right>
      <top style="medium">
        <color rgb="FF1F497D"/>
      </top>
      <bottom style="thin">
        <color theme="0" tint="-0.24994659260841701"/>
      </bottom>
      <diagonal/>
    </border>
    <border>
      <left style="medium">
        <color theme="3" tint="-0.249977111117893"/>
      </left>
      <right/>
      <top style="thin">
        <color theme="0" tint="-0.24994659260841701"/>
      </top>
      <bottom style="thin">
        <color theme="0" tint="-0.24994659260841701"/>
      </bottom>
      <diagonal/>
    </border>
    <border>
      <left style="medium">
        <color rgb="FF1F497D"/>
      </left>
      <right style="medium">
        <color theme="3" tint="-0.249977111117893"/>
      </right>
      <top style="thin">
        <color theme="0" tint="-0.24994659260841701"/>
      </top>
      <bottom style="thin">
        <color theme="0" tint="-0.24994659260841701"/>
      </bottom>
      <diagonal/>
    </border>
    <border>
      <left style="medium">
        <color theme="3" tint="-0.249977111117893"/>
      </left>
      <right/>
      <top style="medium">
        <color rgb="FF1F497D"/>
      </top>
      <bottom style="medium">
        <color theme="3" tint="-0.249977111117893"/>
      </bottom>
      <diagonal/>
    </border>
    <border>
      <left/>
      <right/>
      <top style="medium">
        <color rgb="FF1F497D"/>
      </top>
      <bottom style="medium">
        <color theme="3" tint="-0.249977111117893"/>
      </bottom>
      <diagonal/>
    </border>
    <border>
      <left/>
      <right style="medium">
        <color theme="3" tint="-0.249977111117893"/>
      </right>
      <top style="medium">
        <color rgb="FF1F497D"/>
      </top>
      <bottom style="medium">
        <color theme="3" tint="-0.249977111117893"/>
      </bottom>
      <diagonal/>
    </border>
    <border>
      <left style="medium">
        <color theme="3" tint="-0.249977111117893"/>
      </left>
      <right style="medium">
        <color theme="3"/>
      </right>
      <top/>
      <bottom/>
      <diagonal/>
    </border>
    <border>
      <left style="medium">
        <color theme="3"/>
      </left>
      <right style="medium">
        <color theme="3"/>
      </right>
      <top/>
      <bottom/>
      <diagonal/>
    </border>
    <border>
      <left style="medium">
        <color theme="3"/>
      </left>
      <right style="medium">
        <color theme="3" tint="-0.249977111117893"/>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theme="3" tint="-0.249977111117893"/>
      </left>
      <right/>
      <top/>
      <bottom style="medium">
        <color theme="3" tint="-0.249977111117893"/>
      </bottom>
      <diagonal/>
    </border>
    <border>
      <left/>
      <right/>
      <top/>
      <bottom style="medium">
        <color theme="3" tint="-0.249977111117893"/>
      </bottom>
      <diagonal/>
    </border>
    <border>
      <left/>
      <right style="medium">
        <color theme="3" tint="-0.249977111117893"/>
      </right>
      <top/>
      <bottom style="medium">
        <color theme="3" tint="-0.249977111117893"/>
      </bottom>
      <diagonal/>
    </border>
    <border>
      <left style="medium">
        <color rgb="FF002060"/>
      </left>
      <right/>
      <top style="medium">
        <color rgb="FF002060"/>
      </top>
      <bottom/>
      <diagonal/>
    </border>
    <border>
      <left/>
      <right/>
      <top style="medium">
        <color rgb="FF002060"/>
      </top>
      <bottom/>
      <diagonal/>
    </border>
    <border>
      <left/>
      <right style="medium">
        <color rgb="FF002060"/>
      </right>
      <top style="medium">
        <color rgb="FF002060"/>
      </top>
      <bottom/>
      <diagonal/>
    </border>
    <border>
      <left style="medium">
        <color rgb="FF002060"/>
      </left>
      <right/>
      <top/>
      <bottom/>
      <diagonal/>
    </border>
    <border>
      <left/>
      <right style="medium">
        <color rgb="FF002060"/>
      </right>
      <top/>
      <bottom/>
      <diagonal/>
    </border>
    <border>
      <left style="medium">
        <color rgb="FF002060"/>
      </left>
      <right/>
      <top/>
      <bottom style="medium">
        <color rgb="FF002060"/>
      </bottom>
      <diagonal/>
    </border>
    <border>
      <left/>
      <right/>
      <top/>
      <bottom style="medium">
        <color rgb="FF002060"/>
      </bottom>
      <diagonal/>
    </border>
    <border>
      <left/>
      <right style="medium">
        <color rgb="FF002060"/>
      </right>
      <top/>
      <bottom style="medium">
        <color rgb="FF002060"/>
      </bottom>
      <diagonal/>
    </border>
    <border>
      <left style="medium">
        <color rgb="FF000000"/>
      </left>
      <right style="thin">
        <color rgb="FF000000"/>
      </right>
      <top/>
      <bottom style="medium">
        <color rgb="FF000000"/>
      </bottom>
      <diagonal/>
    </border>
    <border>
      <left style="medium">
        <color indexed="64"/>
      </left>
      <right style="thin">
        <color indexed="64"/>
      </right>
      <top style="medium">
        <color indexed="64"/>
      </top>
      <bottom/>
      <diagonal/>
    </border>
    <border>
      <left/>
      <right/>
      <top style="medium">
        <color rgb="FF000000"/>
      </top>
      <bottom style="thin">
        <color indexed="64"/>
      </bottom>
      <diagonal/>
    </border>
    <border>
      <left style="medium">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right style="thin">
        <color rgb="FF000000"/>
      </right>
      <top/>
      <bottom style="medium">
        <color rgb="FF000000"/>
      </bottom>
      <diagonal/>
    </border>
    <border>
      <left/>
      <right style="thin">
        <color rgb="FF002060"/>
      </right>
      <top style="medium">
        <color rgb="FF000000"/>
      </top>
      <bottom style="medium">
        <color rgb="FF000000"/>
      </bottom>
      <diagonal/>
    </border>
    <border>
      <left style="thin">
        <color rgb="FF002060"/>
      </left>
      <right style="thin">
        <color rgb="FF002060"/>
      </right>
      <top style="medium">
        <color rgb="FF000000"/>
      </top>
      <bottom style="medium">
        <color rgb="FF000000"/>
      </bottom>
      <diagonal/>
    </border>
    <border>
      <left style="thin">
        <color rgb="FF002060"/>
      </left>
      <right style="medium">
        <color rgb="FF000000"/>
      </right>
      <top style="medium">
        <color rgb="FF000000"/>
      </top>
      <bottom style="medium">
        <color rgb="FF000000"/>
      </bottom>
      <diagonal/>
    </border>
    <border>
      <left style="medium">
        <color rgb="FF000000"/>
      </left>
      <right style="thin">
        <color rgb="FF002060"/>
      </right>
      <top style="medium">
        <color rgb="FF000000"/>
      </top>
      <bottom style="medium">
        <color rgb="FF000000"/>
      </bottom>
      <diagonal/>
    </border>
    <border>
      <left style="medium">
        <color rgb="FF000000"/>
      </left>
      <right style="medium">
        <color rgb="FF000000"/>
      </right>
      <top style="medium">
        <color rgb="FF000000"/>
      </top>
      <bottom style="thin">
        <color rgb="FF002060"/>
      </bottom>
      <diagonal/>
    </border>
    <border>
      <left style="medium">
        <color rgb="FF000000"/>
      </left>
      <right style="medium">
        <color rgb="FF000000"/>
      </right>
      <top style="thin">
        <color rgb="FF002060"/>
      </top>
      <bottom style="thin">
        <color rgb="FF002060"/>
      </bottom>
      <diagonal/>
    </border>
    <border>
      <left style="medium">
        <color rgb="FF000000"/>
      </left>
      <right style="medium">
        <color rgb="FF000000"/>
      </right>
      <top style="thin">
        <color rgb="FF002060"/>
      </top>
      <bottom style="medium">
        <color rgb="FF000000"/>
      </bottom>
      <diagonal/>
    </border>
    <border>
      <left style="medium">
        <color rgb="FF000000"/>
      </left>
      <right/>
      <top style="medium">
        <color rgb="FF000000"/>
      </top>
      <bottom style="thin">
        <color rgb="FF002060"/>
      </bottom>
      <diagonal/>
    </border>
    <border>
      <left style="medium">
        <color rgb="FF000000"/>
      </left>
      <right/>
      <top style="thin">
        <color rgb="FF002060"/>
      </top>
      <bottom style="thin">
        <color rgb="FF002060"/>
      </bottom>
      <diagonal/>
    </border>
    <border>
      <left style="medium">
        <color rgb="FF000000"/>
      </left>
      <right/>
      <top style="thin">
        <color rgb="FF002060"/>
      </top>
      <bottom style="medium">
        <color rgb="FF000000"/>
      </bottom>
      <diagonal/>
    </border>
    <border>
      <left style="medium">
        <color rgb="FF000000"/>
      </left>
      <right style="medium">
        <color rgb="FF000000"/>
      </right>
      <top style="thin">
        <color rgb="FF000000"/>
      </top>
      <bottom/>
      <diagonal/>
    </border>
    <border>
      <left/>
      <right style="medium">
        <color rgb="FF000000"/>
      </right>
      <top style="thin">
        <color rgb="FF000000"/>
      </top>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bottom/>
      <diagonal/>
    </border>
    <border>
      <left/>
      <right/>
      <top/>
      <bottom style="thin">
        <color rgb="FF000000"/>
      </bottom>
      <diagonal/>
    </border>
    <border>
      <left/>
      <right/>
      <top style="thin">
        <color indexed="64"/>
      </top>
      <bottom style="medium">
        <color rgb="FF000000"/>
      </bottom>
      <diagonal/>
    </border>
    <border>
      <left style="medium">
        <color rgb="FF000000"/>
      </left>
      <right style="medium">
        <color indexed="64"/>
      </right>
      <top/>
      <bottom style="medium">
        <color rgb="FF000000"/>
      </bottom>
      <diagonal/>
    </border>
    <border>
      <left style="medium">
        <color rgb="FF000000"/>
      </left>
      <right style="medium">
        <color indexed="64"/>
      </right>
      <top/>
      <bottom/>
      <diagonal/>
    </border>
    <border>
      <left style="medium">
        <color rgb="FF000000"/>
      </left>
      <right style="medium">
        <color indexed="64"/>
      </right>
      <top style="medium">
        <color rgb="FF000000"/>
      </top>
      <bottom/>
      <diagonal/>
    </border>
    <border>
      <left style="medium">
        <color auto="1"/>
      </left>
      <right style="medium">
        <color auto="1"/>
      </right>
      <top style="medium">
        <color auto="1"/>
      </top>
      <bottom style="medium">
        <color auto="1"/>
      </bottom>
      <diagonal/>
    </border>
    <border>
      <left style="medium">
        <color theme="3"/>
      </left>
      <right style="thin">
        <color theme="0" tint="-0.249977111117893"/>
      </right>
      <top style="thin">
        <color theme="0" tint="-0.249977111117893"/>
      </top>
      <bottom/>
      <diagonal/>
    </border>
    <border>
      <left/>
      <right style="thin">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thin">
        <color rgb="FF000000"/>
      </left>
      <right/>
      <top style="medium">
        <color rgb="FF000000"/>
      </top>
      <bottom style="medium">
        <color rgb="FF000000"/>
      </bottom>
      <diagonal/>
    </border>
    <border>
      <left/>
      <right style="medium">
        <color rgb="FF000000"/>
      </right>
      <top/>
      <bottom style="thin">
        <color rgb="FF000000"/>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rgb="FF000000"/>
      </left>
      <right style="medium">
        <color auto="1"/>
      </right>
      <top style="medium">
        <color rgb="FF000000"/>
      </top>
      <bottom style="medium">
        <color auto="1"/>
      </bottom>
      <diagonal/>
    </border>
    <border>
      <left style="medium">
        <color auto="1"/>
      </left>
      <right style="medium">
        <color auto="1"/>
      </right>
      <top style="medium">
        <color rgb="FF000000"/>
      </top>
      <bottom style="medium">
        <color auto="1"/>
      </bottom>
      <diagonal/>
    </border>
    <border>
      <left style="medium">
        <color auto="1"/>
      </left>
      <right style="medium">
        <color rgb="FF000000"/>
      </right>
      <top style="medium">
        <color rgb="FF000000"/>
      </top>
      <bottom style="medium">
        <color auto="1"/>
      </bottom>
      <diagonal/>
    </border>
    <border>
      <left style="medium">
        <color rgb="FF000000"/>
      </left>
      <right style="medium">
        <color auto="1"/>
      </right>
      <top style="medium">
        <color auto="1"/>
      </top>
      <bottom style="medium">
        <color auto="1"/>
      </bottom>
      <diagonal/>
    </border>
    <border>
      <left style="medium">
        <color auto="1"/>
      </left>
      <right style="medium">
        <color rgb="FF000000"/>
      </right>
      <top style="medium">
        <color auto="1"/>
      </top>
      <bottom style="medium">
        <color auto="1"/>
      </bottom>
      <diagonal/>
    </border>
    <border>
      <left style="medium">
        <color rgb="FF000000"/>
      </left>
      <right style="medium">
        <color indexed="64"/>
      </right>
      <top style="medium">
        <color indexed="64"/>
      </top>
      <bottom/>
      <diagonal/>
    </border>
    <border>
      <left style="medium">
        <color auto="1"/>
      </left>
      <right style="medium">
        <color rgb="FF000000"/>
      </right>
      <top style="medium">
        <color auto="1"/>
      </top>
      <bottom/>
      <diagonal/>
    </border>
    <border>
      <left style="thin">
        <color theme="0" tint="-0.24994659260841701"/>
      </left>
      <right style="thin">
        <color theme="0" tint="-0.24994659260841701"/>
      </right>
      <top/>
      <bottom/>
      <diagonal/>
    </border>
    <border>
      <left style="medium">
        <color theme="1"/>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top/>
      <bottom style="thin">
        <color indexed="64"/>
      </bottom>
      <diagonal/>
    </border>
    <border>
      <left style="thin">
        <color rgb="FF000000"/>
      </left>
      <right style="medium">
        <color indexed="64"/>
      </right>
      <top style="thin">
        <color rgb="FF000000"/>
      </top>
      <bottom style="thin">
        <color rgb="FF000000"/>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medium">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rgb="FF000000"/>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rgb="FF000000"/>
      </left>
      <right style="medium">
        <color rgb="FF000000"/>
      </right>
      <top style="medium">
        <color rgb="FF000000"/>
      </top>
      <bottom style="thin">
        <color indexed="64"/>
      </bottom>
      <diagonal/>
    </border>
    <border>
      <left style="medium">
        <color rgb="FF000000"/>
      </left>
      <right style="medium">
        <color rgb="FF000000"/>
      </right>
      <top style="thin">
        <color indexed="64"/>
      </top>
      <bottom style="thin">
        <color indexed="64"/>
      </bottom>
      <diagonal/>
    </border>
    <border>
      <left style="medium">
        <color rgb="FF000000"/>
      </left>
      <right style="medium">
        <color rgb="FF000000"/>
      </right>
      <top style="thin">
        <color indexed="64"/>
      </top>
      <bottom style="medium">
        <color rgb="FF000000"/>
      </bottom>
      <diagonal/>
    </border>
    <border>
      <left style="thin">
        <color rgb="FF000000"/>
      </left>
      <right style="medium">
        <color rgb="FF000000"/>
      </right>
      <top style="medium">
        <color indexed="64"/>
      </top>
      <bottom style="medium">
        <color indexed="64"/>
      </bottom>
      <diagonal/>
    </border>
    <border>
      <left style="medium">
        <color rgb="FF000000"/>
      </left>
      <right style="thin">
        <color rgb="FF000000"/>
      </right>
      <top style="medium">
        <color indexed="64"/>
      </top>
      <bottom style="medium">
        <color rgb="FF000000"/>
      </bottom>
      <diagonal/>
    </border>
    <border>
      <left style="thin">
        <color rgb="FF000000"/>
      </left>
      <right style="thin">
        <color rgb="FF000000"/>
      </right>
      <top style="medium">
        <color indexed="64"/>
      </top>
      <bottom style="medium">
        <color rgb="FF000000"/>
      </bottom>
      <diagonal/>
    </border>
    <border>
      <left style="thin">
        <color rgb="FF000000"/>
      </left>
      <right style="medium">
        <color rgb="FF000000"/>
      </right>
      <top style="medium">
        <color indexed="64"/>
      </top>
      <bottom style="medium">
        <color rgb="FF000000"/>
      </bottom>
      <diagonal/>
    </border>
    <border>
      <left style="thin">
        <color indexed="64"/>
      </left>
      <right/>
      <top style="medium">
        <color indexed="64"/>
      </top>
      <bottom style="medium">
        <color indexed="64"/>
      </bottom>
      <diagonal/>
    </border>
    <border>
      <left style="medium">
        <color rgb="FF000000"/>
      </left>
      <right style="medium">
        <color rgb="FF000000"/>
      </right>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rgb="FF1F497D"/>
      </right>
      <top/>
      <bottom style="medium">
        <color theme="0" tint="-0.24994659260841701"/>
      </bottom>
      <diagonal/>
    </border>
    <border>
      <left style="medium">
        <color theme="3" tint="-0.249977111117893"/>
      </left>
      <right/>
      <top style="medium">
        <color theme="3" tint="-0.249977111117893"/>
      </top>
      <bottom/>
      <diagonal/>
    </border>
    <border>
      <left/>
      <right/>
      <top style="medium">
        <color theme="3" tint="-0.249977111117893"/>
      </top>
      <bottom/>
      <diagonal/>
    </border>
    <border>
      <left style="medium">
        <color theme="3" tint="-0.249977111117893"/>
      </left>
      <right style="medium">
        <color theme="3" tint="-0.249977111117893"/>
      </right>
      <top style="medium">
        <color theme="3" tint="-0.249977111117893"/>
      </top>
      <bottom style="medium">
        <color theme="3" tint="-0.249977111117893"/>
      </bottom>
      <diagonal/>
    </border>
    <border>
      <left style="thin">
        <color theme="3" tint="-0.249977111117893"/>
      </left>
      <right style="thin">
        <color theme="3" tint="-0.249977111117893"/>
      </right>
      <top/>
      <bottom style="thin">
        <color theme="3" tint="-0.249977111117893"/>
      </bottom>
      <diagonal/>
    </border>
    <border>
      <left style="thin">
        <color theme="3" tint="-0.249977111117893"/>
      </left>
      <right style="medium">
        <color theme="3" tint="-0.249977111117893"/>
      </right>
      <top/>
      <bottom style="thin">
        <color theme="3" tint="-0.249977111117893"/>
      </bottom>
      <diagonal/>
    </border>
    <border>
      <left style="thin">
        <color theme="3" tint="-0.249977111117893"/>
      </left>
      <right style="thin">
        <color theme="3" tint="-0.249977111117893"/>
      </right>
      <top style="thin">
        <color theme="3" tint="-0.249977111117893"/>
      </top>
      <bottom style="medium">
        <color theme="3" tint="-0.249977111117893"/>
      </bottom>
      <diagonal/>
    </border>
    <border>
      <left style="thin">
        <color theme="3" tint="-0.249977111117893"/>
      </left>
      <right style="thin">
        <color theme="3" tint="-0.249977111117893"/>
      </right>
      <top style="thin">
        <color theme="3" tint="-0.249977111117893"/>
      </top>
      <bottom style="thin">
        <color theme="3" tint="-0.249977111117893"/>
      </bottom>
      <diagonal/>
    </border>
    <border>
      <left/>
      <right style="thin">
        <color theme="3" tint="-0.249977111117893"/>
      </right>
      <top/>
      <bottom style="thin">
        <color theme="3" tint="-0.249977111117893"/>
      </bottom>
      <diagonal/>
    </border>
    <border>
      <left style="medium">
        <color theme="3" tint="-0.249977111117893"/>
      </left>
      <right/>
      <top style="medium">
        <color theme="3" tint="-0.249977111117893"/>
      </top>
      <bottom style="thin">
        <color theme="3" tint="-0.249977111117893"/>
      </bottom>
      <diagonal/>
    </border>
    <border>
      <left/>
      <right style="medium">
        <color theme="3" tint="-0.249977111117893"/>
      </right>
      <top style="medium">
        <color theme="3" tint="-0.249977111117893"/>
      </top>
      <bottom style="thin">
        <color theme="3" tint="-0.249977111117893"/>
      </bottom>
      <diagonal/>
    </border>
    <border>
      <left/>
      <right style="thin">
        <color theme="3" tint="-0.249977111117893"/>
      </right>
      <top/>
      <bottom style="medium">
        <color theme="3" tint="-0.249977111117893"/>
      </bottom>
      <diagonal/>
    </border>
    <border>
      <left style="thin">
        <color theme="3" tint="-0.249977111117893"/>
      </left>
      <right style="thin">
        <color theme="3" tint="-0.249977111117893"/>
      </right>
      <top/>
      <bottom style="medium">
        <color theme="3" tint="-0.249977111117893"/>
      </bottom>
      <diagonal/>
    </border>
    <border>
      <left style="thin">
        <color theme="3" tint="-0.249977111117893"/>
      </left>
      <right style="medium">
        <color theme="3" tint="-0.249977111117893"/>
      </right>
      <top/>
      <bottom/>
      <diagonal/>
    </border>
    <border>
      <left style="medium">
        <color rgb="FF1F497D"/>
      </left>
      <right style="thin">
        <color theme="3" tint="-0.249977111117893"/>
      </right>
      <top style="thin">
        <color theme="0" tint="-0.24994659260841701"/>
      </top>
      <bottom style="thin">
        <color theme="3" tint="-0.249977111117893"/>
      </bottom>
      <diagonal/>
    </border>
    <border>
      <left style="thin">
        <color theme="3" tint="-0.249977111117893"/>
      </left>
      <right style="thin">
        <color theme="3" tint="-0.249977111117893"/>
      </right>
      <top style="thin">
        <color theme="0" tint="-0.24994659260841701"/>
      </top>
      <bottom style="thin">
        <color theme="3" tint="-0.249977111117893"/>
      </bottom>
      <diagonal/>
    </border>
    <border>
      <left style="thin">
        <color theme="3" tint="-0.249977111117893"/>
      </left>
      <right style="medium">
        <color theme="3"/>
      </right>
      <top style="thin">
        <color theme="0" tint="-0.24994659260841701"/>
      </top>
      <bottom style="thin">
        <color theme="3" tint="-0.249977111117893"/>
      </bottom>
      <diagonal/>
    </border>
    <border>
      <left style="medium">
        <color rgb="FF1F497D"/>
      </left>
      <right style="thin">
        <color theme="3" tint="-0.249977111117893"/>
      </right>
      <top style="thin">
        <color theme="3" tint="-0.249977111117893"/>
      </top>
      <bottom style="thin">
        <color theme="3" tint="-0.249977111117893"/>
      </bottom>
      <diagonal/>
    </border>
    <border>
      <left style="thin">
        <color theme="3" tint="-0.249977111117893"/>
      </left>
      <right style="medium">
        <color theme="3"/>
      </right>
      <top style="thin">
        <color theme="3" tint="-0.249977111117893"/>
      </top>
      <bottom style="thin">
        <color theme="3" tint="-0.249977111117893"/>
      </bottom>
      <diagonal/>
    </border>
    <border>
      <left style="thin">
        <color theme="0" tint="-0.249977111117893"/>
      </left>
      <right style="thin">
        <color theme="3" tint="-0.249977111117893"/>
      </right>
      <top style="thin">
        <color theme="3" tint="-0.249977111117893"/>
      </top>
      <bottom style="thin">
        <color theme="3" tint="-0.249977111117893"/>
      </bottom>
      <diagonal/>
    </border>
    <border>
      <left style="thin">
        <color theme="3" tint="-0.249977111117893"/>
      </left>
      <right style="medium">
        <color theme="3" tint="-0.249977111117893"/>
      </right>
      <top style="thin">
        <color theme="3" tint="-0.249977111117893"/>
      </top>
      <bottom style="thin">
        <color theme="3" tint="-0.249977111117893"/>
      </bottom>
      <diagonal/>
    </border>
    <border>
      <left/>
      <right style="thin">
        <color theme="3" tint="-0.249977111117893"/>
      </right>
      <top style="thin">
        <color theme="3" tint="-0.249977111117893"/>
      </top>
      <bottom style="thin">
        <color theme="3" tint="-0.249977111117893"/>
      </bottom>
      <diagonal/>
    </border>
    <border>
      <left/>
      <right style="thin">
        <color theme="3" tint="-0.249977111117893"/>
      </right>
      <top style="thin">
        <color theme="3" tint="-0.249977111117893"/>
      </top>
      <bottom style="thin">
        <color theme="0" tint="-0.24994659260841701"/>
      </bottom>
      <diagonal/>
    </border>
    <border>
      <left style="thin">
        <color theme="3" tint="-0.249977111117893"/>
      </left>
      <right style="thin">
        <color theme="3" tint="-0.249977111117893"/>
      </right>
      <top style="thin">
        <color theme="3" tint="-0.249977111117893"/>
      </top>
      <bottom style="thin">
        <color theme="0" tint="-0.24994659260841701"/>
      </bottom>
      <diagonal/>
    </border>
    <border>
      <left style="thin">
        <color theme="3" tint="-0.249977111117893"/>
      </left>
      <right style="thin">
        <color theme="3" tint="-0.249977111117893"/>
      </right>
      <top style="thin">
        <color theme="3" tint="-0.249977111117893"/>
      </top>
      <bottom/>
      <diagonal/>
    </border>
    <border>
      <left style="thin">
        <color theme="3" tint="-0.249977111117893"/>
      </left>
      <right style="medium">
        <color theme="3" tint="-0.249977111117893"/>
      </right>
      <top style="thin">
        <color theme="3" tint="-0.249977111117893"/>
      </top>
      <bottom style="medium">
        <color theme="3" tint="-0.249977111117893"/>
      </bottom>
      <diagonal/>
    </border>
    <border>
      <left style="medium">
        <color rgb="FF1F497D"/>
      </left>
      <right/>
      <top style="medium">
        <color rgb="FF1F497D"/>
      </top>
      <bottom style="thin">
        <color rgb="FF1F497D"/>
      </bottom>
      <diagonal/>
    </border>
    <border>
      <left/>
      <right/>
      <top style="medium">
        <color rgb="FF1F497D"/>
      </top>
      <bottom style="thin">
        <color rgb="FF1F497D"/>
      </bottom>
      <diagonal/>
    </border>
    <border>
      <left/>
      <right style="thin">
        <color rgb="FF1F497D"/>
      </right>
      <top style="medium">
        <color rgb="FF1F497D"/>
      </top>
      <bottom style="thin">
        <color rgb="FF1F497D"/>
      </bottom>
      <diagonal/>
    </border>
    <border>
      <left style="medium">
        <color rgb="FF1F497D"/>
      </left>
      <right style="thin">
        <color rgb="FF1F497D"/>
      </right>
      <top style="thin">
        <color rgb="FF1F497D"/>
      </top>
      <bottom/>
      <diagonal/>
    </border>
    <border>
      <left style="medium">
        <color rgb="FF1F497D"/>
      </left>
      <right style="thin">
        <color rgb="FF1F497D"/>
      </right>
      <top/>
      <bottom style="thin">
        <color rgb="FF1F497D"/>
      </bottom>
      <diagonal/>
    </border>
    <border>
      <left style="thin">
        <color rgb="FF1F497D"/>
      </left>
      <right/>
      <top style="thin">
        <color rgb="FF1F497D"/>
      </top>
      <bottom/>
      <diagonal/>
    </border>
    <border>
      <left/>
      <right style="thin">
        <color rgb="FF1F497D"/>
      </right>
      <top style="thin">
        <color rgb="FF1F497D"/>
      </top>
      <bottom/>
      <diagonal/>
    </border>
    <border>
      <left style="thin">
        <color rgb="FF1F497D"/>
      </left>
      <right/>
      <top/>
      <bottom style="thin">
        <color rgb="FF1F497D"/>
      </bottom>
      <diagonal/>
    </border>
    <border>
      <left/>
      <right style="thin">
        <color rgb="FF1F497D"/>
      </right>
      <top/>
      <bottom style="thin">
        <color rgb="FF1F497D"/>
      </bottom>
      <diagonal/>
    </border>
    <border>
      <left style="medium">
        <color theme="3"/>
      </left>
      <right/>
      <top style="medium">
        <color theme="3"/>
      </top>
      <bottom/>
      <diagonal/>
    </border>
    <border>
      <left style="medium">
        <color rgb="FF1F497D"/>
      </left>
      <right/>
      <top style="medium">
        <color theme="3"/>
      </top>
      <bottom style="medium">
        <color rgb="FF1F497D"/>
      </bottom>
      <diagonal/>
    </border>
    <border>
      <left/>
      <right/>
      <top style="medium">
        <color theme="3"/>
      </top>
      <bottom style="medium">
        <color rgb="FF1F497D"/>
      </bottom>
      <diagonal/>
    </border>
    <border>
      <left/>
      <right style="medium">
        <color rgb="FF1F497D"/>
      </right>
      <top style="medium">
        <color theme="3"/>
      </top>
      <bottom style="medium">
        <color rgb="FF1F497D"/>
      </bottom>
      <diagonal/>
    </border>
    <border>
      <left/>
      <right style="medium">
        <color theme="3"/>
      </right>
      <top style="medium">
        <color theme="3"/>
      </top>
      <bottom style="medium">
        <color rgb="FF1F497D"/>
      </bottom>
      <diagonal/>
    </border>
    <border>
      <left style="medium">
        <color theme="3"/>
      </left>
      <right/>
      <top style="medium">
        <color rgb="FF1F497D"/>
      </top>
      <bottom style="medium">
        <color rgb="FF1F497D"/>
      </bottom>
      <diagonal/>
    </border>
    <border>
      <left style="medium">
        <color theme="3"/>
      </left>
      <right/>
      <top/>
      <bottom style="medium">
        <color theme="0" tint="-0.24994659260841701"/>
      </bottom>
      <diagonal/>
    </border>
    <border>
      <left style="medium">
        <color theme="3"/>
      </left>
      <right/>
      <top style="medium">
        <color theme="0" tint="-0.24994659260841701"/>
      </top>
      <bottom/>
      <diagonal/>
    </border>
    <border>
      <left style="medium">
        <color theme="3"/>
      </left>
      <right/>
      <top style="medium">
        <color theme="0" tint="-0.24994659260841701"/>
      </top>
      <bottom style="medium">
        <color theme="0" tint="-0.24994659260841701"/>
      </bottom>
      <diagonal/>
    </border>
    <border>
      <left style="medium">
        <color theme="3"/>
      </left>
      <right/>
      <top style="medium">
        <color theme="0" tint="-0.24994659260841701"/>
      </top>
      <bottom style="medium">
        <color theme="3"/>
      </bottom>
      <diagonal/>
    </border>
    <border>
      <left/>
      <right/>
      <top style="medium">
        <color theme="0" tint="-0.24994659260841701"/>
      </top>
      <bottom style="medium">
        <color theme="3"/>
      </bottom>
      <diagonal/>
    </border>
    <border>
      <left/>
      <right/>
      <top/>
      <bottom style="medium">
        <color theme="3"/>
      </bottom>
      <diagonal/>
    </border>
    <border>
      <left style="medium">
        <color rgb="FF000000"/>
      </left>
      <right style="medium">
        <color rgb="FF000000"/>
      </right>
      <top/>
      <bottom style="thin">
        <color rgb="FF000000"/>
      </bottom>
      <diagonal/>
    </border>
    <border>
      <left style="thin">
        <color indexed="64"/>
      </left>
      <right style="thin">
        <color rgb="FF000000"/>
      </right>
      <top style="thin">
        <color indexed="64"/>
      </top>
      <bottom style="thin">
        <color indexed="64"/>
      </bottom>
      <diagonal/>
    </border>
    <border>
      <left style="medium">
        <color rgb="FF000000"/>
      </left>
      <right/>
      <top style="thin">
        <color rgb="FF000000"/>
      </top>
      <bottom/>
      <diagonal/>
    </border>
    <border>
      <left style="medium">
        <color theme="3"/>
      </left>
      <right style="medium">
        <color theme="3"/>
      </right>
      <top style="medium">
        <color theme="3"/>
      </top>
      <bottom style="medium">
        <color rgb="FFBFBFBF"/>
      </bottom>
      <diagonal/>
    </border>
    <border>
      <left style="medium">
        <color theme="3"/>
      </left>
      <right style="medium">
        <color theme="3"/>
      </right>
      <top/>
      <bottom style="medium">
        <color rgb="FFBFBFBF"/>
      </bottom>
      <diagonal/>
    </border>
    <border>
      <left style="medium">
        <color theme="3"/>
      </left>
      <right style="medium">
        <color theme="3"/>
      </right>
      <top style="medium">
        <color rgb="FF1F497D"/>
      </top>
      <bottom style="medium">
        <color rgb="FF1F497D"/>
      </bottom>
      <diagonal/>
    </border>
    <border>
      <left style="medium">
        <color theme="3"/>
      </left>
      <right style="medium">
        <color theme="3"/>
      </right>
      <top/>
      <bottom style="medium">
        <color theme="3"/>
      </bottom>
      <diagonal/>
    </border>
    <border>
      <left style="thin">
        <color rgb="FF000000"/>
      </left>
      <right/>
      <top style="medium">
        <color rgb="FF000000"/>
      </top>
      <bottom/>
      <diagonal/>
    </border>
    <border>
      <left/>
      <right style="medium">
        <color rgb="FF000000"/>
      </right>
      <top style="medium">
        <color rgb="FF000000"/>
      </top>
      <bottom style="thin">
        <color rgb="FF002060"/>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right style="medium">
        <color rgb="FF000000"/>
      </right>
      <top style="thin">
        <color indexed="64"/>
      </top>
      <bottom style="thin">
        <color indexed="64"/>
      </bottom>
      <diagonal/>
    </border>
    <border>
      <left style="medium">
        <color rgb="FF000000"/>
      </left>
      <right style="thin">
        <color indexed="64"/>
      </right>
      <top style="medium">
        <color indexed="64"/>
      </top>
      <bottom style="medium">
        <color indexed="64"/>
      </bottom>
      <diagonal/>
    </border>
    <border>
      <left style="thin">
        <color indexed="64"/>
      </left>
      <right style="medium">
        <color rgb="FF000000"/>
      </right>
      <top style="medium">
        <color indexed="64"/>
      </top>
      <bottom style="medium">
        <color indexed="64"/>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medium">
        <color indexed="64"/>
      </top>
      <bottom style="medium">
        <color rgb="FF000000"/>
      </bottom>
      <diagonal/>
    </border>
    <border>
      <left style="thin">
        <color indexed="64"/>
      </left>
      <right style="thin">
        <color indexed="64"/>
      </right>
      <top style="medium">
        <color indexed="64"/>
      </top>
      <bottom style="medium">
        <color rgb="FF000000"/>
      </bottom>
      <diagonal/>
    </border>
    <border>
      <left style="thin">
        <color indexed="64"/>
      </left>
      <right style="medium">
        <color rgb="FF000000"/>
      </right>
      <top style="medium">
        <color indexed="64"/>
      </top>
      <bottom style="medium">
        <color rgb="FF000000"/>
      </bottom>
      <diagonal/>
    </border>
  </borders>
  <cellStyleXfs count="33">
    <xf numFmtId="0" fontId="0" fillId="0" borderId="0"/>
    <xf numFmtId="0" fontId="15" fillId="2" borderId="1" applyNumberFormat="0" applyProtection="0">
      <alignment horizontal="left" vertical="center" readingOrder="1"/>
    </xf>
    <xf numFmtId="0" fontId="16" fillId="2" borderId="2">
      <alignment horizontal="left"/>
    </xf>
    <xf numFmtId="0" fontId="16" fillId="2" borderId="3">
      <alignment horizontal="right"/>
    </xf>
    <xf numFmtId="0" fontId="16" fillId="2" borderId="3">
      <alignment horizontal="left"/>
    </xf>
    <xf numFmtId="3" fontId="17" fillId="3" borderId="4">
      <alignment horizontal="right"/>
    </xf>
    <xf numFmtId="182" fontId="10" fillId="3" borderId="4">
      <alignment horizontal="right"/>
    </xf>
    <xf numFmtId="4" fontId="10" fillId="3" borderId="4">
      <alignment horizontal="right"/>
    </xf>
    <xf numFmtId="0" fontId="19" fillId="4" borderId="5" applyNumberFormat="0" applyAlignment="0" applyProtection="0"/>
    <xf numFmtId="0" fontId="17" fillId="3" borderId="6"/>
    <xf numFmtId="0" fontId="18" fillId="3" borderId="6"/>
    <xf numFmtId="0" fontId="9" fillId="0" borderId="0" applyNumberFormat="0" applyFill="0" applyBorder="0" applyAlignment="0" applyProtection="0">
      <alignment vertical="top"/>
      <protection locked="0"/>
    </xf>
    <xf numFmtId="176" fontId="21" fillId="0" borderId="0" applyFont="0" applyFill="0" applyBorder="0" applyAlignment="0" applyProtection="0"/>
    <xf numFmtId="176" fontId="11" fillId="0" borderId="0" applyFont="0" applyFill="0" applyBorder="0" applyAlignment="0" applyProtection="0"/>
    <xf numFmtId="0" fontId="23" fillId="0" borderId="0"/>
    <xf numFmtId="0" fontId="11" fillId="0" borderId="0"/>
    <xf numFmtId="9" fontId="7" fillId="0" borderId="0" applyFont="0" applyFill="0" applyBorder="0" applyAlignment="0" applyProtection="0"/>
    <xf numFmtId="9" fontId="21" fillId="0" borderId="0" applyFont="0" applyFill="0" applyBorder="0" applyAlignment="0" applyProtection="0"/>
    <xf numFmtId="9" fontId="11" fillId="0" borderId="0" applyFont="0" applyFill="0" applyBorder="0" applyAlignment="0" applyProtection="0"/>
    <xf numFmtId="9" fontId="23" fillId="0" borderId="0" applyFont="0" applyFill="0" applyBorder="0" applyAlignment="0" applyProtection="0"/>
    <xf numFmtId="0" fontId="6" fillId="0" borderId="0"/>
    <xf numFmtId="0" fontId="6"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5" fillId="0" borderId="0"/>
    <xf numFmtId="9" fontId="5" fillId="0" borderId="0" applyFont="0" applyFill="0" applyBorder="0" applyAlignment="0" applyProtection="0"/>
    <xf numFmtId="0" fontId="4" fillId="0" borderId="0"/>
    <xf numFmtId="0" fontId="3" fillId="0" borderId="0"/>
    <xf numFmtId="9" fontId="3" fillId="0" borderId="0" applyFont="0" applyFill="0" applyBorder="0" applyAlignment="0" applyProtection="0"/>
    <xf numFmtId="9" fontId="2" fillId="0" borderId="0" applyFont="0" applyFill="0" applyBorder="0" applyAlignment="0" applyProtection="0"/>
  </cellStyleXfs>
  <cellXfs count="1559">
    <xf numFmtId="0" fontId="0" fillId="0" borderId="0" xfId="0"/>
    <xf numFmtId="9" fontId="0" fillId="0" borderId="0" xfId="16" applyFont="1" applyAlignment="1">
      <alignment horizontal="center"/>
    </xf>
    <xf numFmtId="0" fontId="0" fillId="0" borderId="0" xfId="0" applyAlignment="1">
      <alignment horizontal="center"/>
    </xf>
    <xf numFmtId="179" fontId="0" fillId="0" borderId="0" xfId="0" applyNumberFormat="1"/>
    <xf numFmtId="10" fontId="0" fillId="0" borderId="0" xfId="0" applyNumberFormat="1" applyAlignment="1">
      <alignment horizontal="center"/>
    </xf>
    <xf numFmtId="180" fontId="0" fillId="0" borderId="0" xfId="0" applyNumberFormat="1" applyAlignment="1">
      <alignment horizontal="center"/>
    </xf>
    <xf numFmtId="0" fontId="12" fillId="0" borderId="0" xfId="0" applyFont="1" applyAlignment="1">
      <alignment horizontal="center"/>
    </xf>
    <xf numFmtId="0" fontId="25" fillId="0" borderId="0" xfId="0" applyFont="1"/>
    <xf numFmtId="0" fontId="14" fillId="0" borderId="19" xfId="0" applyFont="1" applyBorder="1"/>
    <xf numFmtId="0" fontId="12" fillId="0" borderId="22" xfId="0" applyFont="1" applyBorder="1" applyAlignment="1">
      <alignment horizontal="center"/>
    </xf>
    <xf numFmtId="0" fontId="22" fillId="0" borderId="0" xfId="0" applyFont="1"/>
    <xf numFmtId="0" fontId="7" fillId="0" borderId="0" xfId="0" applyFont="1"/>
    <xf numFmtId="0" fontId="7" fillId="0" borderId="19" xfId="0" applyFont="1" applyBorder="1"/>
    <xf numFmtId="0" fontId="7" fillId="0" borderId="19" xfId="0" applyFont="1" applyBorder="1" applyAlignment="1">
      <alignment horizontal="left"/>
    </xf>
    <xf numFmtId="0" fontId="12" fillId="0" borderId="0" xfId="0" applyFont="1"/>
    <xf numFmtId="179" fontId="12" fillId="0" borderId="0" xfId="0" applyNumberFormat="1" applyFont="1" applyAlignment="1">
      <alignment horizontal="center"/>
    </xf>
    <xf numFmtId="9" fontId="12" fillId="0" borderId="0" xfId="16" applyFont="1"/>
    <xf numFmtId="9" fontId="7" fillId="8" borderId="19" xfId="16" applyFont="1" applyFill="1" applyBorder="1" applyAlignment="1">
      <alignment horizontal="center"/>
    </xf>
    <xf numFmtId="0" fontId="25" fillId="8" borderId="0" xfId="0" applyFont="1" applyFill="1"/>
    <xf numFmtId="0" fontId="32" fillId="0" borderId="0" xfId="0" applyFont="1"/>
    <xf numFmtId="0" fontId="25" fillId="8" borderId="0" xfId="0" applyFont="1" applyFill="1" applyAlignment="1">
      <alignment horizontal="center"/>
    </xf>
    <xf numFmtId="0" fontId="34" fillId="0" borderId="0" xfId="0" applyFont="1"/>
    <xf numFmtId="0" fontId="34" fillId="12" borderId="0" xfId="0" applyFont="1" applyFill="1"/>
    <xf numFmtId="3" fontId="34" fillId="0" borderId="0" xfId="0" applyNumberFormat="1" applyFont="1" applyAlignment="1">
      <alignment horizontal="center"/>
    </xf>
    <xf numFmtId="0" fontId="34" fillId="0" borderId="0" xfId="0" applyFont="1" applyAlignment="1">
      <alignment horizontal="left"/>
    </xf>
    <xf numFmtId="0" fontId="34" fillId="19" borderId="0" xfId="0" applyFont="1" applyFill="1"/>
    <xf numFmtId="3" fontId="34" fillId="19" borderId="0" xfId="0" applyNumberFormat="1" applyFont="1" applyFill="1" applyAlignment="1">
      <alignment horizontal="center"/>
    </xf>
    <xf numFmtId="0" fontId="0" fillId="12" borderId="0" xfId="0" applyFill="1"/>
    <xf numFmtId="3" fontId="34" fillId="0" borderId="0" xfId="0" applyNumberFormat="1" applyFont="1"/>
    <xf numFmtId="3" fontId="35" fillId="19" borderId="0" xfId="0" applyNumberFormat="1" applyFont="1" applyFill="1" applyAlignment="1">
      <alignment horizontal="center"/>
    </xf>
    <xf numFmtId="3" fontId="34" fillId="12" borderId="0" xfId="0" applyNumberFormat="1" applyFont="1" applyFill="1" applyAlignment="1">
      <alignment horizontal="center"/>
    </xf>
    <xf numFmtId="3" fontId="35" fillId="12" borderId="0" xfId="0" applyNumberFormat="1" applyFont="1" applyFill="1" applyAlignment="1">
      <alignment horizontal="center"/>
    </xf>
    <xf numFmtId="0" fontId="18" fillId="3" borderId="6" xfId="10"/>
    <xf numFmtId="0" fontId="0" fillId="20" borderId="0" xfId="0" applyFill="1"/>
    <xf numFmtId="3" fontId="22" fillId="0" borderId="0" xfId="0" applyNumberFormat="1" applyFont="1" applyAlignment="1">
      <alignment horizontal="center"/>
    </xf>
    <xf numFmtId="3" fontId="22" fillId="0" borderId="0" xfId="0" applyNumberFormat="1" applyFont="1"/>
    <xf numFmtId="0" fontId="0" fillId="21" borderId="0" xfId="0" applyFill="1"/>
    <xf numFmtId="3" fontId="22" fillId="19" borderId="0" xfId="0" applyNumberFormat="1" applyFont="1" applyFill="1" applyAlignment="1">
      <alignment horizontal="center"/>
    </xf>
    <xf numFmtId="0" fontId="22" fillId="19" borderId="0" xfId="0" applyFont="1" applyFill="1"/>
    <xf numFmtId="0" fontId="0" fillId="22" borderId="0" xfId="0" applyFill="1"/>
    <xf numFmtId="182" fontId="34" fillId="0" borderId="0" xfId="0" applyNumberFormat="1" applyFont="1" applyAlignment="1">
      <alignment horizontal="center"/>
    </xf>
    <xf numFmtId="0" fontId="37" fillId="0" borderId="0" xfId="0" applyFont="1"/>
    <xf numFmtId="0" fontId="38" fillId="0" borderId="0" xfId="0" applyFont="1"/>
    <xf numFmtId="0" fontId="39" fillId="0" borderId="0" xfId="0" applyFont="1" applyAlignment="1">
      <alignment horizontal="center"/>
    </xf>
    <xf numFmtId="0" fontId="39" fillId="0" borderId="0" xfId="0" applyFont="1"/>
    <xf numFmtId="181" fontId="38" fillId="0" borderId="0" xfId="0" applyNumberFormat="1" applyFont="1" applyAlignment="1">
      <alignment horizontal="center"/>
    </xf>
    <xf numFmtId="0" fontId="40" fillId="0" borderId="0" xfId="0" applyFont="1"/>
    <xf numFmtId="0" fontId="41" fillId="0" borderId="0" xfId="0" applyFont="1"/>
    <xf numFmtId="0" fontId="42" fillId="0" borderId="0" xfId="0" applyFont="1"/>
    <xf numFmtId="0" fontId="22" fillId="0" borderId="0" xfId="0" applyFont="1" applyAlignment="1">
      <alignment horizontal="center"/>
    </xf>
    <xf numFmtId="0" fontId="38" fillId="0" borderId="0" xfId="0" applyFont="1" applyAlignment="1">
      <alignment horizontal="center"/>
    </xf>
    <xf numFmtId="3" fontId="37" fillId="0" borderId="0" xfId="0" applyNumberFormat="1" applyFont="1"/>
    <xf numFmtId="0" fontId="39" fillId="17" borderId="0" xfId="0" applyFont="1" applyFill="1" applyAlignment="1">
      <alignment horizontal="center"/>
    </xf>
    <xf numFmtId="0" fontId="38" fillId="17" borderId="45" xfId="0" applyFont="1" applyFill="1" applyBorder="1"/>
    <xf numFmtId="3" fontId="0" fillId="25" borderId="1" xfId="0" applyNumberFormat="1" applyFill="1" applyBorder="1" applyAlignment="1">
      <alignment horizontal="center"/>
    </xf>
    <xf numFmtId="3" fontId="0" fillId="25" borderId="46" xfId="0" applyNumberFormat="1" applyFill="1" applyBorder="1" applyAlignment="1">
      <alignment horizontal="center"/>
    </xf>
    <xf numFmtId="0" fontId="38" fillId="0" borderId="45" xfId="0" applyFont="1" applyBorder="1" applyAlignment="1">
      <alignment horizontal="left" indent="1"/>
    </xf>
    <xf numFmtId="180" fontId="12" fillId="26" borderId="1" xfId="16" applyNumberFormat="1" applyFont="1" applyFill="1" applyBorder="1" applyAlignment="1">
      <alignment horizontal="center"/>
    </xf>
    <xf numFmtId="180" fontId="12" fillId="26" borderId="46" xfId="16" applyNumberFormat="1" applyFont="1" applyFill="1" applyBorder="1" applyAlignment="1">
      <alignment horizontal="center"/>
    </xf>
    <xf numFmtId="0" fontId="38" fillId="0" borderId="45" xfId="0" applyFont="1" applyBorder="1" applyAlignment="1">
      <alignment horizontal="left"/>
    </xf>
    <xf numFmtId="3" fontId="0" fillId="25" borderId="1" xfId="16" applyNumberFormat="1" applyFont="1" applyFill="1" applyBorder="1" applyAlignment="1">
      <alignment horizontal="center"/>
    </xf>
    <xf numFmtId="3" fontId="0" fillId="25" borderId="46" xfId="16" applyNumberFormat="1" applyFont="1" applyFill="1" applyBorder="1" applyAlignment="1">
      <alignment horizontal="center"/>
    </xf>
    <xf numFmtId="0" fontId="38" fillId="17" borderId="45" xfId="0" applyFont="1" applyFill="1" applyBorder="1" applyAlignment="1">
      <alignment horizontal="left" indent="1"/>
    </xf>
    <xf numFmtId="0" fontId="39" fillId="0" borderId="45" xfId="0" applyFont="1" applyBorder="1" applyAlignment="1">
      <alignment horizontal="left"/>
    </xf>
    <xf numFmtId="3" fontId="12" fillId="27" borderId="1" xfId="16" applyNumberFormat="1" applyFont="1" applyFill="1" applyBorder="1" applyAlignment="1">
      <alignment horizontal="center"/>
    </xf>
    <xf numFmtId="3" fontId="12" fillId="27" borderId="46" xfId="16" applyNumberFormat="1" applyFont="1" applyFill="1" applyBorder="1" applyAlignment="1">
      <alignment horizontal="center"/>
    </xf>
    <xf numFmtId="0" fontId="39" fillId="17" borderId="45" xfId="0" applyFont="1" applyFill="1" applyBorder="1"/>
    <xf numFmtId="0" fontId="38" fillId="0" borderId="45" xfId="0" applyFont="1" applyBorder="1"/>
    <xf numFmtId="3" fontId="0" fillId="0" borderId="0" xfId="0" applyNumberFormat="1" applyAlignment="1">
      <alignment horizontal="center"/>
    </xf>
    <xf numFmtId="181" fontId="0" fillId="0" borderId="0" xfId="0" applyNumberFormat="1" applyAlignment="1">
      <alignment horizontal="center"/>
    </xf>
    <xf numFmtId="10" fontId="34" fillId="19" borderId="0" xfId="16" applyNumberFormat="1" applyFont="1" applyFill="1" applyAlignment="1">
      <alignment horizontal="center"/>
    </xf>
    <xf numFmtId="9" fontId="34" fillId="19" borderId="0" xfId="16" applyFont="1" applyFill="1" applyAlignment="1">
      <alignment horizontal="center"/>
    </xf>
    <xf numFmtId="180" fontId="34" fillId="19" borderId="0" xfId="16" applyNumberFormat="1" applyFont="1" applyFill="1" applyAlignment="1">
      <alignment horizontal="center"/>
    </xf>
    <xf numFmtId="10" fontId="34" fillId="19" borderId="0" xfId="0" applyNumberFormat="1" applyFont="1" applyFill="1" applyAlignment="1">
      <alignment horizontal="center"/>
    </xf>
    <xf numFmtId="4" fontId="34" fillId="19" borderId="0" xfId="0" applyNumberFormat="1" applyFont="1" applyFill="1" applyAlignment="1">
      <alignment horizontal="center"/>
    </xf>
    <xf numFmtId="182" fontId="34" fillId="19" borderId="0" xfId="0" applyNumberFormat="1" applyFont="1" applyFill="1" applyAlignment="1">
      <alignment horizontal="center"/>
    </xf>
    <xf numFmtId="0" fontId="34" fillId="19" borderId="0" xfId="0" applyFont="1" applyFill="1" applyAlignment="1">
      <alignment horizontal="center"/>
    </xf>
    <xf numFmtId="180" fontId="34" fillId="19" borderId="0" xfId="0" applyNumberFormat="1" applyFont="1" applyFill="1" applyAlignment="1">
      <alignment horizontal="center"/>
    </xf>
    <xf numFmtId="9" fontId="34" fillId="0" borderId="0" xfId="16" applyFont="1" applyFill="1" applyAlignment="1">
      <alignment horizontal="center"/>
    </xf>
    <xf numFmtId="180" fontId="34" fillId="0" borderId="0" xfId="16" applyNumberFormat="1" applyFont="1" applyFill="1" applyAlignment="1">
      <alignment horizontal="center"/>
    </xf>
    <xf numFmtId="9" fontId="34" fillId="0" borderId="0" xfId="22" applyFont="1" applyFill="1" applyAlignment="1">
      <alignment horizontal="center"/>
    </xf>
    <xf numFmtId="180" fontId="32" fillId="24" borderId="19" xfId="16" applyNumberFormat="1" applyFont="1" applyFill="1" applyBorder="1" applyAlignment="1">
      <alignment horizontal="center"/>
    </xf>
    <xf numFmtId="0" fontId="12" fillId="0" borderId="40" xfId="0" applyFont="1" applyBorder="1"/>
    <xf numFmtId="0" fontId="16" fillId="5" borderId="8" xfId="4" applyFill="1" applyBorder="1" applyAlignment="1"/>
    <xf numFmtId="0" fontId="7" fillId="0" borderId="0" xfId="26"/>
    <xf numFmtId="0" fontId="26" fillId="5" borderId="7" xfId="26" applyFont="1" applyFill="1" applyBorder="1" applyAlignment="1">
      <alignment horizontal="center"/>
    </xf>
    <xf numFmtId="0" fontId="26" fillId="5" borderId="11" xfId="26" applyFont="1" applyFill="1" applyBorder="1" applyAlignment="1">
      <alignment horizontal="center"/>
    </xf>
    <xf numFmtId="0" fontId="28" fillId="3" borderId="10" xfId="10" applyFont="1" applyBorder="1"/>
    <xf numFmtId="0" fontId="7" fillId="0" borderId="0" xfId="26" applyAlignment="1">
      <alignment vertical="center"/>
    </xf>
    <xf numFmtId="0" fontId="28" fillId="3" borderId="13" xfId="10" applyFont="1" applyBorder="1"/>
    <xf numFmtId="0" fontId="28" fillId="0" borderId="10" xfId="10" applyFont="1" applyFill="1" applyBorder="1"/>
    <xf numFmtId="0" fontId="19" fillId="0" borderId="0" xfId="8" applyFill="1" applyBorder="1"/>
    <xf numFmtId="9" fontId="7" fillId="0" borderId="0" xfId="28" applyFont="1"/>
    <xf numFmtId="0" fontId="29" fillId="0" borderId="0" xfId="11" applyFont="1" applyAlignment="1" applyProtection="1"/>
    <xf numFmtId="4" fontId="24" fillId="28" borderId="0" xfId="7" applyFont="1" applyFill="1" applyBorder="1">
      <alignment horizontal="right"/>
    </xf>
    <xf numFmtId="4" fontId="31" fillId="9" borderId="0" xfId="7" applyFont="1" applyFill="1" applyBorder="1">
      <alignment horizontal="right"/>
    </xf>
    <xf numFmtId="0" fontId="26" fillId="29" borderId="0" xfId="26" applyFont="1" applyFill="1" applyAlignment="1">
      <alignment horizontal="center" vertical="center"/>
    </xf>
    <xf numFmtId="0" fontId="27" fillId="0" borderId="9" xfId="9" applyFont="1" applyFill="1" applyBorder="1"/>
    <xf numFmtId="0" fontId="18" fillId="3" borderId="13" xfId="10" applyBorder="1"/>
    <xf numFmtId="0" fontId="18" fillId="3" borderId="10" xfId="10" applyBorder="1"/>
    <xf numFmtId="0" fontId="25" fillId="0" borderId="0" xfId="26" applyFont="1"/>
    <xf numFmtId="0" fontId="12" fillId="0" borderId="35" xfId="0" applyFont="1" applyBorder="1"/>
    <xf numFmtId="0" fontId="12" fillId="0" borderId="41" xfId="0" applyFont="1" applyBorder="1"/>
    <xf numFmtId="0" fontId="0" fillId="0" borderId="4" xfId="0" applyBorder="1"/>
    <xf numFmtId="0" fontId="0" fillId="0" borderId="6" xfId="0" applyBorder="1"/>
    <xf numFmtId="0" fontId="0" fillId="0" borderId="39" xfId="0" applyBorder="1"/>
    <xf numFmtId="0" fontId="0" fillId="0" borderId="2" xfId="0" applyBorder="1"/>
    <xf numFmtId="0" fontId="0" fillId="0" borderId="40" xfId="0" applyBorder="1"/>
    <xf numFmtId="0" fontId="0" fillId="0" borderId="35" xfId="0" applyBorder="1"/>
    <xf numFmtId="0" fontId="0" fillId="0" borderId="41" xfId="0" applyBorder="1"/>
    <xf numFmtId="0" fontId="12" fillId="0" borderId="45" xfId="0" applyFont="1" applyBorder="1"/>
    <xf numFmtId="0" fontId="12" fillId="0" borderId="1" xfId="0" applyFont="1" applyBorder="1"/>
    <xf numFmtId="0" fontId="12" fillId="0" borderId="46" xfId="0" applyFont="1" applyBorder="1"/>
    <xf numFmtId="0" fontId="0" fillId="8" borderId="0" xfId="0" applyFill="1"/>
    <xf numFmtId="4" fontId="7" fillId="12" borderId="0" xfId="7" applyFont="1" applyFill="1" applyBorder="1">
      <alignment horizontal="right"/>
    </xf>
    <xf numFmtId="0" fontId="34" fillId="19" borderId="0" xfId="0" applyFont="1" applyFill="1" applyAlignment="1">
      <alignment horizontal="left" indent="1"/>
    </xf>
    <xf numFmtId="182" fontId="34" fillId="19" borderId="0" xfId="0" applyNumberFormat="1" applyFont="1" applyFill="1" applyAlignment="1">
      <alignment horizontal="left" indent="1"/>
    </xf>
    <xf numFmtId="0" fontId="34" fillId="30" borderId="0" xfId="0" applyFont="1" applyFill="1" applyAlignment="1">
      <alignment horizontal="left" indent="1"/>
    </xf>
    <xf numFmtId="0" fontId="22" fillId="0" borderId="0" xfId="0" applyFont="1" applyAlignment="1">
      <alignment horizontal="left"/>
    </xf>
    <xf numFmtId="0" fontId="26" fillId="32" borderId="29" xfId="0" applyFont="1" applyFill="1" applyBorder="1" applyAlignment="1">
      <alignment horizontal="center"/>
    </xf>
    <xf numFmtId="0" fontId="26" fillId="32" borderId="25" xfId="0" applyFont="1" applyFill="1" applyBorder="1" applyAlignment="1">
      <alignment horizontal="center"/>
    </xf>
    <xf numFmtId="0" fontId="12" fillId="0" borderId="54" xfId="0" applyFont="1" applyBorder="1" applyAlignment="1">
      <alignment horizontal="center"/>
    </xf>
    <xf numFmtId="9" fontId="32" fillId="8" borderId="55" xfId="16" applyFont="1" applyFill="1" applyBorder="1" applyAlignment="1">
      <alignment horizontal="center"/>
    </xf>
    <xf numFmtId="9" fontId="7" fillId="8" borderId="55" xfId="16" applyFont="1" applyFill="1" applyBorder="1" applyAlignment="1">
      <alignment horizontal="center"/>
    </xf>
    <xf numFmtId="0" fontId="12" fillId="0" borderId="55" xfId="0" applyFont="1" applyBorder="1" applyAlignment="1">
      <alignment horizontal="center"/>
    </xf>
    <xf numFmtId="180" fontId="32" fillId="24" borderId="55" xfId="16" applyNumberFormat="1" applyFont="1" applyFill="1" applyBorder="1" applyAlignment="1">
      <alignment horizontal="center"/>
    </xf>
    <xf numFmtId="0" fontId="0" fillId="0" borderId="54" xfId="0" applyBorder="1" applyAlignment="1">
      <alignment horizontal="center"/>
    </xf>
    <xf numFmtId="0" fontId="26" fillId="32" borderId="19" xfId="0" applyFont="1" applyFill="1" applyBorder="1" applyAlignment="1">
      <alignment horizontal="center" vertical="center" wrapText="1"/>
    </xf>
    <xf numFmtId="0" fontId="26" fillId="32" borderId="19" xfId="0" applyFont="1" applyFill="1" applyBorder="1" applyAlignment="1">
      <alignment horizontal="center"/>
    </xf>
    <xf numFmtId="0" fontId="26" fillId="32" borderId="23" xfId="0" applyFont="1" applyFill="1" applyBorder="1" applyAlignment="1">
      <alignment horizontal="center" vertical="center" wrapText="1"/>
    </xf>
    <xf numFmtId="0" fontId="26" fillId="32" borderId="54" xfId="0" applyFont="1" applyFill="1" applyBorder="1" applyAlignment="1">
      <alignment horizontal="center"/>
    </xf>
    <xf numFmtId="0" fontId="26" fillId="32" borderId="55" xfId="0" applyFont="1" applyFill="1" applyBorder="1" applyAlignment="1">
      <alignment horizontal="center"/>
    </xf>
    <xf numFmtId="3" fontId="7" fillId="0" borderId="0" xfId="0" applyNumberFormat="1" applyFont="1"/>
    <xf numFmtId="0" fontId="7" fillId="17" borderId="45" xfId="0" applyFont="1" applyFill="1" applyBorder="1"/>
    <xf numFmtId="0" fontId="7" fillId="0" borderId="45" xfId="0" applyFont="1" applyBorder="1" applyAlignment="1">
      <alignment horizontal="left" indent="1"/>
    </xf>
    <xf numFmtId="0" fontId="7" fillId="0" borderId="45" xfId="0" applyFont="1" applyBorder="1" applyAlignment="1">
      <alignment horizontal="left"/>
    </xf>
    <xf numFmtId="0" fontId="7" fillId="17" borderId="45" xfId="0" applyFont="1" applyFill="1" applyBorder="1" applyAlignment="1">
      <alignment horizontal="left" indent="1"/>
    </xf>
    <xf numFmtId="0" fontId="12" fillId="0" borderId="45" xfId="0" applyFont="1" applyBorder="1" applyAlignment="1">
      <alignment horizontal="left"/>
    </xf>
    <xf numFmtId="0" fontId="12" fillId="17" borderId="45" xfId="0" applyFont="1" applyFill="1" applyBorder="1"/>
    <xf numFmtId="0" fontId="7" fillId="0" borderId="45" xfId="0" applyFont="1" applyBorder="1"/>
    <xf numFmtId="9" fontId="7" fillId="24" borderId="19" xfId="16" applyFont="1" applyFill="1" applyBorder="1" applyAlignment="1">
      <alignment horizontal="center"/>
    </xf>
    <xf numFmtId="179" fontId="7" fillId="7" borderId="19" xfId="0" applyNumberFormat="1" applyFont="1" applyFill="1" applyBorder="1" applyAlignment="1">
      <alignment horizontal="center"/>
    </xf>
    <xf numFmtId="4" fontId="7" fillId="7" borderId="19" xfId="0" applyNumberFormat="1" applyFont="1" applyFill="1" applyBorder="1" applyAlignment="1">
      <alignment horizontal="center"/>
    </xf>
    <xf numFmtId="9" fontId="32" fillId="7" borderId="55" xfId="16" applyFont="1" applyFill="1" applyBorder="1" applyAlignment="1">
      <alignment horizontal="center"/>
    </xf>
    <xf numFmtId="0" fontId="7" fillId="7" borderId="19" xfId="0" applyFont="1" applyFill="1" applyBorder="1"/>
    <xf numFmtId="9" fontId="7" fillId="7" borderId="19" xfId="16" applyFont="1" applyFill="1" applyBorder="1"/>
    <xf numFmtId="0" fontId="47" fillId="32" borderId="55" xfId="0" applyFont="1" applyFill="1" applyBorder="1" applyAlignment="1">
      <alignment horizontal="center"/>
    </xf>
    <xf numFmtId="0" fontId="48" fillId="32" borderId="55" xfId="0" applyFont="1" applyFill="1" applyBorder="1" applyAlignment="1">
      <alignment horizontal="center"/>
    </xf>
    <xf numFmtId="0" fontId="12" fillId="14" borderId="12" xfId="0" applyFont="1" applyFill="1" applyBorder="1" applyAlignment="1">
      <alignment horizontal="center"/>
    </xf>
    <xf numFmtId="0" fontId="0" fillId="0" borderId="52" xfId="0" applyBorder="1"/>
    <xf numFmtId="0" fontId="0" fillId="0" borderId="74" xfId="0" applyBorder="1"/>
    <xf numFmtId="0" fontId="12" fillId="0" borderId="92" xfId="0" applyFont="1" applyBorder="1" applyAlignment="1">
      <alignment horizontal="left"/>
    </xf>
    <xf numFmtId="9" fontId="0" fillId="0" borderId="92" xfId="16" applyFont="1" applyBorder="1"/>
    <xf numFmtId="9" fontId="0" fillId="0" borderId="93" xfId="16" applyFont="1" applyBorder="1"/>
    <xf numFmtId="9" fontId="0" fillId="0" borderId="70" xfId="0" applyNumberFormat="1" applyBorder="1"/>
    <xf numFmtId="179" fontId="0" fillId="0" borderId="86" xfId="0" applyNumberFormat="1" applyBorder="1" applyAlignment="1">
      <alignment horizontal="center"/>
    </xf>
    <xf numFmtId="0" fontId="0" fillId="33" borderId="94" xfId="0" applyFill="1" applyBorder="1"/>
    <xf numFmtId="10" fontId="0" fillId="33" borderId="94" xfId="0" applyNumberFormat="1" applyFill="1" applyBorder="1"/>
    <xf numFmtId="9" fontId="0" fillId="0" borderId="96" xfId="16" applyFont="1" applyBorder="1"/>
    <xf numFmtId="0" fontId="12" fillId="14" borderId="69" xfId="0" applyFont="1" applyFill="1" applyBorder="1" applyAlignment="1">
      <alignment horizontal="center"/>
    </xf>
    <xf numFmtId="9" fontId="12" fillId="14" borderId="69" xfId="16" applyFont="1" applyFill="1" applyBorder="1" applyAlignment="1">
      <alignment horizontal="center"/>
    </xf>
    <xf numFmtId="0" fontId="12" fillId="0" borderId="69" xfId="0" applyFont="1" applyBorder="1" applyAlignment="1">
      <alignment horizontal="center"/>
    </xf>
    <xf numFmtId="0" fontId="12" fillId="0" borderId="99" xfId="0" applyFont="1" applyBorder="1"/>
    <xf numFmtId="0" fontId="12" fillId="0" borderId="98" xfId="0" applyFont="1" applyBorder="1" applyAlignment="1">
      <alignment horizontal="center"/>
    </xf>
    <xf numFmtId="0" fontId="0" fillId="0" borderId="71" xfId="0" applyBorder="1"/>
    <xf numFmtId="0" fontId="0" fillId="0" borderId="72" xfId="0" applyBorder="1"/>
    <xf numFmtId="0" fontId="0" fillId="0" borderId="73" xfId="0" applyBorder="1"/>
    <xf numFmtId="0" fontId="0" fillId="0" borderId="53" xfId="0" applyBorder="1"/>
    <xf numFmtId="0" fontId="0" fillId="0" borderId="78" xfId="0" applyBorder="1"/>
    <xf numFmtId="0" fontId="0" fillId="0" borderId="79" xfId="0" applyBorder="1"/>
    <xf numFmtId="9" fontId="0" fillId="0" borderId="0" xfId="0" applyNumberFormat="1"/>
    <xf numFmtId="0" fontId="12" fillId="14" borderId="95" xfId="0" applyFont="1" applyFill="1" applyBorder="1" applyAlignment="1">
      <alignment horizontal="center"/>
    </xf>
    <xf numFmtId="184" fontId="0" fillId="0" borderId="103" xfId="0" applyNumberFormat="1" applyBorder="1" applyAlignment="1">
      <alignment horizontal="center"/>
    </xf>
    <xf numFmtId="0" fontId="0" fillId="31" borderId="76" xfId="0" applyFill="1" applyBorder="1"/>
    <xf numFmtId="0" fontId="26" fillId="31" borderId="76" xfId="0" applyFont="1" applyFill="1" applyBorder="1" applyAlignment="1">
      <alignment horizontal="left"/>
    </xf>
    <xf numFmtId="183" fontId="26" fillId="31" borderId="77" xfId="0" applyNumberFormat="1" applyFont="1" applyFill="1" applyBorder="1" applyAlignment="1">
      <alignment horizontal="center" vertical="center"/>
    </xf>
    <xf numFmtId="0" fontId="12" fillId="17" borderId="105" xfId="0" applyFont="1" applyFill="1" applyBorder="1"/>
    <xf numFmtId="0" fontId="12" fillId="17" borderId="107" xfId="0" applyFont="1" applyFill="1" applyBorder="1"/>
    <xf numFmtId="184" fontId="0" fillId="0" borderId="108" xfId="0" applyNumberFormat="1" applyBorder="1" applyAlignment="1">
      <alignment horizontal="center"/>
    </xf>
    <xf numFmtId="184" fontId="0" fillId="0" borderId="106" xfId="0" applyNumberFormat="1" applyBorder="1" applyAlignment="1">
      <alignment horizontal="center"/>
    </xf>
    <xf numFmtId="184" fontId="0" fillId="0" borderId="109" xfId="0" applyNumberFormat="1" applyBorder="1" applyAlignment="1">
      <alignment horizontal="center"/>
    </xf>
    <xf numFmtId="0" fontId="26" fillId="32" borderId="105" xfId="0" applyFont="1" applyFill="1" applyBorder="1" applyAlignment="1">
      <alignment horizontal="center"/>
    </xf>
    <xf numFmtId="0" fontId="0" fillId="32" borderId="103" xfId="0" applyFill="1" applyBorder="1"/>
    <xf numFmtId="0" fontId="0" fillId="32" borderId="106" xfId="0" applyFill="1" applyBorder="1"/>
    <xf numFmtId="0" fontId="0" fillId="31" borderId="76" xfId="0" applyFill="1" applyBorder="1" applyAlignment="1">
      <alignment horizontal="center"/>
    </xf>
    <xf numFmtId="184" fontId="25" fillId="18" borderId="101" xfId="0" applyNumberFormat="1" applyFont="1" applyFill="1" applyBorder="1" applyAlignment="1">
      <alignment horizontal="center"/>
    </xf>
    <xf numFmtId="184" fontId="25" fillId="18" borderId="102" xfId="0" applyNumberFormat="1" applyFont="1" applyFill="1" applyBorder="1" applyAlignment="1">
      <alignment horizontal="center"/>
    </xf>
    <xf numFmtId="9" fontId="25" fillId="31" borderId="76" xfId="16" applyFont="1" applyFill="1" applyBorder="1" applyAlignment="1">
      <alignment horizontal="center" vertical="center"/>
    </xf>
    <xf numFmtId="9" fontId="25" fillId="18" borderId="101" xfId="16" applyFont="1" applyFill="1" applyBorder="1" applyAlignment="1">
      <alignment horizontal="center"/>
    </xf>
    <xf numFmtId="9" fontId="25" fillId="18" borderId="103" xfId="16" applyFont="1" applyFill="1" applyBorder="1" applyAlignment="1">
      <alignment horizontal="center"/>
    </xf>
    <xf numFmtId="9" fontId="25" fillId="18" borderId="102" xfId="16" applyFont="1" applyFill="1" applyBorder="1" applyAlignment="1">
      <alignment horizontal="center"/>
    </xf>
    <xf numFmtId="0" fontId="25" fillId="31" borderId="76" xfId="0" applyFont="1" applyFill="1" applyBorder="1" applyAlignment="1">
      <alignment horizontal="center" vertical="center"/>
    </xf>
    <xf numFmtId="10" fontId="25" fillId="31" borderId="76" xfId="0" applyNumberFormat="1" applyFont="1" applyFill="1" applyBorder="1" applyAlignment="1">
      <alignment horizontal="center" vertical="center"/>
    </xf>
    <xf numFmtId="183" fontId="25" fillId="31" borderId="76" xfId="19" applyNumberFormat="1" applyFont="1" applyFill="1" applyBorder="1" applyAlignment="1">
      <alignment horizontal="center" vertical="center"/>
    </xf>
    <xf numFmtId="0" fontId="25" fillId="31" borderId="76" xfId="0" applyFont="1" applyFill="1" applyBorder="1" applyAlignment="1">
      <alignment horizontal="center"/>
    </xf>
    <xf numFmtId="0" fontId="49" fillId="5" borderId="68" xfId="0" applyFont="1" applyFill="1" applyBorder="1" applyAlignment="1">
      <alignment horizontal="center"/>
    </xf>
    <xf numFmtId="0" fontId="49" fillId="5" borderId="68" xfId="0" applyFont="1" applyFill="1" applyBorder="1"/>
    <xf numFmtId="0" fontId="0" fillId="0" borderId="68" xfId="0" applyBorder="1"/>
    <xf numFmtId="2" fontId="25" fillId="18" borderId="103" xfId="16" applyNumberFormat="1" applyFont="1" applyFill="1" applyBorder="1" applyAlignment="1">
      <alignment horizontal="center"/>
    </xf>
    <xf numFmtId="184" fontId="0" fillId="24" borderId="103" xfId="0" applyNumberFormat="1" applyFill="1" applyBorder="1" applyAlignment="1">
      <alignment horizontal="center"/>
    </xf>
    <xf numFmtId="184" fontId="0" fillId="24" borderId="108" xfId="0" applyNumberFormat="1" applyFill="1" applyBorder="1" applyAlignment="1">
      <alignment horizontal="center"/>
    </xf>
    <xf numFmtId="0" fontId="28" fillId="0" borderId="10" xfId="26" applyFont="1" applyBorder="1" applyAlignment="1">
      <alignment horizontal="center"/>
    </xf>
    <xf numFmtId="0" fontId="28" fillId="0" borderId="16" xfId="26" applyFont="1" applyBorder="1" applyAlignment="1">
      <alignment horizontal="center"/>
    </xf>
    <xf numFmtId="0" fontId="28" fillId="0" borderId="10" xfId="26" applyFont="1" applyBorder="1" applyAlignment="1">
      <alignment horizontal="center" vertical="center"/>
    </xf>
    <xf numFmtId="0" fontId="28" fillId="0" borderId="16" xfId="26" applyFont="1" applyBorder="1" applyAlignment="1">
      <alignment horizontal="center" vertical="center"/>
    </xf>
    <xf numFmtId="0" fontId="28" fillId="0" borderId="14" xfId="26" applyFont="1" applyBorder="1" applyAlignment="1">
      <alignment horizontal="center"/>
    </xf>
    <xf numFmtId="0" fontId="28" fillId="0" borderId="17" xfId="26" applyFont="1" applyBorder="1" applyAlignment="1">
      <alignment horizontal="center"/>
    </xf>
    <xf numFmtId="0" fontId="50" fillId="5" borderId="113" xfId="4" applyFont="1" applyFill="1" applyBorder="1" applyAlignment="1">
      <alignment horizontal="center" vertical="center"/>
    </xf>
    <xf numFmtId="0" fontId="50" fillId="5" borderId="113" xfId="3" applyFont="1" applyFill="1" applyBorder="1" applyAlignment="1">
      <alignment horizontal="center" vertical="center" wrapText="1"/>
    </xf>
    <xf numFmtId="0" fontId="50" fillId="5" borderId="113" xfId="3" applyFont="1" applyFill="1" applyBorder="1" applyAlignment="1">
      <alignment horizontal="center" vertical="center"/>
    </xf>
    <xf numFmtId="0" fontId="7" fillId="3" borderId="113" xfId="10" applyFont="1" applyBorder="1" applyAlignment="1">
      <alignment horizontal="center" vertical="center"/>
    </xf>
    <xf numFmtId="0" fontId="28" fillId="3" borderId="113" xfId="10" applyFont="1" applyBorder="1" applyAlignment="1">
      <alignment vertical="center"/>
    </xf>
    <xf numFmtId="0" fontId="28" fillId="3" borderId="113" xfId="10" applyFont="1" applyBorder="1" applyAlignment="1">
      <alignment horizontal="center" vertical="center"/>
    </xf>
    <xf numFmtId="3" fontId="12" fillId="34" borderId="115" xfId="5" applyFont="1" applyFill="1" applyBorder="1" applyAlignment="1">
      <alignment horizontal="center" vertical="center"/>
    </xf>
    <xf numFmtId="0" fontId="12" fillId="0" borderId="0" xfId="26" applyFont="1" applyAlignment="1">
      <alignment vertical="center"/>
    </xf>
    <xf numFmtId="0" fontId="7" fillId="12" borderId="0" xfId="26" applyFill="1" applyAlignment="1">
      <alignment vertical="center"/>
    </xf>
    <xf numFmtId="0" fontId="27" fillId="0" borderId="113" xfId="9" applyFont="1" applyFill="1" applyBorder="1" applyAlignment="1">
      <alignment horizontal="center" vertical="center"/>
    </xf>
    <xf numFmtId="3" fontId="51" fillId="34" borderId="114" xfId="5" applyFont="1" applyFill="1" applyBorder="1" applyAlignment="1">
      <alignment horizontal="right" vertical="center"/>
    </xf>
    <xf numFmtId="3" fontId="51" fillId="34" borderId="115" xfId="5" applyFont="1" applyFill="1" applyBorder="1" applyAlignment="1">
      <alignment horizontal="right" vertical="center"/>
    </xf>
    <xf numFmtId="3" fontId="51" fillId="34" borderId="116" xfId="5" applyFont="1" applyFill="1" applyBorder="1" applyAlignment="1">
      <alignment horizontal="right" vertical="center"/>
    </xf>
    <xf numFmtId="182" fontId="7" fillId="3" borderId="113" xfId="6" applyFont="1" applyBorder="1" applyAlignment="1">
      <alignment horizontal="center" vertical="center"/>
    </xf>
    <xf numFmtId="4" fontId="31" fillId="0" borderId="113" xfId="7" applyFont="1" applyFill="1" applyBorder="1" applyAlignment="1">
      <alignment horizontal="right" vertical="center"/>
    </xf>
    <xf numFmtId="0" fontId="0" fillId="34" borderId="115" xfId="0" applyFill="1" applyBorder="1" applyAlignment="1">
      <alignment horizontal="center" vertical="center"/>
    </xf>
    <xf numFmtId="4" fontId="7" fillId="34" borderId="115" xfId="7" applyFont="1" applyFill="1" applyBorder="1" applyAlignment="1">
      <alignment horizontal="right" vertical="center"/>
    </xf>
    <xf numFmtId="4" fontId="7" fillId="3" borderId="113" xfId="7" applyFont="1" applyBorder="1" applyAlignment="1">
      <alignment horizontal="center" vertical="center"/>
    </xf>
    <xf numFmtId="0" fontId="28" fillId="0" borderId="113" xfId="10" applyFont="1" applyFill="1" applyBorder="1" applyAlignment="1">
      <alignment vertical="center"/>
    </xf>
    <xf numFmtId="0" fontId="7" fillId="0" borderId="113" xfId="10" applyFont="1" applyFill="1" applyBorder="1" applyAlignment="1">
      <alignment horizontal="center" vertical="center"/>
    </xf>
    <xf numFmtId="3" fontId="12" fillId="34" borderId="114" xfId="5" applyFont="1" applyFill="1" applyBorder="1" applyAlignment="1">
      <alignment horizontal="right" vertical="center"/>
    </xf>
    <xf numFmtId="4" fontId="7" fillId="6" borderId="113" xfId="7" applyFont="1" applyFill="1" applyBorder="1" applyAlignment="1">
      <alignment horizontal="right" vertical="center"/>
    </xf>
    <xf numFmtId="4" fontId="7" fillId="6" borderId="113" xfId="7" applyFont="1" applyFill="1" applyBorder="1" applyAlignment="1">
      <alignment horizontal="center" vertical="center"/>
    </xf>
    <xf numFmtId="4" fontId="7" fillId="0" borderId="113" xfId="7" applyFont="1" applyFill="1" applyBorder="1" applyAlignment="1">
      <alignment horizontal="center" vertical="center"/>
    </xf>
    <xf numFmtId="0" fontId="50" fillId="32" borderId="113" xfId="3" applyFont="1" applyFill="1" applyBorder="1" applyAlignment="1">
      <alignment horizontal="center" vertical="center" wrapText="1"/>
    </xf>
    <xf numFmtId="0" fontId="34" fillId="12" borderId="113" xfId="26" applyFont="1" applyFill="1" applyBorder="1" applyAlignment="1">
      <alignment horizontal="center" vertical="center"/>
    </xf>
    <xf numFmtId="2" fontId="0" fillId="8" borderId="103" xfId="16" applyNumberFormat="1" applyFont="1" applyFill="1" applyBorder="1" applyAlignment="1">
      <alignment horizontal="center"/>
    </xf>
    <xf numFmtId="0" fontId="26" fillId="5" borderId="32" xfId="26" applyFont="1" applyFill="1" applyBorder="1" applyAlignment="1">
      <alignment horizontal="center" vertical="center"/>
    </xf>
    <xf numFmtId="0" fontId="26" fillId="5" borderId="33" xfId="26" applyFont="1" applyFill="1" applyBorder="1" applyAlignment="1">
      <alignment horizontal="center" vertical="center"/>
    </xf>
    <xf numFmtId="0" fontId="53" fillId="0" borderId="0" xfId="0" applyFont="1"/>
    <xf numFmtId="0" fontId="12" fillId="0" borderId="39" xfId="0" applyFont="1" applyBorder="1" applyAlignment="1">
      <alignment horizontal="center"/>
    </xf>
    <xf numFmtId="0" fontId="55" fillId="0" borderId="118" xfId="0" applyFont="1" applyBorder="1" applyAlignment="1">
      <alignment horizontal="center" vertical="center"/>
    </xf>
    <xf numFmtId="0" fontId="12" fillId="12" borderId="122" xfId="0" applyFont="1" applyFill="1" applyBorder="1" applyAlignment="1">
      <alignment horizontal="center"/>
    </xf>
    <xf numFmtId="10" fontId="0" fillId="0" borderId="126" xfId="0" applyNumberFormat="1" applyBorder="1" applyAlignment="1">
      <alignment horizontal="center" vertical="center"/>
    </xf>
    <xf numFmtId="10" fontId="0" fillId="0" borderId="130" xfId="0" applyNumberFormat="1" applyBorder="1" applyAlignment="1">
      <alignment horizontal="center" vertical="center"/>
    </xf>
    <xf numFmtId="0" fontId="55" fillId="0" borderId="133" xfId="0" applyFont="1" applyBorder="1" applyAlignment="1">
      <alignment horizontal="center" vertical="center"/>
    </xf>
    <xf numFmtId="0" fontId="26" fillId="5" borderId="135" xfId="26" applyFont="1" applyFill="1" applyBorder="1" applyAlignment="1">
      <alignment horizontal="center" vertical="center"/>
    </xf>
    <xf numFmtId="0" fontId="28" fillId="0" borderId="136" xfId="26" applyFont="1" applyBorder="1" applyAlignment="1">
      <alignment horizontal="center" vertical="center" wrapText="1"/>
    </xf>
    <xf numFmtId="0" fontId="28" fillId="0" borderId="137" xfId="26" applyFont="1" applyBorder="1" applyAlignment="1">
      <alignment horizontal="center" vertical="center" wrapText="1"/>
    </xf>
    <xf numFmtId="0" fontId="28" fillId="0" borderId="138" xfId="26" applyFont="1" applyBorder="1" applyAlignment="1">
      <alignment horizontal="center" vertical="center" wrapText="1"/>
    </xf>
    <xf numFmtId="0" fontId="26" fillId="5" borderId="8" xfId="26" applyFont="1" applyFill="1" applyBorder="1" applyAlignment="1">
      <alignment horizontal="center"/>
    </xf>
    <xf numFmtId="0" fontId="53" fillId="8" borderId="0" xfId="0" applyFont="1" applyFill="1"/>
    <xf numFmtId="0" fontId="56" fillId="42" borderId="0" xfId="0" applyFont="1" applyFill="1"/>
    <xf numFmtId="0" fontId="12" fillId="0" borderId="152" xfId="0" applyFont="1" applyBorder="1" applyAlignment="1">
      <alignment horizontal="center"/>
    </xf>
    <xf numFmtId="0" fontId="12" fillId="0" borderId="43" xfId="0" applyFont="1" applyBorder="1" applyAlignment="1">
      <alignment horizontal="center"/>
    </xf>
    <xf numFmtId="0" fontId="7" fillId="39" borderId="123" xfId="0" applyFont="1" applyFill="1" applyBorder="1"/>
    <xf numFmtId="14" fontId="12" fillId="0" borderId="21" xfId="0" applyNumberFormat="1" applyFont="1" applyBorder="1" applyAlignment="1">
      <alignment horizontal="center" vertical="center"/>
    </xf>
    <xf numFmtId="0" fontId="7" fillId="0" borderId="60" xfId="0" applyFont="1" applyBorder="1" applyAlignment="1">
      <alignment horizontal="center" vertical="center"/>
    </xf>
    <xf numFmtId="3" fontId="22" fillId="0" borderId="0" xfId="0" applyNumberFormat="1" applyFont="1" applyAlignment="1">
      <alignment horizontal="center" vertical="center"/>
    </xf>
    <xf numFmtId="3" fontId="34" fillId="19" borderId="0" xfId="0" applyNumberFormat="1" applyFont="1" applyFill="1" applyAlignment="1">
      <alignment horizontal="center" vertical="center"/>
    </xf>
    <xf numFmtId="9" fontId="37" fillId="0" borderId="0" xfId="16" applyFont="1"/>
    <xf numFmtId="9" fontId="0" fillId="0" borderId="97" xfId="0" applyNumberFormat="1" applyBorder="1" applyAlignment="1">
      <alignment horizontal="center"/>
    </xf>
    <xf numFmtId="9" fontId="7" fillId="0" borderId="80" xfId="0" applyNumberFormat="1" applyFont="1" applyBorder="1" applyAlignment="1">
      <alignment horizontal="center"/>
    </xf>
    <xf numFmtId="9" fontId="7" fillId="0" borderId="85" xfId="0" applyNumberFormat="1" applyFont="1" applyBorder="1" applyAlignment="1">
      <alignment horizontal="center"/>
    </xf>
    <xf numFmtId="3" fontId="0" fillId="0" borderId="0" xfId="0" applyNumberFormat="1"/>
    <xf numFmtId="10" fontId="0" fillId="0" borderId="0" xfId="0" applyNumberFormat="1"/>
    <xf numFmtId="4" fontId="31" fillId="12" borderId="113" xfId="7" applyFont="1" applyFill="1" applyBorder="1" applyAlignment="1">
      <alignment horizontal="right" vertical="center"/>
    </xf>
    <xf numFmtId="4" fontId="7" fillId="0" borderId="0" xfId="7" applyFont="1" applyFill="1" applyBorder="1">
      <alignment horizontal="right"/>
    </xf>
    <xf numFmtId="4" fontId="31" fillId="0" borderId="0" xfId="7" applyFont="1" applyFill="1" applyBorder="1">
      <alignment horizontal="right"/>
    </xf>
    <xf numFmtId="4" fontId="31" fillId="28" borderId="113" xfId="7" applyFont="1" applyFill="1" applyBorder="1" applyAlignment="1">
      <alignment horizontal="right" vertical="center"/>
    </xf>
    <xf numFmtId="4" fontId="24" fillId="28" borderId="113" xfId="7" applyFont="1" applyFill="1" applyBorder="1" applyAlignment="1">
      <alignment horizontal="right" vertical="center"/>
    </xf>
    <xf numFmtId="0" fontId="25" fillId="0" borderId="0" xfId="0" applyFont="1" applyAlignment="1">
      <alignment horizontal="center"/>
    </xf>
    <xf numFmtId="0" fontId="61" fillId="0" borderId="0" xfId="0" applyFont="1"/>
    <xf numFmtId="0" fontId="60" fillId="0" borderId="0" xfId="0" applyFont="1"/>
    <xf numFmtId="2" fontId="7" fillId="24" borderId="19" xfId="0" applyNumberFormat="1" applyFont="1" applyFill="1" applyBorder="1" applyAlignment="1">
      <alignment horizontal="center"/>
    </xf>
    <xf numFmtId="0" fontId="22" fillId="0" borderId="0" xfId="0" applyFont="1" applyAlignment="1">
      <alignment horizontal="center" vertical="center"/>
    </xf>
    <xf numFmtId="3" fontId="34" fillId="19" borderId="0" xfId="21" applyNumberFormat="1" applyFont="1" applyFill="1" applyAlignment="1">
      <alignment horizontal="center" vertical="center"/>
    </xf>
    <xf numFmtId="3" fontId="35" fillId="19" borderId="0" xfId="21" applyNumberFormat="1" applyFont="1" applyFill="1" applyAlignment="1">
      <alignment horizontal="center" vertical="center"/>
    </xf>
    <xf numFmtId="3" fontId="35" fillId="19" borderId="0" xfId="0" applyNumberFormat="1" applyFont="1" applyFill="1" applyAlignment="1">
      <alignment horizontal="center" vertical="center"/>
    </xf>
    <xf numFmtId="3" fontId="34" fillId="0" borderId="0" xfId="0" applyNumberFormat="1" applyFont="1" applyAlignment="1">
      <alignment horizontal="center" vertical="center"/>
    </xf>
    <xf numFmtId="182" fontId="22" fillId="0" borderId="0" xfId="0" applyNumberFormat="1" applyFont="1" applyAlignment="1">
      <alignment horizontal="center" vertical="center"/>
    </xf>
    <xf numFmtId="4" fontId="34" fillId="19" borderId="0" xfId="0" applyNumberFormat="1" applyFont="1" applyFill="1" applyAlignment="1">
      <alignment horizontal="center" vertical="center"/>
    </xf>
    <xf numFmtId="4" fontId="34" fillId="19" borderId="0" xfId="21" applyNumberFormat="1" applyFont="1" applyFill="1" applyAlignment="1">
      <alignment horizontal="center" vertical="center"/>
    </xf>
    <xf numFmtId="3" fontId="22" fillId="19" borderId="0" xfId="0" applyNumberFormat="1" applyFont="1" applyFill="1" applyAlignment="1">
      <alignment horizontal="center" vertical="center"/>
    </xf>
    <xf numFmtId="0" fontId="0" fillId="0" borderId="0" xfId="0" applyAlignment="1">
      <alignment horizontal="center" vertical="center"/>
    </xf>
    <xf numFmtId="0" fontId="25" fillId="0" borderId="0" xfId="0" applyFont="1" applyAlignment="1">
      <alignment horizontal="center" vertical="center"/>
    </xf>
    <xf numFmtId="184" fontId="0" fillId="0" borderId="103" xfId="0" applyNumberFormat="1" applyBorder="1" applyAlignment="1">
      <alignment horizontal="center" wrapText="1"/>
    </xf>
    <xf numFmtId="0" fontId="46" fillId="10" borderId="68" xfId="0" applyFont="1" applyFill="1" applyBorder="1" applyAlignment="1">
      <alignment horizontal="center" vertical="center" wrapText="1"/>
    </xf>
    <xf numFmtId="0" fontId="46" fillId="11" borderId="68" xfId="0" applyFont="1" applyFill="1" applyBorder="1" applyAlignment="1">
      <alignment horizontal="center" vertical="center" wrapText="1"/>
    </xf>
    <xf numFmtId="0" fontId="46" fillId="15" borderId="68" xfId="0" applyFont="1" applyFill="1" applyBorder="1" applyAlignment="1">
      <alignment horizontal="center" vertical="center" wrapText="1"/>
    </xf>
    <xf numFmtId="0" fontId="46" fillId="23" borderId="68" xfId="0" applyFont="1" applyFill="1" applyBorder="1" applyAlignment="1">
      <alignment horizontal="center" vertical="center" wrapText="1"/>
    </xf>
    <xf numFmtId="0" fontId="46" fillId="16" borderId="68" xfId="0" applyFont="1" applyFill="1" applyBorder="1" applyAlignment="1">
      <alignment horizontal="center" vertical="center" wrapText="1"/>
    </xf>
    <xf numFmtId="14" fontId="12" fillId="0" borderId="20" xfId="0" applyNumberFormat="1" applyFont="1" applyBorder="1" applyAlignment="1">
      <alignment horizontal="center" vertical="center"/>
    </xf>
    <xf numFmtId="14" fontId="12" fillId="0" borderId="57" xfId="0" applyNumberFormat="1" applyFont="1" applyBorder="1" applyAlignment="1">
      <alignment horizontal="center" vertical="center"/>
    </xf>
    <xf numFmtId="0" fontId="0" fillId="0" borderId="0" xfId="0" applyAlignment="1">
      <alignment horizontal="left"/>
    </xf>
    <xf numFmtId="2" fontId="7" fillId="24" borderId="55" xfId="0" applyNumberFormat="1" applyFont="1" applyFill="1" applyBorder="1" applyAlignment="1">
      <alignment horizontal="center"/>
    </xf>
    <xf numFmtId="2" fontId="32" fillId="24" borderId="55" xfId="16" applyNumberFormat="1" applyFont="1" applyFill="1" applyBorder="1" applyAlignment="1">
      <alignment horizontal="center"/>
    </xf>
    <xf numFmtId="0" fontId="7" fillId="7" borderId="157" xfId="0" applyFont="1" applyFill="1" applyBorder="1"/>
    <xf numFmtId="0" fontId="0" fillId="7" borderId="0" xfId="0" applyFill="1"/>
    <xf numFmtId="0" fontId="12" fillId="0" borderId="63" xfId="0" applyFont="1" applyBorder="1" applyAlignment="1">
      <alignment horizontal="center"/>
    </xf>
    <xf numFmtId="2" fontId="32" fillId="24" borderId="63" xfId="16" applyNumberFormat="1" applyFont="1" applyFill="1" applyBorder="1" applyAlignment="1">
      <alignment horizontal="center"/>
    </xf>
    <xf numFmtId="10" fontId="0" fillId="0" borderId="119" xfId="0" applyNumberFormat="1" applyBorder="1" applyAlignment="1">
      <alignment horizontal="center" vertical="center"/>
    </xf>
    <xf numFmtId="10" fontId="0" fillId="0" borderId="121" xfId="0" applyNumberFormat="1" applyBorder="1" applyAlignment="1">
      <alignment horizontal="center" vertical="center"/>
    </xf>
    <xf numFmtId="10" fontId="7" fillId="0" borderId="117" xfId="0" applyNumberFormat="1" applyFont="1" applyBorder="1" applyAlignment="1">
      <alignment horizontal="center" vertical="center"/>
    </xf>
    <xf numFmtId="10" fontId="7" fillId="0" borderId="121" xfId="0" applyNumberFormat="1" applyFont="1" applyBorder="1" applyAlignment="1">
      <alignment horizontal="center" vertical="center"/>
    </xf>
    <xf numFmtId="177" fontId="1" fillId="0" borderId="0" xfId="0" applyNumberFormat="1" applyFont="1" applyAlignment="1">
      <alignment horizontal="center"/>
    </xf>
    <xf numFmtId="177" fontId="1" fillId="0" borderId="47" xfId="0" applyNumberFormat="1" applyFont="1" applyBorder="1" applyAlignment="1">
      <alignment horizontal="center"/>
    </xf>
    <xf numFmtId="9" fontId="0" fillId="0" borderId="0" xfId="16" applyFont="1" applyAlignment="1">
      <alignment horizontal="left"/>
    </xf>
    <xf numFmtId="2" fontId="25" fillId="18" borderId="103" xfId="0" applyNumberFormat="1" applyFont="1" applyFill="1" applyBorder="1" applyAlignment="1">
      <alignment horizontal="center"/>
    </xf>
    <xf numFmtId="2" fontId="25" fillId="18" borderId="102" xfId="0" applyNumberFormat="1" applyFont="1" applyFill="1" applyBorder="1" applyAlignment="1">
      <alignment horizontal="center"/>
    </xf>
    <xf numFmtId="2" fontId="25" fillId="31" borderId="76" xfId="16" applyNumberFormat="1" applyFont="1" applyFill="1" applyBorder="1" applyAlignment="1">
      <alignment horizontal="center" vertical="center"/>
    </xf>
    <xf numFmtId="2" fontId="25" fillId="18" borderId="101" xfId="0" applyNumberFormat="1" applyFont="1" applyFill="1" applyBorder="1" applyAlignment="1">
      <alignment horizontal="center"/>
    </xf>
    <xf numFmtId="0" fontId="60" fillId="0" borderId="0" xfId="29" applyFont="1" applyAlignment="1">
      <alignment horizontal="center" vertical="center"/>
    </xf>
    <xf numFmtId="0" fontId="4" fillId="0" borderId="0" xfId="29"/>
    <xf numFmtId="0" fontId="4" fillId="0" borderId="39" xfId="29" applyBorder="1"/>
    <xf numFmtId="0" fontId="55" fillId="0" borderId="47" xfId="0" applyFont="1" applyBorder="1"/>
    <xf numFmtId="9" fontId="22" fillId="0" borderId="0" xfId="16" applyFont="1" applyAlignment="1">
      <alignment horizontal="center" vertical="center"/>
    </xf>
    <xf numFmtId="9" fontId="34" fillId="0" borderId="0" xfId="16" applyFont="1" applyAlignment="1">
      <alignment horizontal="center" vertical="center"/>
    </xf>
    <xf numFmtId="180" fontId="37" fillId="0" borderId="0" xfId="0" applyNumberFormat="1" applyFont="1"/>
    <xf numFmtId="2" fontId="0" fillId="24" borderId="63" xfId="0" applyNumberFormat="1" applyFill="1" applyBorder="1" applyAlignment="1">
      <alignment horizontal="center"/>
    </xf>
    <xf numFmtId="180" fontId="0" fillId="8" borderId="23" xfId="25" applyNumberFormat="1" applyFont="1" applyFill="1" applyBorder="1" applyAlignment="1">
      <alignment horizontal="center"/>
    </xf>
    <xf numFmtId="180" fontId="0" fillId="8" borderId="23" xfId="16" quotePrefix="1" applyNumberFormat="1" applyFont="1" applyFill="1" applyBorder="1" applyAlignment="1">
      <alignment horizontal="center"/>
    </xf>
    <xf numFmtId="181" fontId="0" fillId="24" borderId="23" xfId="0" applyNumberFormat="1" applyFill="1" applyBorder="1" applyAlignment="1">
      <alignment horizontal="center"/>
    </xf>
    <xf numFmtId="181" fontId="0" fillId="24" borderId="23" xfId="16" applyNumberFormat="1" applyFont="1" applyFill="1" applyBorder="1" applyAlignment="1">
      <alignment horizontal="center"/>
    </xf>
    <xf numFmtId="180" fontId="0" fillId="24" borderId="23" xfId="16" applyNumberFormat="1" applyFont="1" applyFill="1" applyBorder="1" applyAlignment="1">
      <alignment horizontal="center"/>
    </xf>
    <xf numFmtId="2" fontId="0" fillId="24" borderId="23" xfId="16" applyNumberFormat="1" applyFont="1" applyFill="1" applyBorder="1" applyAlignment="1">
      <alignment horizontal="center"/>
    </xf>
    <xf numFmtId="180" fontId="0" fillId="8" borderId="23" xfId="16" applyNumberFormat="1" applyFont="1" applyFill="1" applyBorder="1" applyAlignment="1">
      <alignment horizontal="center"/>
    </xf>
    <xf numFmtId="0" fontId="0" fillId="0" borderId="22" xfId="0" quotePrefix="1" applyBorder="1"/>
    <xf numFmtId="10" fontId="0" fillId="8" borderId="23" xfId="16" applyNumberFormat="1" applyFont="1" applyFill="1" applyBorder="1" applyAlignment="1">
      <alignment horizontal="center"/>
    </xf>
    <xf numFmtId="4" fontId="0" fillId="8" borderId="23" xfId="0" applyNumberFormat="1" applyFill="1" applyBorder="1" applyAlignment="1">
      <alignment horizontal="center"/>
    </xf>
    <xf numFmtId="0" fontId="0" fillId="0" borderId="22" xfId="0" applyBorder="1"/>
    <xf numFmtId="0" fontId="0" fillId="0" borderId="61" xfId="0" applyBorder="1" applyAlignment="1">
      <alignment horizontal="center" vertical="center"/>
    </xf>
    <xf numFmtId="185" fontId="7" fillId="0" borderId="113" xfId="26" applyNumberFormat="1" applyBorder="1"/>
    <xf numFmtId="0" fontId="7" fillId="0" borderId="0" xfId="26" applyAlignment="1">
      <alignment vertical="center" wrapText="1"/>
    </xf>
    <xf numFmtId="3" fontId="51" fillId="34" borderId="115" xfId="5" applyFont="1" applyFill="1" applyBorder="1" applyAlignment="1">
      <alignment horizontal="right" vertical="center" wrapText="1"/>
    </xf>
    <xf numFmtId="0" fontId="19" fillId="0" borderId="0" xfId="8" applyFill="1" applyBorder="1" applyAlignment="1">
      <alignment wrapText="1"/>
    </xf>
    <xf numFmtId="0" fontId="7" fillId="0" borderId="0" xfId="26" applyAlignment="1">
      <alignment wrapText="1"/>
    </xf>
    <xf numFmtId="0" fontId="0" fillId="0" borderId="0" xfId="0" applyAlignment="1">
      <alignment wrapText="1"/>
    </xf>
    <xf numFmtId="0" fontId="0" fillId="0" borderId="0" xfId="26" applyFont="1"/>
    <xf numFmtId="2" fontId="7" fillId="0" borderId="0" xfId="26" applyNumberFormat="1"/>
    <xf numFmtId="2" fontId="0" fillId="0" borderId="0" xfId="26" applyNumberFormat="1" applyFont="1"/>
    <xf numFmtId="10" fontId="0" fillId="8" borderId="103" xfId="16" applyNumberFormat="1" applyFont="1" applyFill="1" applyBorder="1" applyAlignment="1">
      <alignment horizontal="center" vertical="center"/>
    </xf>
    <xf numFmtId="0" fontId="57" fillId="0" borderId="0" xfId="0" applyFont="1"/>
    <xf numFmtId="179" fontId="7" fillId="0" borderId="0" xfId="0" applyNumberFormat="1" applyFont="1"/>
    <xf numFmtId="177" fontId="7" fillId="0" borderId="0" xfId="0" applyNumberFormat="1" applyFont="1"/>
    <xf numFmtId="179" fontId="25" fillId="0" borderId="0" xfId="0" applyNumberFormat="1" applyFont="1"/>
    <xf numFmtId="180" fontId="7" fillId="24" borderId="19" xfId="16" applyNumberFormat="1" applyFont="1" applyFill="1" applyBorder="1" applyAlignment="1">
      <alignment horizontal="center"/>
    </xf>
    <xf numFmtId="186" fontId="0" fillId="8" borderId="103" xfId="0" applyNumberFormat="1" applyFill="1" applyBorder="1" applyAlignment="1">
      <alignment horizontal="center"/>
    </xf>
    <xf numFmtId="184" fontId="33" fillId="24" borderId="103" xfId="0" applyNumberFormat="1" applyFont="1" applyFill="1" applyBorder="1" applyAlignment="1">
      <alignment horizontal="center"/>
    </xf>
    <xf numFmtId="38" fontId="64" fillId="0" borderId="162" xfId="0" applyNumberFormat="1" applyFont="1" applyBorder="1" applyAlignment="1">
      <alignment horizontal="right" wrapText="1"/>
    </xf>
    <xf numFmtId="187" fontId="64" fillId="0" borderId="162" xfId="0" applyNumberFormat="1" applyFont="1" applyBorder="1" applyAlignment="1">
      <alignment horizontal="right" wrapText="1"/>
    </xf>
    <xf numFmtId="2" fontId="64" fillId="0" borderId="162" xfId="0" applyNumberFormat="1" applyFont="1" applyBorder="1" applyAlignment="1">
      <alignment horizontal="right" wrapText="1"/>
    </xf>
    <xf numFmtId="2" fontId="34" fillId="0" borderId="0" xfId="0" applyNumberFormat="1" applyFont="1"/>
    <xf numFmtId="2" fontId="0" fillId="0" borderId="0" xfId="0" applyNumberFormat="1"/>
    <xf numFmtId="38" fontId="34" fillId="0" borderId="0" xfId="0" applyNumberFormat="1" applyFont="1"/>
    <xf numFmtId="3" fontId="34" fillId="0" borderId="0" xfId="21" applyNumberFormat="1" applyFont="1" applyAlignment="1">
      <alignment horizontal="center" vertical="center"/>
    </xf>
    <xf numFmtId="187" fontId="34" fillId="0" borderId="0" xfId="0" applyNumberFormat="1" applyFont="1"/>
    <xf numFmtId="3" fontId="35" fillId="0" borderId="0" xfId="21" applyNumberFormat="1" applyFont="1" applyAlignment="1">
      <alignment horizontal="center" vertical="center"/>
    </xf>
    <xf numFmtId="3" fontId="35" fillId="0" borderId="0" xfId="0" applyNumberFormat="1" applyFont="1" applyAlignment="1">
      <alignment horizontal="center" vertical="center"/>
    </xf>
    <xf numFmtId="3" fontId="34" fillId="0" borderId="0" xfId="0" applyNumberFormat="1" applyFont="1" applyAlignment="1">
      <alignment wrapText="1"/>
    </xf>
    <xf numFmtId="0" fontId="65" fillId="0" borderId="0" xfId="0" applyFont="1"/>
    <xf numFmtId="3" fontId="7" fillId="0" borderId="113" xfId="26" applyNumberFormat="1" applyBorder="1" applyAlignment="1">
      <alignment vertical="center"/>
    </xf>
    <xf numFmtId="3" fontId="7" fillId="0" borderId="113" xfId="26" applyNumberFormat="1" applyBorder="1" applyAlignment="1">
      <alignment vertical="center" wrapText="1"/>
    </xf>
    <xf numFmtId="3" fontId="7" fillId="33" borderId="113" xfId="26" applyNumberFormat="1" applyFill="1" applyBorder="1" applyAlignment="1">
      <alignment vertical="center"/>
    </xf>
    <xf numFmtId="10" fontId="7" fillId="8" borderId="103" xfId="16" applyNumberFormat="1" applyFont="1" applyFill="1" applyBorder="1" applyAlignment="1">
      <alignment horizontal="center" vertical="center"/>
    </xf>
    <xf numFmtId="3" fontId="12" fillId="27" borderId="163" xfId="16" applyNumberFormat="1" applyFont="1" applyFill="1" applyBorder="1" applyAlignment="1">
      <alignment horizontal="center"/>
    </xf>
    <xf numFmtId="180" fontId="12" fillId="26" borderId="163" xfId="16" applyNumberFormat="1" applyFont="1" applyFill="1" applyBorder="1" applyAlignment="1">
      <alignment horizontal="center"/>
    </xf>
    <xf numFmtId="3" fontId="0" fillId="25" borderId="163" xfId="0" applyNumberFormat="1" applyFill="1" applyBorder="1" applyAlignment="1">
      <alignment horizontal="center"/>
    </xf>
    <xf numFmtId="4" fontId="0" fillId="25" borderId="163" xfId="0" applyNumberFormat="1" applyFill="1" applyBorder="1" applyAlignment="1">
      <alignment horizontal="center"/>
    </xf>
    <xf numFmtId="3" fontId="0" fillId="25" borderId="35" xfId="0" applyNumberFormat="1" applyFill="1" applyBorder="1" applyAlignment="1">
      <alignment horizontal="center"/>
    </xf>
    <xf numFmtId="3" fontId="0" fillId="25" borderId="41" xfId="0" applyNumberFormat="1" applyFill="1" applyBorder="1" applyAlignment="1">
      <alignment horizontal="center"/>
    </xf>
    <xf numFmtId="0" fontId="39" fillId="44" borderId="158" xfId="0" applyFont="1" applyFill="1" applyBorder="1" applyAlignment="1">
      <alignment horizontal="center"/>
    </xf>
    <xf numFmtId="0" fontId="39" fillId="44" borderId="117" xfId="0" applyFont="1" applyFill="1" applyBorder="1" applyAlignment="1">
      <alignment horizontal="center"/>
    </xf>
    <xf numFmtId="0" fontId="39" fillId="44" borderId="164" xfId="0" applyFont="1" applyFill="1" applyBorder="1" applyAlignment="1">
      <alignment horizontal="center"/>
    </xf>
    <xf numFmtId="180" fontId="12" fillId="12" borderId="1" xfId="16" applyNumberFormat="1" applyFont="1" applyFill="1" applyBorder="1" applyAlignment="1">
      <alignment horizontal="center"/>
    </xf>
    <xf numFmtId="3" fontId="0" fillId="12" borderId="1" xfId="0" applyNumberFormat="1" applyFill="1" applyBorder="1" applyAlignment="1">
      <alignment horizontal="center"/>
    </xf>
    <xf numFmtId="3" fontId="0" fillId="12" borderId="46" xfId="0" applyNumberFormat="1" applyFill="1" applyBorder="1" applyAlignment="1">
      <alignment horizontal="center"/>
    </xf>
    <xf numFmtId="3" fontId="12" fillId="12" borderId="1" xfId="16" applyNumberFormat="1" applyFont="1" applyFill="1" applyBorder="1" applyAlignment="1">
      <alignment horizontal="center"/>
    </xf>
    <xf numFmtId="3" fontId="12" fillId="27" borderId="5" xfId="16" applyNumberFormat="1" applyFont="1" applyFill="1" applyBorder="1" applyAlignment="1">
      <alignment horizontal="center"/>
    </xf>
    <xf numFmtId="3" fontId="12" fillId="27" borderId="165" xfId="16" applyNumberFormat="1" applyFont="1" applyFill="1" applyBorder="1" applyAlignment="1">
      <alignment horizontal="center"/>
    </xf>
    <xf numFmtId="3" fontId="0" fillId="25" borderId="166" xfId="0" applyNumberFormat="1" applyFill="1" applyBorder="1" applyAlignment="1">
      <alignment horizontal="center"/>
    </xf>
    <xf numFmtId="3" fontId="12" fillId="27" borderId="117" xfId="16" applyNumberFormat="1" applyFont="1" applyFill="1" applyBorder="1" applyAlignment="1">
      <alignment horizontal="center"/>
    </xf>
    <xf numFmtId="180" fontId="12" fillId="9" borderId="1" xfId="16" applyNumberFormat="1" applyFont="1" applyFill="1" applyBorder="1" applyAlignment="1">
      <alignment horizontal="center"/>
    </xf>
    <xf numFmtId="3" fontId="0" fillId="9" borderId="1" xfId="0" applyNumberFormat="1" applyFill="1" applyBorder="1" applyAlignment="1">
      <alignment horizontal="center"/>
    </xf>
    <xf numFmtId="182" fontId="7" fillId="8" borderId="113" xfId="6" applyFont="1" applyFill="1" applyBorder="1" applyAlignment="1">
      <alignment horizontal="left" vertical="top" wrapText="1"/>
    </xf>
    <xf numFmtId="182" fontId="7" fillId="3" borderId="113" xfId="6" applyFont="1" applyBorder="1" applyAlignment="1">
      <alignment horizontal="left" vertical="top" wrapText="1"/>
    </xf>
    <xf numFmtId="3" fontId="12" fillId="34" borderId="116" xfId="5" applyFont="1" applyFill="1" applyBorder="1" applyAlignment="1">
      <alignment horizontal="left" vertical="top" wrapText="1"/>
    </xf>
    <xf numFmtId="4" fontId="7" fillId="3" borderId="113" xfId="7" applyFont="1" applyBorder="1" applyAlignment="1">
      <alignment horizontal="left" vertical="top" wrapText="1"/>
    </xf>
    <xf numFmtId="0" fontId="7" fillId="0" borderId="113" xfId="27" applyFont="1" applyBorder="1" applyAlignment="1">
      <alignment horizontal="left" vertical="top" wrapText="1"/>
    </xf>
    <xf numFmtId="4" fontId="7" fillId="0" borderId="113" xfId="7" applyFont="1" applyFill="1" applyBorder="1" applyAlignment="1">
      <alignment horizontal="left" vertical="top" wrapText="1"/>
    </xf>
    <xf numFmtId="4" fontId="7" fillId="8" borderId="113" xfId="7" applyFont="1" applyFill="1" applyBorder="1" applyAlignment="1">
      <alignment horizontal="left" vertical="top" wrapText="1"/>
    </xf>
    <xf numFmtId="4" fontId="7" fillId="45" borderId="113" xfId="7" applyFont="1" applyFill="1" applyBorder="1" applyAlignment="1">
      <alignment horizontal="right" vertical="center"/>
    </xf>
    <xf numFmtId="4" fontId="7" fillId="45" borderId="113" xfId="7" applyFont="1" applyFill="1" applyBorder="1" applyAlignment="1">
      <alignment horizontal="center" vertical="center"/>
    </xf>
    <xf numFmtId="4" fontId="7" fillId="45" borderId="113" xfId="7" applyFont="1" applyFill="1" applyBorder="1" applyAlignment="1">
      <alignment horizontal="left" vertical="top" wrapText="1"/>
    </xf>
    <xf numFmtId="182" fontId="7" fillId="8" borderId="113" xfId="6" applyFont="1" applyFill="1" applyBorder="1" applyAlignment="1">
      <alignment horizontal="left" vertical="center" wrapText="1"/>
    </xf>
    <xf numFmtId="182" fontId="7" fillId="8" borderId="113" xfId="6" applyFont="1" applyFill="1" applyBorder="1" applyAlignment="1">
      <alignment horizontal="center" vertical="center" wrapText="1"/>
    </xf>
    <xf numFmtId="4" fontId="7" fillId="34" borderId="115" xfId="7" applyFont="1" applyFill="1" applyBorder="1" applyAlignment="1">
      <alignment horizontal="center" vertical="center" wrapText="1"/>
    </xf>
    <xf numFmtId="4" fontId="31" fillId="0" borderId="113" xfId="7" applyFont="1" applyFill="1" applyBorder="1" applyAlignment="1">
      <alignment horizontal="center" vertical="center" wrapText="1"/>
    </xf>
    <xf numFmtId="182" fontId="7" fillId="45" borderId="113" xfId="6" applyFont="1" applyFill="1" applyBorder="1" applyAlignment="1">
      <alignment horizontal="center" vertical="center" wrapText="1"/>
    </xf>
    <xf numFmtId="10" fontId="62" fillId="35" borderId="113" xfId="26" applyNumberFormat="1" applyFont="1" applyFill="1" applyBorder="1"/>
    <xf numFmtId="10" fontId="62" fillId="35" borderId="169" xfId="26" applyNumberFormat="1" applyFont="1" applyFill="1" applyBorder="1"/>
    <xf numFmtId="10" fontId="62" fillId="35" borderId="114" xfId="26" applyNumberFormat="1" applyFont="1" applyFill="1" applyBorder="1"/>
    <xf numFmtId="10" fontId="62" fillId="35" borderId="120" xfId="26" applyNumberFormat="1" applyFont="1" applyFill="1" applyBorder="1"/>
    <xf numFmtId="10" fontId="62" fillId="35" borderId="171" xfId="26" applyNumberFormat="1" applyFont="1" applyFill="1" applyBorder="1"/>
    <xf numFmtId="10" fontId="62" fillId="35" borderId="170" xfId="26" applyNumberFormat="1" applyFont="1" applyFill="1" applyBorder="1"/>
    <xf numFmtId="10" fontId="8" fillId="35" borderId="113" xfId="26" applyNumberFormat="1" applyFont="1" applyFill="1" applyBorder="1"/>
    <xf numFmtId="4" fontId="31" fillId="9" borderId="113" xfId="7" applyFont="1" applyFill="1" applyBorder="1" applyAlignment="1">
      <alignment horizontal="right" vertical="center"/>
    </xf>
    <xf numFmtId="0" fontId="24" fillId="12" borderId="19" xfId="0" applyFont="1" applyFill="1" applyBorder="1" applyAlignment="1">
      <alignment horizontal="center"/>
    </xf>
    <xf numFmtId="4" fontId="24" fillId="12" borderId="113" xfId="7" applyFont="1" applyFill="1" applyBorder="1" applyAlignment="1">
      <alignment horizontal="right" vertical="center"/>
    </xf>
    <xf numFmtId="0" fontId="28" fillId="3" borderId="113" xfId="10" applyFont="1" applyBorder="1" applyAlignment="1">
      <alignment vertical="center" wrapText="1"/>
    </xf>
    <xf numFmtId="0" fontId="0" fillId="0" borderId="0" xfId="0" applyAlignment="1">
      <alignment horizontal="center" wrapText="1"/>
    </xf>
    <xf numFmtId="0" fontId="0" fillId="0" borderId="175" xfId="0" applyBorder="1" applyAlignment="1">
      <alignment horizontal="center"/>
    </xf>
    <xf numFmtId="10" fontId="0" fillId="0" borderId="180" xfId="0" applyNumberFormat="1" applyBorder="1" applyAlignment="1">
      <alignment horizontal="center"/>
    </xf>
    <xf numFmtId="0" fontId="0" fillId="0" borderId="185" xfId="0" applyBorder="1" applyAlignment="1">
      <alignment horizontal="center"/>
    </xf>
    <xf numFmtId="10" fontId="0" fillId="0" borderId="159" xfId="0" applyNumberFormat="1" applyBorder="1" applyAlignment="1">
      <alignment horizontal="center"/>
    </xf>
    <xf numFmtId="0" fontId="0" fillId="0" borderId="177" xfId="0" applyBorder="1" applyAlignment="1">
      <alignment horizontal="center"/>
    </xf>
    <xf numFmtId="10" fontId="0" fillId="0" borderId="181" xfId="0" applyNumberFormat="1" applyBorder="1" applyAlignment="1">
      <alignment horizontal="center"/>
    </xf>
    <xf numFmtId="0" fontId="0" fillId="0" borderId="186" xfId="0" applyBorder="1" applyAlignment="1">
      <alignment horizontal="center"/>
    </xf>
    <xf numFmtId="10" fontId="0" fillId="0" borderId="189" xfId="0" applyNumberFormat="1" applyBorder="1" applyAlignment="1">
      <alignment horizontal="center"/>
    </xf>
    <xf numFmtId="10" fontId="0" fillId="0" borderId="182" xfId="0" applyNumberFormat="1" applyBorder="1" applyAlignment="1">
      <alignment horizontal="center"/>
    </xf>
    <xf numFmtId="0" fontId="0" fillId="0" borderId="178" xfId="0" applyBorder="1" applyAlignment="1">
      <alignment horizontal="center"/>
    </xf>
    <xf numFmtId="0" fontId="69" fillId="0" borderId="47" xfId="0" applyFont="1" applyBorder="1"/>
    <xf numFmtId="0" fontId="70" fillId="0" borderId="46" xfId="0" applyFont="1" applyBorder="1"/>
    <xf numFmtId="0" fontId="69" fillId="0" borderId="46" xfId="0" applyFont="1" applyBorder="1"/>
    <xf numFmtId="0" fontId="69" fillId="46" borderId="46" xfId="0" applyFont="1" applyFill="1" applyBorder="1"/>
    <xf numFmtId="0" fontId="70" fillId="0" borderId="2" xfId="0" applyFont="1" applyBorder="1"/>
    <xf numFmtId="0" fontId="70" fillId="0" borderId="41" xfId="0" applyFont="1" applyBorder="1"/>
    <xf numFmtId="10" fontId="70" fillId="0" borderId="41" xfId="0" applyNumberFormat="1" applyFont="1" applyBorder="1"/>
    <xf numFmtId="10" fontId="70" fillId="46" borderId="41" xfId="0" applyNumberFormat="1" applyFont="1" applyFill="1" applyBorder="1"/>
    <xf numFmtId="0" fontId="71" fillId="0" borderId="2" xfId="0" applyFont="1" applyBorder="1"/>
    <xf numFmtId="0" fontId="71" fillId="0" borderId="41" xfId="0" applyFont="1" applyBorder="1"/>
    <xf numFmtId="10" fontId="71" fillId="0" borderId="41" xfId="0" applyNumberFormat="1" applyFont="1" applyBorder="1"/>
    <xf numFmtId="0" fontId="72" fillId="0" borderId="0" xfId="0" applyFont="1"/>
    <xf numFmtId="0" fontId="0" fillId="47" borderId="194" xfId="0" applyFill="1" applyBorder="1" applyAlignment="1">
      <alignment horizontal="center"/>
    </xf>
    <xf numFmtId="0" fontId="0" fillId="47" borderId="126" xfId="0" applyFill="1" applyBorder="1" applyAlignment="1">
      <alignment horizontal="center"/>
    </xf>
    <xf numFmtId="3" fontId="0" fillId="0" borderId="119" xfId="0" applyNumberFormat="1" applyBorder="1" applyAlignment="1">
      <alignment horizontal="center"/>
    </xf>
    <xf numFmtId="10" fontId="0" fillId="0" borderId="119" xfId="0" applyNumberFormat="1" applyBorder="1" applyAlignment="1">
      <alignment horizontal="center"/>
    </xf>
    <xf numFmtId="3" fontId="0" fillId="0" borderId="176" xfId="0" applyNumberFormat="1" applyBorder="1" applyAlignment="1">
      <alignment horizontal="center"/>
    </xf>
    <xf numFmtId="3" fontId="0" fillId="0" borderId="180" xfId="0" applyNumberFormat="1" applyBorder="1" applyAlignment="1">
      <alignment horizontal="center"/>
    </xf>
    <xf numFmtId="10" fontId="0" fillId="0" borderId="177" xfId="0" applyNumberFormat="1" applyBorder="1" applyAlignment="1">
      <alignment horizontal="center"/>
    </xf>
    <xf numFmtId="3" fontId="0" fillId="0" borderId="177" xfId="0" applyNumberFormat="1" applyBorder="1" applyAlignment="1">
      <alignment horizontal="center"/>
    </xf>
    <xf numFmtId="3" fontId="0" fillId="0" borderId="181" xfId="0" applyNumberFormat="1" applyBorder="1" applyAlignment="1">
      <alignment horizontal="center"/>
    </xf>
    <xf numFmtId="3" fontId="0" fillId="0" borderId="178" xfId="0" applyNumberFormat="1" applyBorder="1" applyAlignment="1">
      <alignment horizontal="center"/>
    </xf>
    <xf numFmtId="3" fontId="0" fillId="0" borderId="173" xfId="0" applyNumberFormat="1" applyBorder="1" applyAlignment="1">
      <alignment horizontal="center"/>
    </xf>
    <xf numFmtId="3" fontId="0" fillId="0" borderId="182" xfId="0" applyNumberFormat="1" applyBorder="1" applyAlignment="1">
      <alignment horizontal="center"/>
    </xf>
    <xf numFmtId="10" fontId="0" fillId="0" borderId="175" xfId="0" applyNumberFormat="1" applyBorder="1" applyAlignment="1">
      <alignment horizontal="center"/>
    </xf>
    <xf numFmtId="10" fontId="0" fillId="0" borderId="178" xfId="0" applyNumberFormat="1" applyBorder="1" applyAlignment="1">
      <alignment horizontal="center"/>
    </xf>
    <xf numFmtId="10" fontId="0" fillId="0" borderId="176" xfId="0" applyNumberFormat="1" applyBorder="1" applyAlignment="1">
      <alignment horizontal="center"/>
    </xf>
    <xf numFmtId="10" fontId="0" fillId="0" borderId="173" xfId="0" applyNumberFormat="1" applyBorder="1" applyAlignment="1">
      <alignment horizontal="center"/>
    </xf>
    <xf numFmtId="10" fontId="0" fillId="0" borderId="196" xfId="0" applyNumberFormat="1" applyBorder="1" applyAlignment="1">
      <alignment horizontal="center"/>
    </xf>
    <xf numFmtId="10" fontId="0" fillId="28" borderId="197" xfId="0" applyNumberFormat="1" applyFill="1" applyBorder="1" applyAlignment="1">
      <alignment horizontal="center"/>
    </xf>
    <xf numFmtId="0" fontId="0" fillId="47" borderId="185" xfId="0" applyFill="1" applyBorder="1" applyAlignment="1">
      <alignment horizontal="center"/>
    </xf>
    <xf numFmtId="0" fontId="0" fillId="47" borderId="186" xfId="0" applyFill="1" applyBorder="1" applyAlignment="1">
      <alignment horizontal="center"/>
    </xf>
    <xf numFmtId="0" fontId="0" fillId="47" borderId="187" xfId="0" applyFill="1" applyBorder="1" applyAlignment="1">
      <alignment horizontal="center"/>
    </xf>
    <xf numFmtId="0" fontId="0" fillId="47" borderId="188" xfId="0" applyFill="1" applyBorder="1" applyAlignment="1">
      <alignment horizontal="center"/>
    </xf>
    <xf numFmtId="9" fontId="0" fillId="0" borderId="0" xfId="0" applyNumberFormat="1" applyAlignment="1">
      <alignment horizontal="center"/>
    </xf>
    <xf numFmtId="10" fontId="0" fillId="0" borderId="198" xfId="0" applyNumberFormat="1" applyBorder="1" applyAlignment="1">
      <alignment horizontal="center"/>
    </xf>
    <xf numFmtId="10" fontId="0" fillId="0" borderId="184" xfId="0" applyNumberFormat="1" applyBorder="1" applyAlignment="1">
      <alignment horizontal="center"/>
    </xf>
    <xf numFmtId="0" fontId="0" fillId="47" borderId="179" xfId="0" applyFill="1" applyBorder="1" applyAlignment="1">
      <alignment horizontal="center"/>
    </xf>
    <xf numFmtId="10" fontId="0" fillId="0" borderId="199" xfId="0" applyNumberFormat="1" applyBorder="1" applyAlignment="1">
      <alignment horizontal="center"/>
    </xf>
    <xf numFmtId="10" fontId="0" fillId="0" borderId="200" xfId="0" applyNumberFormat="1" applyBorder="1" applyAlignment="1">
      <alignment horizontal="center"/>
    </xf>
    <xf numFmtId="10" fontId="0" fillId="0" borderId="185" xfId="0" applyNumberFormat="1" applyBorder="1" applyAlignment="1">
      <alignment horizontal="center"/>
    </xf>
    <xf numFmtId="10" fontId="0" fillId="0" borderId="186" xfId="0" applyNumberFormat="1" applyBorder="1" applyAlignment="1">
      <alignment horizontal="center"/>
    </xf>
    <xf numFmtId="0" fontId="68" fillId="0" borderId="0" xfId="0" applyFont="1" applyAlignment="1">
      <alignment wrapText="1"/>
    </xf>
    <xf numFmtId="0" fontId="68" fillId="0" borderId="0" xfId="0" quotePrefix="1" applyFont="1" applyAlignment="1">
      <alignment wrapText="1"/>
    </xf>
    <xf numFmtId="2" fontId="0" fillId="0" borderId="183" xfId="0" applyNumberFormat="1" applyBorder="1" applyAlignment="1">
      <alignment horizontal="center"/>
    </xf>
    <xf numFmtId="2" fontId="0" fillId="0" borderId="198" xfId="0" applyNumberFormat="1" applyBorder="1" applyAlignment="1">
      <alignment horizontal="center"/>
    </xf>
    <xf numFmtId="2" fontId="0" fillId="0" borderId="184" xfId="0" applyNumberFormat="1" applyBorder="1" applyAlignment="1">
      <alignment horizontal="center"/>
    </xf>
    <xf numFmtId="10" fontId="0" fillId="8" borderId="197" xfId="0" applyNumberFormat="1" applyFill="1" applyBorder="1" applyAlignment="1">
      <alignment horizontal="center"/>
    </xf>
    <xf numFmtId="0" fontId="0" fillId="0" borderId="192" xfId="0" applyBorder="1" applyAlignment="1">
      <alignment horizontal="center"/>
    </xf>
    <xf numFmtId="0" fontId="0" fillId="0" borderId="191" xfId="0" applyBorder="1" applyAlignment="1">
      <alignment horizontal="center"/>
    </xf>
    <xf numFmtId="2" fontId="0" fillId="0" borderId="0" xfId="0" applyNumberFormat="1" applyAlignment="1">
      <alignment horizontal="center"/>
    </xf>
    <xf numFmtId="0" fontId="12" fillId="8" borderId="96" xfId="0" applyFont="1" applyFill="1" applyBorder="1" applyAlignment="1">
      <alignment horizontal="left"/>
    </xf>
    <xf numFmtId="0" fontId="12" fillId="8" borderId="91" xfId="0" applyFont="1" applyFill="1" applyBorder="1" applyAlignment="1">
      <alignment horizontal="left"/>
    </xf>
    <xf numFmtId="0" fontId="12" fillId="8" borderId="92" xfId="0" applyFont="1" applyFill="1" applyBorder="1" applyAlignment="1">
      <alignment horizontal="left"/>
    </xf>
    <xf numFmtId="0" fontId="12" fillId="8" borderId="96" xfId="0" applyFont="1" applyFill="1" applyBorder="1"/>
    <xf numFmtId="9" fontId="12" fillId="0" borderId="203" xfId="0" applyNumberFormat="1" applyFont="1" applyBorder="1" applyAlignment="1">
      <alignment horizontal="center"/>
    </xf>
    <xf numFmtId="9" fontId="12" fillId="0" borderId="204" xfId="0" applyNumberFormat="1" applyFont="1" applyBorder="1" applyAlignment="1">
      <alignment horizontal="center"/>
    </xf>
    <xf numFmtId="9" fontId="12" fillId="0" borderId="205" xfId="0" applyNumberFormat="1" applyFont="1" applyBorder="1" applyAlignment="1">
      <alignment horizontal="center"/>
    </xf>
    <xf numFmtId="10" fontId="0" fillId="33" borderId="74" xfId="0" applyNumberFormat="1" applyFill="1" applyBorder="1"/>
    <xf numFmtId="179" fontId="0" fillId="0" borderId="206" xfId="0" applyNumberFormat="1" applyBorder="1" applyAlignment="1">
      <alignment horizontal="center"/>
    </xf>
    <xf numFmtId="0" fontId="12" fillId="0" borderId="95" xfId="0" applyFont="1" applyBorder="1" applyAlignment="1">
      <alignment horizontal="center"/>
    </xf>
    <xf numFmtId="9" fontId="7" fillId="0" borderId="208" xfId="0" applyNumberFormat="1" applyFont="1" applyBorder="1" applyAlignment="1">
      <alignment horizontal="center"/>
    </xf>
    <xf numFmtId="9" fontId="7" fillId="0" borderId="209" xfId="0" applyNumberFormat="1" applyFont="1" applyBorder="1" applyAlignment="1">
      <alignment horizontal="center"/>
    </xf>
    <xf numFmtId="9" fontId="7" fillId="0" borderId="210" xfId="0" applyNumberFormat="1" applyFont="1" applyBorder="1" applyAlignment="1">
      <alignment horizontal="center"/>
    </xf>
    <xf numFmtId="9" fontId="12" fillId="0" borderId="211" xfId="0" applyNumberFormat="1" applyFont="1" applyBorder="1" applyAlignment="1">
      <alignment horizontal="center"/>
    </xf>
    <xf numFmtId="9" fontId="12" fillId="0" borderId="212" xfId="0" applyNumberFormat="1" applyFont="1" applyBorder="1" applyAlignment="1">
      <alignment horizontal="center"/>
    </xf>
    <xf numFmtId="9" fontId="12" fillId="0" borderId="213" xfId="0" applyNumberFormat="1" applyFont="1" applyBorder="1" applyAlignment="1">
      <alignment horizontal="center"/>
    </xf>
    <xf numFmtId="0" fontId="0" fillId="33" borderId="52" xfId="0" applyFill="1" applyBorder="1"/>
    <xf numFmtId="10" fontId="0" fillId="33" borderId="52" xfId="0" applyNumberFormat="1" applyFill="1" applyBorder="1"/>
    <xf numFmtId="0" fontId="12" fillId="8" borderId="214" xfId="0" applyFont="1" applyFill="1" applyBorder="1" applyAlignment="1">
      <alignment horizontal="center"/>
    </xf>
    <xf numFmtId="0" fontId="12" fillId="8" borderId="215" xfId="0" applyFont="1" applyFill="1" applyBorder="1" applyAlignment="1">
      <alignment horizontal="center"/>
    </xf>
    <xf numFmtId="0" fontId="12" fillId="8" borderId="216" xfId="0" applyFont="1" applyFill="1" applyBorder="1" applyAlignment="1">
      <alignment horizontal="center"/>
    </xf>
    <xf numFmtId="0" fontId="0" fillId="33" borderId="74" xfId="0" applyFill="1" applyBorder="1"/>
    <xf numFmtId="0" fontId="0" fillId="33" borderId="79" xfId="0" applyFill="1" applyBorder="1"/>
    <xf numFmtId="10" fontId="0" fillId="0" borderId="183" xfId="0" applyNumberFormat="1" applyBorder="1" applyAlignment="1">
      <alignment horizontal="center"/>
    </xf>
    <xf numFmtId="2" fontId="0" fillId="0" borderId="231" xfId="0" applyNumberFormat="1" applyBorder="1" applyAlignment="1">
      <alignment horizontal="center"/>
    </xf>
    <xf numFmtId="2" fontId="0" fillId="0" borderId="131" xfId="0" applyNumberFormat="1" applyBorder="1" applyAlignment="1">
      <alignment horizontal="center"/>
    </xf>
    <xf numFmtId="2" fontId="0" fillId="0" borderId="132" xfId="0" applyNumberFormat="1" applyBorder="1" applyAlignment="1">
      <alignment horizontal="center"/>
    </xf>
    <xf numFmtId="10" fontId="0" fillId="28" borderId="182" xfId="0" applyNumberFormat="1" applyFill="1" applyBorder="1" applyAlignment="1">
      <alignment horizontal="center"/>
    </xf>
    <xf numFmtId="0" fontId="12" fillId="0" borderId="123" xfId="0" applyFont="1" applyBorder="1" applyAlignment="1">
      <alignment horizontal="center"/>
    </xf>
    <xf numFmtId="2" fontId="0" fillId="0" borderId="236" xfId="0" applyNumberFormat="1" applyBorder="1" applyAlignment="1">
      <alignment horizontal="center"/>
    </xf>
    <xf numFmtId="2" fontId="0" fillId="0" borderId="199" xfId="0" applyNumberFormat="1" applyBorder="1" applyAlignment="1">
      <alignment horizontal="center"/>
    </xf>
    <xf numFmtId="0" fontId="7" fillId="39" borderId="0" xfId="0" applyFont="1" applyFill="1"/>
    <xf numFmtId="10" fontId="0" fillId="25" borderId="1" xfId="0" applyNumberFormat="1" applyFill="1" applyBorder="1" applyAlignment="1">
      <alignment horizontal="center"/>
    </xf>
    <xf numFmtId="0" fontId="0" fillId="0" borderId="126" xfId="0" applyBorder="1" applyAlignment="1">
      <alignment horizontal="center"/>
    </xf>
    <xf numFmtId="0" fontId="0" fillId="0" borderId="237" xfId="0" applyBorder="1" applyAlignment="1">
      <alignment horizontal="center"/>
    </xf>
    <xf numFmtId="0" fontId="0" fillId="0" borderId="238" xfId="0" applyBorder="1" applyAlignment="1">
      <alignment horizontal="center"/>
    </xf>
    <xf numFmtId="0" fontId="0" fillId="0" borderId="239" xfId="0" applyBorder="1" applyAlignment="1">
      <alignment horizontal="center"/>
    </xf>
    <xf numFmtId="0" fontId="0" fillId="0" borderId="193" xfId="0" applyBorder="1" applyAlignment="1">
      <alignment horizontal="center"/>
    </xf>
    <xf numFmtId="0" fontId="0" fillId="0" borderId="145" xfId="0" applyBorder="1" applyAlignment="1">
      <alignment horizontal="center"/>
    </xf>
    <xf numFmtId="10" fontId="0" fillId="0" borderId="238" xfId="0" applyNumberFormat="1" applyBorder="1" applyAlignment="1">
      <alignment horizontal="center"/>
    </xf>
    <xf numFmtId="10" fontId="0" fillId="0" borderId="239" xfId="0" applyNumberFormat="1" applyBorder="1" applyAlignment="1">
      <alignment horizontal="center"/>
    </xf>
    <xf numFmtId="10" fontId="0" fillId="0" borderId="240" xfId="0" applyNumberFormat="1" applyBorder="1" applyAlignment="1">
      <alignment horizontal="center"/>
    </xf>
    <xf numFmtId="0" fontId="0" fillId="0" borderId="139" xfId="0" applyBorder="1" applyAlignment="1">
      <alignment horizontal="center"/>
    </xf>
    <xf numFmtId="10" fontId="0" fillId="0" borderId="242" xfId="0" applyNumberFormat="1" applyBorder="1" applyAlignment="1">
      <alignment horizontal="center"/>
    </xf>
    <xf numFmtId="10" fontId="0" fillId="0" borderId="243" xfId="0" applyNumberFormat="1" applyBorder="1" applyAlignment="1">
      <alignment horizontal="center"/>
    </xf>
    <xf numFmtId="10" fontId="0" fillId="0" borderId="125" xfId="0" applyNumberFormat="1" applyBorder="1" applyAlignment="1">
      <alignment horizontal="center"/>
    </xf>
    <xf numFmtId="0" fontId="0" fillId="0" borderId="244" xfId="0" applyBorder="1" applyAlignment="1">
      <alignment horizontal="center"/>
    </xf>
    <xf numFmtId="0" fontId="0" fillId="0" borderId="245" xfId="0" applyBorder="1" applyAlignment="1">
      <alignment horizontal="center"/>
    </xf>
    <xf numFmtId="0" fontId="0" fillId="0" borderId="246" xfId="0" applyBorder="1" applyAlignment="1">
      <alignment horizontal="center"/>
    </xf>
    <xf numFmtId="2" fontId="0" fillId="0" borderId="119" xfId="0" applyNumberFormat="1" applyBorder="1" applyAlignment="1">
      <alignment horizontal="center"/>
    </xf>
    <xf numFmtId="2" fontId="0" fillId="0" borderId="181" xfId="0" applyNumberFormat="1" applyBorder="1" applyAlignment="1">
      <alignment horizontal="center"/>
    </xf>
    <xf numFmtId="0" fontId="0" fillId="47" borderId="195" xfId="0" applyFill="1" applyBorder="1" applyAlignment="1">
      <alignment horizontal="center"/>
    </xf>
    <xf numFmtId="10" fontId="0" fillId="8" borderId="196" xfId="0" applyNumberFormat="1" applyFill="1" applyBorder="1" applyAlignment="1">
      <alignment horizontal="center"/>
    </xf>
    <xf numFmtId="10" fontId="0" fillId="8" borderId="248" xfId="0" applyNumberFormat="1" applyFill="1" applyBorder="1" applyAlignment="1">
      <alignment horizontal="center"/>
    </xf>
    <xf numFmtId="0" fontId="0" fillId="47" borderId="129" xfId="0" applyFill="1" applyBorder="1" applyAlignment="1">
      <alignment horizontal="center"/>
    </xf>
    <xf numFmtId="10" fontId="0" fillId="0" borderId="190" xfId="0" applyNumberFormat="1" applyBorder="1" applyAlignment="1">
      <alignment horizontal="center"/>
    </xf>
    <xf numFmtId="10" fontId="0" fillId="0" borderId="192" xfId="0" applyNumberFormat="1" applyBorder="1" applyAlignment="1">
      <alignment horizontal="center"/>
    </xf>
    <xf numFmtId="10" fontId="0" fillId="0" borderId="191" xfId="0" applyNumberFormat="1" applyBorder="1" applyAlignment="1">
      <alignment horizontal="center"/>
    </xf>
    <xf numFmtId="0" fontId="0" fillId="47" borderId="183" xfId="0" applyFill="1" applyBorder="1" applyAlignment="1">
      <alignment horizontal="center"/>
    </xf>
    <xf numFmtId="0" fontId="53" fillId="0" borderId="251" xfId="0" applyFont="1" applyBorder="1" applyAlignment="1">
      <alignment horizontal="center" vertical="center"/>
    </xf>
    <xf numFmtId="0" fontId="53" fillId="0" borderId="181" xfId="0" applyFont="1" applyBorder="1" applyAlignment="1">
      <alignment horizontal="center" vertical="center"/>
    </xf>
    <xf numFmtId="0" fontId="53" fillId="0" borderId="182" xfId="0" applyFont="1" applyBorder="1" applyAlignment="1">
      <alignment horizontal="center" vertical="center"/>
    </xf>
    <xf numFmtId="0" fontId="55" fillId="0" borderId="198" xfId="0" applyFont="1" applyBorder="1" applyAlignment="1">
      <alignment horizontal="center" vertical="center"/>
    </xf>
    <xf numFmtId="0" fontId="55" fillId="0" borderId="122" xfId="0" applyFont="1" applyBorder="1" applyAlignment="1">
      <alignment horizontal="center" vertical="center"/>
    </xf>
    <xf numFmtId="0" fontId="55" fillId="0" borderId="184" xfId="0" applyFont="1" applyBorder="1" applyAlignment="1">
      <alignment horizontal="center" vertical="center"/>
    </xf>
    <xf numFmtId="10" fontId="0" fillId="0" borderId="120" xfId="0" applyNumberFormat="1" applyBorder="1" applyAlignment="1">
      <alignment horizontal="center" vertical="center"/>
    </xf>
    <xf numFmtId="10" fontId="0" fillId="0" borderId="252" xfId="0" applyNumberFormat="1" applyBorder="1" applyAlignment="1">
      <alignment horizontal="center" vertical="center"/>
    </xf>
    <xf numFmtId="3" fontId="0" fillId="25" borderId="5" xfId="0" applyNumberFormat="1" applyFill="1" applyBorder="1" applyAlignment="1">
      <alignment horizontal="center"/>
    </xf>
    <xf numFmtId="3" fontId="0" fillId="25" borderId="165" xfId="0" applyNumberFormat="1" applyFill="1" applyBorder="1" applyAlignment="1">
      <alignment horizontal="center"/>
    </xf>
    <xf numFmtId="3" fontId="0" fillId="49" borderId="117" xfId="0" applyNumberFormat="1" applyFill="1" applyBorder="1" applyAlignment="1">
      <alignment horizontal="center"/>
    </xf>
    <xf numFmtId="0" fontId="0" fillId="47" borderId="139" xfId="0" applyFill="1" applyBorder="1" applyAlignment="1">
      <alignment horizontal="center"/>
    </xf>
    <xf numFmtId="1" fontId="7" fillId="0" borderId="119" xfId="0" applyNumberFormat="1" applyFont="1" applyBorder="1" applyAlignment="1">
      <alignment horizontal="center" vertical="center"/>
    </xf>
    <xf numFmtId="1" fontId="7" fillId="0" borderId="177" xfId="0" applyNumberFormat="1" applyFont="1" applyBorder="1" applyAlignment="1">
      <alignment horizontal="center" vertical="center"/>
    </xf>
    <xf numFmtId="10" fontId="0" fillId="8" borderId="0" xfId="0" applyNumberFormat="1" applyFill="1" applyAlignment="1">
      <alignment horizontal="center"/>
    </xf>
    <xf numFmtId="2" fontId="0" fillId="8" borderId="179" xfId="0" applyNumberFormat="1" applyFill="1" applyBorder="1" applyAlignment="1">
      <alignment horizontal="center"/>
    </xf>
    <xf numFmtId="1" fontId="7" fillId="0" borderId="181" xfId="0" applyNumberFormat="1" applyFont="1" applyBorder="1" applyAlignment="1">
      <alignment horizontal="center" vertical="center"/>
    </xf>
    <xf numFmtId="2" fontId="0" fillId="0" borderId="200" xfId="0" applyNumberFormat="1" applyBorder="1" applyAlignment="1">
      <alignment horizontal="center"/>
    </xf>
    <xf numFmtId="0" fontId="7" fillId="0" borderId="113" xfId="10" applyFont="1" applyFill="1" applyBorder="1" applyAlignment="1">
      <alignment horizontal="center" vertical="center" wrapText="1"/>
    </xf>
    <xf numFmtId="0" fontId="7" fillId="45" borderId="113" xfId="10" applyFont="1" applyFill="1" applyBorder="1" applyAlignment="1">
      <alignment horizontal="center" vertical="center" wrapText="1"/>
    </xf>
    <xf numFmtId="10" fontId="8" fillId="35" borderId="169" xfId="26" applyNumberFormat="1" applyFont="1" applyFill="1" applyBorder="1"/>
    <xf numFmtId="10" fontId="8" fillId="35" borderId="164" xfId="26" applyNumberFormat="1" applyFont="1" applyFill="1" applyBorder="1"/>
    <xf numFmtId="10" fontId="8" fillId="35" borderId="171" xfId="26" applyNumberFormat="1" applyFont="1" applyFill="1" applyBorder="1"/>
    <xf numFmtId="10" fontId="62" fillId="35" borderId="119" xfId="26" applyNumberFormat="1" applyFont="1" applyFill="1" applyBorder="1" applyAlignment="1">
      <alignment horizontal="center"/>
    </xf>
    <xf numFmtId="10" fontId="62" fillId="35" borderId="164" xfId="26" applyNumberFormat="1" applyFont="1" applyFill="1" applyBorder="1" applyAlignment="1">
      <alignment horizontal="center"/>
    </xf>
    <xf numFmtId="10" fontId="62" fillId="35" borderId="113" xfId="26" applyNumberFormat="1" applyFont="1" applyFill="1" applyBorder="1" applyAlignment="1">
      <alignment horizontal="center"/>
    </xf>
    <xf numFmtId="0" fontId="0" fillId="14" borderId="139" xfId="0" applyFill="1" applyBorder="1" applyAlignment="1">
      <alignment horizontal="center"/>
    </xf>
    <xf numFmtId="1" fontId="7" fillId="0" borderId="158" xfId="0" applyNumberFormat="1" applyFont="1" applyBorder="1" applyAlignment="1">
      <alignment horizontal="center" vertical="center"/>
    </xf>
    <xf numFmtId="0" fontId="60" fillId="0" borderId="3" xfId="29" applyFont="1" applyBorder="1" applyAlignment="1">
      <alignment horizontal="center" vertical="center"/>
    </xf>
    <xf numFmtId="0" fontId="60" fillId="0" borderId="2" xfId="29" applyFont="1" applyBorder="1" applyAlignment="1">
      <alignment horizontal="center" vertical="center"/>
    </xf>
    <xf numFmtId="0" fontId="0" fillId="0" borderId="158" xfId="0" applyBorder="1" applyAlignment="1">
      <alignment horizontal="center" vertical="center" wrapText="1"/>
    </xf>
    <xf numFmtId="2" fontId="0" fillId="0" borderId="158" xfId="0" applyNumberFormat="1" applyBorder="1" applyAlignment="1">
      <alignment horizontal="center"/>
    </xf>
    <xf numFmtId="2" fontId="0" fillId="0" borderId="177" xfId="0" applyNumberFormat="1" applyBorder="1" applyAlignment="1">
      <alignment horizontal="center"/>
    </xf>
    <xf numFmtId="2" fontId="0" fillId="0" borderId="188" xfId="0" applyNumberFormat="1" applyBorder="1" applyAlignment="1">
      <alignment horizontal="center"/>
    </xf>
    <xf numFmtId="10" fontId="0" fillId="0" borderId="173" xfId="0" applyNumberFormat="1" applyBorder="1" applyAlignment="1">
      <alignment horizontal="center" vertical="center"/>
    </xf>
    <xf numFmtId="2" fontId="0" fillId="0" borderId="250" xfId="0" applyNumberFormat="1" applyBorder="1" applyAlignment="1">
      <alignment horizontal="center"/>
    </xf>
    <xf numFmtId="0" fontId="12" fillId="0" borderId="258" xfId="0" applyFont="1" applyBorder="1" applyAlignment="1">
      <alignment horizontal="center"/>
    </xf>
    <xf numFmtId="0" fontId="7" fillId="12" borderId="30" xfId="0" applyFont="1" applyFill="1" applyBorder="1" applyAlignment="1">
      <alignment horizontal="center"/>
    </xf>
    <xf numFmtId="0" fontId="7" fillId="7" borderId="30" xfId="0" applyFont="1" applyFill="1" applyBorder="1"/>
    <xf numFmtId="180" fontId="7" fillId="7" borderId="30" xfId="16" applyNumberFormat="1" applyFont="1" applyFill="1" applyBorder="1" applyAlignment="1">
      <alignment horizontal="center"/>
    </xf>
    <xf numFmtId="0" fontId="7" fillId="8" borderId="34" xfId="0" applyFont="1" applyFill="1" applyBorder="1" applyAlignment="1">
      <alignment horizontal="center" vertical="center"/>
    </xf>
    <xf numFmtId="9" fontId="7" fillId="7" borderId="30" xfId="16" applyFont="1" applyFill="1" applyBorder="1" applyAlignment="1">
      <alignment horizontal="center"/>
    </xf>
    <xf numFmtId="0" fontId="7" fillId="0" borderId="30" xfId="0" applyFont="1" applyBorder="1"/>
    <xf numFmtId="10" fontId="0" fillId="8" borderId="65" xfId="25" applyNumberFormat="1" applyFont="1" applyFill="1" applyBorder="1" applyAlignment="1">
      <alignment horizontal="center"/>
    </xf>
    <xf numFmtId="0" fontId="26" fillId="32" borderId="257" xfId="0" applyFont="1" applyFill="1" applyBorder="1" applyAlignment="1">
      <alignment horizontal="center"/>
    </xf>
    <xf numFmtId="0" fontId="12" fillId="0" borderId="183" xfId="0" applyFont="1" applyBorder="1" applyAlignment="1">
      <alignment horizontal="center"/>
    </xf>
    <xf numFmtId="0" fontId="12" fillId="0" borderId="198" xfId="0" applyFont="1" applyBorder="1" applyAlignment="1">
      <alignment horizontal="center"/>
    </xf>
    <xf numFmtId="0" fontId="12" fillId="0" borderId="184" xfId="0" applyFont="1" applyBorder="1" applyAlignment="1">
      <alignment horizontal="center"/>
    </xf>
    <xf numFmtId="2" fontId="12" fillId="0" borderId="231" xfId="0" applyNumberFormat="1" applyFont="1" applyBorder="1" applyAlignment="1">
      <alignment horizontal="center"/>
    </xf>
    <xf numFmtId="2" fontId="12" fillId="0" borderId="131" xfId="0" applyNumberFormat="1" applyFont="1" applyBorder="1" applyAlignment="1">
      <alignment horizontal="center"/>
    </xf>
    <xf numFmtId="2" fontId="12" fillId="0" borderId="132" xfId="0" applyNumberFormat="1" applyFont="1" applyBorder="1" applyAlignment="1">
      <alignment horizontal="center"/>
    </xf>
    <xf numFmtId="10" fontId="12" fillId="0" borderId="0" xfId="0" applyNumberFormat="1" applyFont="1"/>
    <xf numFmtId="0" fontId="0" fillId="0" borderId="0" xfId="0" applyAlignment="1">
      <alignment horizontal="center" vertical="center" wrapText="1"/>
    </xf>
    <xf numFmtId="0" fontId="0" fillId="14" borderId="129" xfId="0" applyFill="1" applyBorder="1" applyAlignment="1">
      <alignment horizontal="center"/>
    </xf>
    <xf numFmtId="0" fontId="0" fillId="14" borderId="187" xfId="0" applyFill="1" applyBorder="1" applyAlignment="1">
      <alignment horizontal="center"/>
    </xf>
    <xf numFmtId="0" fontId="0" fillId="14" borderId="195" xfId="0" applyFill="1" applyBorder="1" applyAlignment="1">
      <alignment horizontal="center"/>
    </xf>
    <xf numFmtId="0" fontId="0" fillId="14" borderId="188" xfId="0" applyFill="1" applyBorder="1" applyAlignment="1">
      <alignment horizontal="center"/>
    </xf>
    <xf numFmtId="10" fontId="0" fillId="0" borderId="260" xfId="0" applyNumberFormat="1" applyBorder="1" applyAlignment="1">
      <alignment horizontal="center"/>
    </xf>
    <xf numFmtId="0" fontId="0" fillId="14" borderId="179" xfId="0" applyFill="1" applyBorder="1" applyAlignment="1">
      <alignment horizontal="center"/>
    </xf>
    <xf numFmtId="9" fontId="0" fillId="31" borderId="78" xfId="16" applyFont="1" applyFill="1" applyBorder="1" applyAlignment="1">
      <alignment horizontal="center" vertical="center"/>
    </xf>
    <xf numFmtId="2" fontId="0" fillId="0" borderId="201" xfId="0" applyNumberFormat="1" applyBorder="1" applyAlignment="1">
      <alignment horizontal="center"/>
    </xf>
    <xf numFmtId="2" fontId="0" fillId="0" borderId="182" xfId="0" applyNumberFormat="1" applyBorder="1" applyAlignment="1">
      <alignment horizontal="center"/>
    </xf>
    <xf numFmtId="0" fontId="0" fillId="0" borderId="261" xfId="0" applyBorder="1" applyAlignment="1">
      <alignment horizontal="center"/>
    </xf>
    <xf numFmtId="2" fontId="0" fillId="0" borderId="178" xfId="0" applyNumberFormat="1" applyBorder="1" applyAlignment="1">
      <alignment horizontal="center"/>
    </xf>
    <xf numFmtId="2" fontId="0" fillId="0" borderId="173" xfId="0" applyNumberFormat="1" applyBorder="1" applyAlignment="1">
      <alignment horizontal="center"/>
    </xf>
    <xf numFmtId="0" fontId="0" fillId="0" borderId="250" xfId="0" applyBorder="1" applyAlignment="1">
      <alignment horizontal="center" vertical="center" wrapText="1"/>
    </xf>
    <xf numFmtId="0" fontId="0" fillId="0" borderId="197" xfId="0" applyBorder="1" applyAlignment="1">
      <alignment horizontal="center"/>
    </xf>
    <xf numFmtId="2" fontId="0" fillId="0" borderId="164" xfId="0" applyNumberFormat="1" applyBorder="1" applyAlignment="1">
      <alignment horizontal="center"/>
    </xf>
    <xf numFmtId="2" fontId="0" fillId="0" borderId="189" xfId="0" applyNumberFormat="1" applyBorder="1" applyAlignment="1">
      <alignment horizontal="center"/>
    </xf>
    <xf numFmtId="10" fontId="0" fillId="0" borderId="128" xfId="0" applyNumberFormat="1" applyBorder="1" applyAlignment="1">
      <alignment horizontal="center"/>
    </xf>
    <xf numFmtId="2" fontId="12" fillId="0" borderId="183" xfId="0" applyNumberFormat="1" applyFont="1" applyBorder="1" applyAlignment="1">
      <alignment horizontal="center"/>
    </xf>
    <xf numFmtId="2" fontId="12" fillId="0" borderId="198" xfId="0" applyNumberFormat="1" applyFont="1" applyBorder="1" applyAlignment="1">
      <alignment horizontal="center"/>
    </xf>
    <xf numFmtId="2" fontId="12" fillId="0" borderId="184" xfId="0" applyNumberFormat="1" applyFont="1" applyBorder="1" applyAlignment="1">
      <alignment horizontal="center"/>
    </xf>
    <xf numFmtId="10" fontId="12" fillId="0" borderId="231" xfId="0" applyNumberFormat="1" applyFont="1" applyBorder="1" applyAlignment="1">
      <alignment horizontal="center"/>
    </xf>
    <xf numFmtId="10" fontId="12" fillId="0" borderId="131" xfId="0" applyNumberFormat="1" applyFont="1" applyBorder="1" applyAlignment="1">
      <alignment horizontal="center"/>
    </xf>
    <xf numFmtId="10" fontId="12" fillId="0" borderId="132" xfId="0" applyNumberFormat="1" applyFont="1" applyBorder="1" applyAlignment="1">
      <alignment horizontal="center"/>
    </xf>
    <xf numFmtId="3" fontId="0" fillId="0" borderId="175" xfId="0" applyNumberFormat="1" applyBorder="1" applyAlignment="1">
      <alignment horizontal="center"/>
    </xf>
    <xf numFmtId="0" fontId="0" fillId="14" borderId="139" xfId="0" applyFill="1" applyBorder="1" applyAlignment="1">
      <alignment horizontal="center" vertical="center"/>
    </xf>
    <xf numFmtId="0" fontId="0" fillId="14" borderId="126" xfId="0" applyFill="1" applyBorder="1" applyAlignment="1">
      <alignment horizontal="center" vertical="center"/>
    </xf>
    <xf numFmtId="0" fontId="0" fillId="14" borderId="127" xfId="0" applyFill="1" applyBorder="1" applyAlignment="1">
      <alignment horizontal="center" vertical="center"/>
    </xf>
    <xf numFmtId="0" fontId="12" fillId="47" borderId="126" xfId="0" applyFont="1" applyFill="1" applyBorder="1" applyAlignment="1">
      <alignment horizontal="center" vertical="center"/>
    </xf>
    <xf numFmtId="3" fontId="0" fillId="0" borderId="193" xfId="0" applyNumberFormat="1" applyBorder="1" applyAlignment="1">
      <alignment horizontal="center"/>
    </xf>
    <xf numFmtId="2" fontId="0" fillId="0" borderId="262" xfId="0" applyNumberFormat="1" applyBorder="1" applyAlignment="1">
      <alignment horizontal="center"/>
    </xf>
    <xf numFmtId="2" fontId="0" fillId="0" borderId="120" xfId="0" applyNumberFormat="1" applyBorder="1" applyAlignment="1">
      <alignment horizontal="center"/>
    </xf>
    <xf numFmtId="2" fontId="0" fillId="0" borderId="134" xfId="0" applyNumberFormat="1" applyBorder="1" applyAlignment="1">
      <alignment horizontal="center"/>
    </xf>
    <xf numFmtId="0" fontId="12" fillId="0" borderId="183" xfId="0" applyFont="1" applyBorder="1" applyAlignment="1">
      <alignment horizontal="center" vertical="center" wrapText="1"/>
    </xf>
    <xf numFmtId="0" fontId="12" fillId="0" borderId="198" xfId="0" applyFont="1" applyBorder="1" applyAlignment="1">
      <alignment horizontal="center" vertical="center" wrapText="1"/>
    </xf>
    <xf numFmtId="0" fontId="12" fillId="0" borderId="264" xfId="0" applyFont="1" applyBorder="1" applyAlignment="1">
      <alignment horizontal="center" vertical="center" wrapText="1"/>
    </xf>
    <xf numFmtId="0" fontId="12" fillId="0" borderId="200" xfId="0" applyFont="1" applyBorder="1" applyAlignment="1">
      <alignment horizontal="center" vertical="center" wrapText="1"/>
    </xf>
    <xf numFmtId="2" fontId="0" fillId="0" borderId="159" xfId="0" applyNumberFormat="1" applyBorder="1" applyAlignment="1">
      <alignment horizontal="center"/>
    </xf>
    <xf numFmtId="2" fontId="0" fillId="0" borderId="118" xfId="0" applyNumberFormat="1" applyBorder="1" applyAlignment="1">
      <alignment horizontal="center"/>
    </xf>
    <xf numFmtId="0" fontId="0" fillId="0" borderId="118" xfId="0" applyBorder="1" applyAlignment="1">
      <alignment horizontal="center" vertical="center" wrapText="1"/>
    </xf>
    <xf numFmtId="2" fontId="0" fillId="0" borderId="133" xfId="0" applyNumberFormat="1" applyBorder="1" applyAlignment="1">
      <alignment horizontal="center"/>
    </xf>
    <xf numFmtId="0" fontId="0" fillId="0" borderId="265" xfId="0" applyBorder="1" applyAlignment="1">
      <alignment horizontal="center"/>
    </xf>
    <xf numFmtId="0" fontId="46" fillId="5" borderId="153" xfId="0" applyFont="1" applyFill="1" applyBorder="1" applyAlignment="1">
      <alignment horizontal="center"/>
    </xf>
    <xf numFmtId="0" fontId="26" fillId="32" borderId="272" xfId="0" applyFont="1" applyFill="1" applyBorder="1" applyAlignment="1">
      <alignment horizontal="center"/>
    </xf>
    <xf numFmtId="0" fontId="0" fillId="8" borderId="272" xfId="0" applyFill="1" applyBorder="1" applyAlignment="1">
      <alignment horizontal="center" vertical="center" wrapText="1"/>
    </xf>
    <xf numFmtId="0" fontId="0" fillId="8" borderId="139" xfId="0" applyFill="1" applyBorder="1" applyAlignment="1">
      <alignment horizontal="center" vertical="center"/>
    </xf>
    <xf numFmtId="0" fontId="0" fillId="8" borderId="272" xfId="0" applyFill="1" applyBorder="1" applyAlignment="1">
      <alignment horizontal="center"/>
    </xf>
    <xf numFmtId="0" fontId="0" fillId="8" borderId="266" xfId="0" applyFill="1" applyBorder="1" applyAlignment="1">
      <alignment horizontal="center"/>
    </xf>
    <xf numFmtId="0" fontId="7" fillId="0" borderId="0" xfId="0" applyFont="1" applyAlignment="1">
      <alignment horizontal="left" vertical="top" wrapText="1"/>
    </xf>
    <xf numFmtId="0" fontId="0" fillId="0" borderId="226" xfId="0" applyBorder="1" applyAlignment="1">
      <alignment horizontal="left" vertical="top" wrapText="1"/>
    </xf>
    <xf numFmtId="0" fontId="7" fillId="0" borderId="227" xfId="0" applyFont="1" applyBorder="1" applyAlignment="1">
      <alignment horizontal="left" vertical="top" wrapText="1"/>
    </xf>
    <xf numFmtId="0" fontId="0" fillId="0" borderId="228" xfId="0" applyBorder="1" applyAlignment="1">
      <alignment horizontal="left" vertical="top" wrapText="1"/>
    </xf>
    <xf numFmtId="0" fontId="0" fillId="0" borderId="229" xfId="0" applyBorder="1" applyAlignment="1">
      <alignment horizontal="left" vertical="top" wrapText="1"/>
    </xf>
    <xf numFmtId="0" fontId="0" fillId="0" borderId="230" xfId="0" applyBorder="1" applyAlignment="1">
      <alignment horizontal="left" vertical="top" wrapText="1"/>
    </xf>
    <xf numFmtId="0" fontId="0" fillId="0" borderId="226" xfId="0" applyBorder="1"/>
    <xf numFmtId="0" fontId="0" fillId="8" borderId="0" xfId="0" applyFill="1" applyAlignment="1">
      <alignment horizontal="center"/>
    </xf>
    <xf numFmtId="0" fontId="12" fillId="8" borderId="217" xfId="0" applyFont="1" applyFill="1" applyBorder="1" applyAlignment="1">
      <alignment horizontal="center"/>
    </xf>
    <xf numFmtId="0" fontId="12" fillId="8" borderId="218" xfId="0" applyFont="1" applyFill="1" applyBorder="1" applyAlignment="1">
      <alignment horizontal="center"/>
    </xf>
    <xf numFmtId="0" fontId="12" fillId="8" borderId="219" xfId="0" applyFont="1" applyFill="1" applyBorder="1" applyAlignment="1">
      <alignment horizontal="center"/>
    </xf>
    <xf numFmtId="0" fontId="0" fillId="8" borderId="187" xfId="0" applyFill="1" applyBorder="1" applyAlignment="1">
      <alignment horizontal="center"/>
    </xf>
    <xf numFmtId="0" fontId="0" fillId="8" borderId="195" xfId="0" applyFill="1" applyBorder="1" applyAlignment="1">
      <alignment horizontal="center"/>
    </xf>
    <xf numFmtId="0" fontId="0" fillId="8" borderId="188" xfId="0" applyFill="1" applyBorder="1" applyAlignment="1">
      <alignment horizontal="center"/>
    </xf>
    <xf numFmtId="0" fontId="0" fillId="8" borderId="185" xfId="0" applyFill="1" applyBorder="1" applyAlignment="1">
      <alignment horizontal="center"/>
    </xf>
    <xf numFmtId="0" fontId="0" fillId="8" borderId="186" xfId="0" applyFill="1" applyBorder="1" applyAlignment="1">
      <alignment horizontal="center"/>
    </xf>
    <xf numFmtId="0" fontId="0" fillId="8" borderId="179" xfId="0" applyFill="1" applyBorder="1" applyAlignment="1">
      <alignment horizontal="center"/>
    </xf>
    <xf numFmtId="0" fontId="0" fillId="8" borderId="247" xfId="0" applyFill="1" applyBorder="1" applyAlignment="1">
      <alignment horizontal="center"/>
    </xf>
    <xf numFmtId="0" fontId="0" fillId="8" borderId="185" xfId="0" applyFill="1" applyBorder="1" applyAlignment="1">
      <alignment horizontal="center" vertical="center"/>
    </xf>
    <xf numFmtId="0" fontId="0" fillId="8" borderId="260" xfId="0" applyFill="1" applyBorder="1" applyAlignment="1">
      <alignment horizontal="center" vertical="center"/>
    </xf>
    <xf numFmtId="0" fontId="0" fillId="8" borderId="186" xfId="0" applyFill="1" applyBorder="1" applyAlignment="1">
      <alignment horizontal="center" vertical="center"/>
    </xf>
    <xf numFmtId="10" fontId="0" fillId="8" borderId="290" xfId="0" applyNumberFormat="1" applyFill="1" applyBorder="1" applyAlignment="1">
      <alignment horizontal="center"/>
    </xf>
    <xf numFmtId="10" fontId="0" fillId="8" borderId="291" xfId="0" applyNumberFormat="1" applyFill="1" applyBorder="1" applyAlignment="1">
      <alignment horizontal="center"/>
    </xf>
    <xf numFmtId="2" fontId="0" fillId="8" borderId="290" xfId="0" applyNumberFormat="1" applyFill="1" applyBorder="1" applyAlignment="1">
      <alignment horizontal="center"/>
    </xf>
    <xf numFmtId="2" fontId="0" fillId="8" borderId="0" xfId="0" applyNumberFormat="1" applyFill="1" applyAlignment="1">
      <alignment horizontal="center"/>
    </xf>
    <xf numFmtId="2" fontId="0" fillId="8" borderId="291" xfId="0" applyNumberFormat="1" applyFill="1" applyBorder="1" applyAlignment="1">
      <alignment horizontal="center"/>
    </xf>
    <xf numFmtId="0" fontId="0" fillId="8" borderId="290" xfId="0" applyFill="1" applyBorder="1" applyAlignment="1">
      <alignment horizontal="center"/>
    </xf>
    <xf numFmtId="0" fontId="0" fillId="8" borderId="291" xfId="0" applyFill="1" applyBorder="1" applyAlignment="1">
      <alignment horizontal="center"/>
    </xf>
    <xf numFmtId="3" fontId="74" fillId="8" borderId="290" xfId="0" applyNumberFormat="1" applyFont="1" applyFill="1" applyBorder="1" applyAlignment="1">
      <alignment horizontal="center"/>
    </xf>
    <xf numFmtId="3" fontId="74" fillId="8" borderId="0" xfId="0" applyNumberFormat="1" applyFont="1" applyFill="1" applyAlignment="1">
      <alignment horizontal="center"/>
    </xf>
    <xf numFmtId="3" fontId="74" fillId="8" borderId="291" xfId="0" applyNumberFormat="1" applyFont="1" applyFill="1" applyBorder="1" applyAlignment="1">
      <alignment horizontal="center"/>
    </xf>
    <xf numFmtId="0" fontId="0" fillId="47" borderId="0" xfId="0" applyFill="1" applyAlignment="1">
      <alignment horizontal="center"/>
    </xf>
    <xf numFmtId="3" fontId="0" fillId="8" borderId="290" xfId="0" applyNumberFormat="1" applyFill="1" applyBorder="1" applyAlignment="1">
      <alignment horizontal="center"/>
    </xf>
    <xf numFmtId="3" fontId="0" fillId="8" borderId="0" xfId="0" applyNumberFormat="1" applyFill="1" applyAlignment="1">
      <alignment horizontal="center"/>
    </xf>
    <xf numFmtId="3" fontId="0" fillId="8" borderId="291" xfId="0" applyNumberFormat="1" applyFill="1" applyBorder="1" applyAlignment="1">
      <alignment horizontal="center"/>
    </xf>
    <xf numFmtId="3" fontId="0" fillId="8" borderId="292" xfId="0" applyNumberFormat="1" applyFill="1" applyBorder="1" applyAlignment="1">
      <alignment horizontal="center"/>
    </xf>
    <xf numFmtId="3" fontId="0" fillId="8" borderId="293" xfId="0" applyNumberFormat="1" applyFill="1" applyBorder="1" applyAlignment="1">
      <alignment horizontal="center"/>
    </xf>
    <xf numFmtId="3" fontId="0" fillId="8" borderId="294" xfId="0" applyNumberFormat="1" applyFill="1" applyBorder="1" applyAlignment="1">
      <alignment horizontal="center"/>
    </xf>
    <xf numFmtId="0" fontId="0" fillId="8" borderId="285" xfId="0" applyFill="1" applyBorder="1" applyAlignment="1">
      <alignment horizontal="center"/>
    </xf>
    <xf numFmtId="10" fontId="0" fillId="8" borderId="287" xfId="0" applyNumberFormat="1" applyFill="1" applyBorder="1" applyAlignment="1">
      <alignment horizontal="center"/>
    </xf>
    <xf numFmtId="10" fontId="0" fillId="8" borderId="288" xfId="0" applyNumberFormat="1" applyFill="1" applyBorder="1" applyAlignment="1">
      <alignment horizontal="center"/>
    </xf>
    <xf numFmtId="10" fontId="0" fillId="8" borderId="289" xfId="0" applyNumberFormat="1" applyFill="1" applyBorder="1" applyAlignment="1">
      <alignment horizontal="center"/>
    </xf>
    <xf numFmtId="10" fontId="0" fillId="8" borderId="292" xfId="0" applyNumberFormat="1" applyFill="1" applyBorder="1" applyAlignment="1">
      <alignment horizontal="center"/>
    </xf>
    <xf numFmtId="10" fontId="0" fillId="8" borderId="293" xfId="0" applyNumberFormat="1" applyFill="1" applyBorder="1" applyAlignment="1">
      <alignment horizontal="center"/>
    </xf>
    <xf numFmtId="10" fontId="0" fillId="8" borderId="294" xfId="0" applyNumberFormat="1" applyFill="1" applyBorder="1" applyAlignment="1">
      <alignment horizontal="center"/>
    </xf>
    <xf numFmtId="0" fontId="0" fillId="8" borderId="284" xfId="0" applyFill="1" applyBorder="1" applyAlignment="1">
      <alignment horizontal="center"/>
    </xf>
    <xf numFmtId="0" fontId="0" fillId="8" borderId="286" xfId="0" applyFill="1" applyBorder="1" applyAlignment="1">
      <alignment horizontal="center"/>
    </xf>
    <xf numFmtId="0" fontId="0" fillId="47" borderId="184" xfId="0" applyFill="1" applyBorder="1" applyAlignment="1">
      <alignment horizontal="center"/>
    </xf>
    <xf numFmtId="0" fontId="12" fillId="50" borderId="190" xfId="0" applyFont="1" applyFill="1" applyBorder="1" applyAlignment="1">
      <alignment horizontal="center"/>
    </xf>
    <xf numFmtId="0" fontId="12" fillId="50" borderId="192" xfId="0" applyFont="1" applyFill="1" applyBorder="1" applyAlignment="1">
      <alignment horizontal="center"/>
    </xf>
    <xf numFmtId="0" fontId="12" fillId="50" borderId="191" xfId="0" applyFont="1" applyFill="1" applyBorder="1" applyAlignment="1">
      <alignment horizontal="center"/>
    </xf>
    <xf numFmtId="0" fontId="0" fillId="50" borderId="0" xfId="0" applyFill="1" applyAlignment="1">
      <alignment horizontal="center"/>
    </xf>
    <xf numFmtId="0" fontId="0" fillId="28" borderId="0" xfId="0" applyFill="1" applyAlignment="1">
      <alignment horizontal="center"/>
    </xf>
    <xf numFmtId="10" fontId="7" fillId="50" borderId="187" xfId="0" applyNumberFormat="1" applyFont="1" applyFill="1" applyBorder="1" applyAlignment="1">
      <alignment horizontal="center"/>
    </xf>
    <xf numFmtId="2" fontId="7" fillId="50" borderId="188" xfId="0" applyNumberFormat="1" applyFont="1" applyFill="1" applyBorder="1" applyAlignment="1">
      <alignment horizontal="center"/>
    </xf>
    <xf numFmtId="0" fontId="12" fillId="47" borderId="190" xfId="0" applyFont="1" applyFill="1" applyBorder="1" applyAlignment="1">
      <alignment horizontal="center"/>
    </xf>
    <xf numFmtId="0" fontId="12" fillId="47" borderId="192" xfId="0" applyFont="1" applyFill="1" applyBorder="1" applyAlignment="1">
      <alignment horizontal="center"/>
    </xf>
    <xf numFmtId="0" fontId="12" fillId="47" borderId="191" xfId="0" applyFont="1" applyFill="1" applyBorder="1" applyAlignment="1">
      <alignment horizontal="center"/>
    </xf>
    <xf numFmtId="10" fontId="0" fillId="50" borderId="179" xfId="0" applyNumberFormat="1" applyFill="1" applyBorder="1" applyAlignment="1">
      <alignment horizontal="center"/>
    </xf>
    <xf numFmtId="10" fontId="0" fillId="50" borderId="134" xfId="0" applyNumberFormat="1" applyFill="1" applyBorder="1" applyAlignment="1">
      <alignment horizontal="center"/>
    </xf>
    <xf numFmtId="0" fontId="0" fillId="47" borderId="128" xfId="0" applyFill="1" applyBorder="1" applyAlignment="1">
      <alignment horizontal="center"/>
    </xf>
    <xf numFmtId="0" fontId="0" fillId="50" borderId="139" xfId="0" applyFill="1" applyBorder="1" applyAlignment="1">
      <alignment horizontal="center"/>
    </xf>
    <xf numFmtId="0" fontId="0" fillId="50" borderId="179" xfId="0" applyFill="1" applyBorder="1" applyAlignment="1">
      <alignment horizontal="center"/>
    </xf>
    <xf numFmtId="0" fontId="0" fillId="47" borderId="283" xfId="0" applyFill="1" applyBorder="1" applyAlignment="1">
      <alignment horizontal="center"/>
    </xf>
    <xf numFmtId="0" fontId="0" fillId="51" borderId="0" xfId="0" applyFill="1" applyAlignment="1">
      <alignment horizontal="center"/>
    </xf>
    <xf numFmtId="0" fontId="12" fillId="47" borderId="183" xfId="0" applyFont="1" applyFill="1" applyBorder="1" applyAlignment="1">
      <alignment horizontal="center"/>
    </xf>
    <xf numFmtId="0" fontId="12" fillId="47" borderId="198" xfId="0" applyFont="1" applyFill="1" applyBorder="1" applyAlignment="1">
      <alignment horizontal="center"/>
    </xf>
    <xf numFmtId="0" fontId="12" fillId="47" borderId="184" xfId="0" applyFont="1" applyFill="1" applyBorder="1" applyAlignment="1">
      <alignment horizontal="center"/>
    </xf>
    <xf numFmtId="2" fontId="0" fillId="28" borderId="198" xfId="0" applyNumberFormat="1" applyFill="1" applyBorder="1" applyAlignment="1">
      <alignment horizontal="center"/>
    </xf>
    <xf numFmtId="2" fontId="0" fillId="28" borderId="184" xfId="0" applyNumberFormat="1" applyFill="1" applyBorder="1" applyAlignment="1">
      <alignment horizontal="center"/>
    </xf>
    <xf numFmtId="0" fontId="0" fillId="50" borderId="139" xfId="0" applyFill="1" applyBorder="1" applyAlignment="1">
      <alignment horizontal="center" vertical="center" wrapText="1"/>
    </xf>
    <xf numFmtId="0" fontId="0" fillId="50" borderId="139" xfId="0" applyFill="1" applyBorder="1" applyAlignment="1">
      <alignment horizontal="center" vertical="center"/>
    </xf>
    <xf numFmtId="0" fontId="0" fillId="50" borderId="126" xfId="0" applyFill="1" applyBorder="1" applyAlignment="1">
      <alignment horizontal="center" vertical="center"/>
    </xf>
    <xf numFmtId="0" fontId="12" fillId="50" borderId="125" xfId="0" applyFont="1" applyFill="1" applyBorder="1" applyAlignment="1">
      <alignment horizontal="center" vertical="center"/>
    </xf>
    <xf numFmtId="0" fontId="26" fillId="18" borderId="179" xfId="0" applyFont="1" applyFill="1" applyBorder="1" applyAlignment="1">
      <alignment horizontal="center" wrapText="1"/>
    </xf>
    <xf numFmtId="0" fontId="7" fillId="28" borderId="19" xfId="0" applyFont="1" applyFill="1" applyBorder="1" applyAlignment="1">
      <alignment horizontal="center"/>
    </xf>
    <xf numFmtId="186" fontId="0" fillId="0" borderId="0" xfId="0" applyNumberFormat="1" applyAlignment="1">
      <alignment horizontal="left"/>
    </xf>
    <xf numFmtId="188" fontId="0" fillId="0" borderId="0" xfId="0" applyNumberFormat="1"/>
    <xf numFmtId="186" fontId="0" fillId="0" borderId="0" xfId="0" applyNumberFormat="1"/>
    <xf numFmtId="0" fontId="68" fillId="0" borderId="162" xfId="0" applyFont="1" applyBorder="1" applyAlignment="1">
      <alignment wrapText="1"/>
    </xf>
    <xf numFmtId="4" fontId="68" fillId="0" borderId="162" xfId="0" applyNumberFormat="1" applyFont="1" applyBorder="1" applyAlignment="1">
      <alignment wrapText="1"/>
    </xf>
    <xf numFmtId="3" fontId="78" fillId="0" borderId="0" xfId="0" applyNumberFormat="1" applyFont="1" applyAlignment="1">
      <alignment horizontal="center" vertical="center"/>
    </xf>
    <xf numFmtId="189" fontId="7" fillId="24" borderId="19" xfId="0" applyNumberFormat="1" applyFont="1" applyFill="1" applyBorder="1" applyAlignment="1">
      <alignment horizontal="center"/>
    </xf>
    <xf numFmtId="189" fontId="7" fillId="8" borderId="55" xfId="0" applyNumberFormat="1" applyFont="1" applyFill="1" applyBorder="1" applyAlignment="1">
      <alignment horizontal="center"/>
    </xf>
    <xf numFmtId="189" fontId="0" fillId="24" borderId="23" xfId="0" applyNumberFormat="1" applyFill="1" applyBorder="1" applyAlignment="1">
      <alignment horizontal="center"/>
    </xf>
    <xf numFmtId="189" fontId="12" fillId="24" borderId="19" xfId="0" applyNumberFormat="1" applyFont="1" applyFill="1" applyBorder="1" applyAlignment="1">
      <alignment horizontal="center"/>
    </xf>
    <xf numFmtId="189" fontId="12" fillId="24" borderId="23" xfId="0" applyNumberFormat="1" applyFont="1" applyFill="1" applyBorder="1" applyAlignment="1">
      <alignment horizontal="center"/>
    </xf>
    <xf numFmtId="189" fontId="32" fillId="8" borderId="55" xfId="16" applyNumberFormat="1" applyFont="1" applyFill="1" applyBorder="1" applyAlignment="1">
      <alignment horizontal="center"/>
    </xf>
    <xf numFmtId="189" fontId="33" fillId="24" borderId="19" xfId="0" applyNumberFormat="1" applyFont="1" applyFill="1" applyBorder="1" applyAlignment="1">
      <alignment horizontal="center"/>
    </xf>
    <xf numFmtId="189" fontId="7" fillId="24" borderId="19" xfId="0" applyNumberFormat="1" applyFont="1" applyFill="1" applyBorder="1"/>
    <xf numFmtId="4" fontId="65" fillId="0" borderId="0" xfId="0" applyNumberFormat="1" applyFont="1"/>
    <xf numFmtId="189" fontId="33" fillId="8" borderId="19" xfId="0" applyNumberFormat="1" applyFont="1" applyFill="1" applyBorder="1" applyAlignment="1">
      <alignment horizontal="center"/>
    </xf>
    <xf numFmtId="0" fontId="79" fillId="19" borderId="0" xfId="0" applyFont="1" applyFill="1"/>
    <xf numFmtId="189" fontId="0" fillId="0" borderId="97" xfId="0" applyNumberFormat="1" applyBorder="1" applyAlignment="1">
      <alignment horizontal="center"/>
    </xf>
    <xf numFmtId="189" fontId="0" fillId="0" borderId="86" xfId="0" applyNumberFormat="1" applyBorder="1" applyAlignment="1">
      <alignment horizontal="center"/>
    </xf>
    <xf numFmtId="189" fontId="0" fillId="0" borderId="89" xfId="0" applyNumberFormat="1" applyBorder="1" applyAlignment="1">
      <alignment horizontal="center"/>
    </xf>
    <xf numFmtId="189" fontId="12" fillId="0" borderId="78" xfId="0" applyNumberFormat="1" applyFont="1" applyBorder="1" applyAlignment="1">
      <alignment horizontal="center"/>
    </xf>
    <xf numFmtId="0" fontId="12" fillId="0" borderId="226" xfId="0" applyFont="1" applyBorder="1" applyAlignment="1">
      <alignment horizontal="left" vertical="top" wrapText="1"/>
    </xf>
    <xf numFmtId="0" fontId="12" fillId="47" borderId="287" xfId="0" applyFont="1" applyFill="1" applyBorder="1" applyAlignment="1">
      <alignment horizontal="center"/>
    </xf>
    <xf numFmtId="0" fontId="12" fillId="8" borderId="290" xfId="0" applyFont="1" applyFill="1" applyBorder="1" applyAlignment="1">
      <alignment horizontal="center"/>
    </xf>
    <xf numFmtId="0" fontId="12" fillId="8" borderId="292" xfId="0" applyFont="1" applyFill="1" applyBorder="1" applyAlignment="1">
      <alignment horizontal="center"/>
    </xf>
    <xf numFmtId="0" fontId="12" fillId="47" borderId="288" xfId="0" applyFont="1" applyFill="1" applyBorder="1" applyAlignment="1">
      <alignment horizontal="center"/>
    </xf>
    <xf numFmtId="0" fontId="12" fillId="47" borderId="289" xfId="0" applyFont="1" applyFill="1" applyBorder="1" applyAlignment="1">
      <alignment horizontal="center"/>
    </xf>
    <xf numFmtId="0" fontId="12" fillId="8" borderId="287" xfId="0" applyFont="1" applyFill="1" applyBorder="1" applyAlignment="1">
      <alignment horizontal="center"/>
    </xf>
    <xf numFmtId="0" fontId="12" fillId="52" borderId="187" xfId="0" applyFont="1" applyFill="1" applyBorder="1" applyAlignment="1">
      <alignment horizontal="center"/>
    </xf>
    <xf numFmtId="0" fontId="12" fillId="52" borderId="188" xfId="0" applyFont="1" applyFill="1" applyBorder="1" applyAlignment="1">
      <alignment horizontal="center"/>
    </xf>
    <xf numFmtId="0" fontId="12" fillId="52" borderId="183" xfId="0" applyFont="1" applyFill="1" applyBorder="1" applyAlignment="1">
      <alignment horizontal="center" vertical="center"/>
    </xf>
    <xf numFmtId="0" fontId="12" fillId="52" borderId="184" xfId="0" applyFont="1" applyFill="1" applyBorder="1" applyAlignment="1">
      <alignment horizontal="center" vertical="center"/>
    </xf>
    <xf numFmtId="0" fontId="26" fillId="18" borderId="179" xfId="0" applyFont="1" applyFill="1" applyBorder="1" applyAlignment="1">
      <alignment horizontal="center"/>
    </xf>
    <xf numFmtId="0" fontId="12" fillId="24" borderId="287" xfId="0" applyFont="1" applyFill="1" applyBorder="1" applyAlignment="1">
      <alignment horizontal="center"/>
    </xf>
    <xf numFmtId="3" fontId="0" fillId="24" borderId="290" xfId="0" applyNumberFormat="1" applyFill="1" applyBorder="1" applyAlignment="1">
      <alignment horizontal="center"/>
    </xf>
    <xf numFmtId="3" fontId="0" fillId="24" borderId="0" xfId="0" applyNumberFormat="1" applyFill="1" applyAlignment="1">
      <alignment horizontal="center"/>
    </xf>
    <xf numFmtId="3" fontId="0" fillId="24" borderId="291" xfId="0" applyNumberFormat="1" applyFill="1" applyBorder="1" applyAlignment="1">
      <alignment horizontal="center"/>
    </xf>
    <xf numFmtId="0" fontId="12" fillId="24" borderId="290" xfId="0" applyFont="1" applyFill="1" applyBorder="1" applyAlignment="1">
      <alignment horizontal="center"/>
    </xf>
    <xf numFmtId="2" fontId="0" fillId="24" borderId="290" xfId="0" applyNumberFormat="1" applyFill="1" applyBorder="1" applyAlignment="1">
      <alignment horizontal="center"/>
    </xf>
    <xf numFmtId="2" fontId="0" fillId="24" borderId="0" xfId="0" applyNumberFormat="1" applyFill="1" applyAlignment="1">
      <alignment horizontal="center"/>
    </xf>
    <xf numFmtId="2" fontId="0" fillId="24" borderId="291" xfId="0" applyNumberFormat="1" applyFill="1" applyBorder="1" applyAlignment="1">
      <alignment horizontal="center"/>
    </xf>
    <xf numFmtId="0" fontId="0" fillId="24" borderId="290" xfId="0" applyFill="1" applyBorder="1" applyAlignment="1">
      <alignment horizontal="center"/>
    </xf>
    <xf numFmtId="0" fontId="0" fillId="24" borderId="0" xfId="0" applyFill="1" applyAlignment="1">
      <alignment horizontal="center"/>
    </xf>
    <xf numFmtId="0" fontId="0" fillId="24" borderId="291" xfId="0" applyFill="1" applyBorder="1" applyAlignment="1">
      <alignment horizontal="center"/>
    </xf>
    <xf numFmtId="10" fontId="12" fillId="28" borderId="283" xfId="0" applyNumberFormat="1" applyFont="1" applyFill="1" applyBorder="1" applyAlignment="1">
      <alignment horizontal="center"/>
    </xf>
    <xf numFmtId="0" fontId="33" fillId="0" borderId="0" xfId="0" applyFont="1"/>
    <xf numFmtId="180" fontId="32" fillId="38" borderId="47" xfId="16" applyNumberFormat="1" applyFont="1" applyFill="1" applyBorder="1" applyAlignment="1">
      <alignment horizontal="center" vertical="center"/>
    </xf>
    <xf numFmtId="3" fontId="24" fillId="38" borderId="47" xfId="0" applyNumberFormat="1" applyFont="1" applyFill="1" applyBorder="1" applyAlignment="1">
      <alignment horizontal="center" vertical="center"/>
    </xf>
    <xf numFmtId="9" fontId="32" fillId="38" borderId="147" xfId="16" applyFont="1" applyFill="1" applyBorder="1" applyAlignment="1">
      <alignment horizontal="center" vertical="center"/>
    </xf>
    <xf numFmtId="180" fontId="32" fillId="43" borderId="148" xfId="30" applyNumberFormat="1" applyFont="1" applyFill="1" applyBorder="1" applyAlignment="1">
      <alignment horizontal="center" vertical="center"/>
    </xf>
    <xf numFmtId="180" fontId="32" fillId="43" borderId="149" xfId="30" applyNumberFormat="1" applyFont="1" applyFill="1" applyBorder="1" applyAlignment="1">
      <alignment horizontal="center" vertical="center"/>
    </xf>
    <xf numFmtId="180" fontId="32" fillId="38" borderId="150" xfId="16" applyNumberFormat="1" applyFont="1" applyFill="1" applyBorder="1" applyAlignment="1">
      <alignment horizontal="center" vertical="center"/>
    </xf>
    <xf numFmtId="180" fontId="32" fillId="38" borderId="142" xfId="16" applyNumberFormat="1" applyFont="1" applyFill="1" applyBorder="1" applyAlignment="1">
      <alignment horizontal="center" vertical="center"/>
    </xf>
    <xf numFmtId="3" fontId="24" fillId="38" borderId="150" xfId="0" applyNumberFormat="1" applyFont="1" applyFill="1" applyBorder="1" applyAlignment="1">
      <alignment horizontal="center" vertical="center"/>
    </xf>
    <xf numFmtId="3" fontId="24" fillId="38" borderId="142" xfId="0" applyNumberFormat="1" applyFont="1" applyFill="1" applyBorder="1" applyAlignment="1">
      <alignment horizontal="center" vertical="center"/>
    </xf>
    <xf numFmtId="1" fontId="7" fillId="0" borderId="47" xfId="0" quotePrefix="1" applyNumberFormat="1" applyFont="1" applyBorder="1" applyAlignment="1">
      <alignment horizontal="center" vertical="center"/>
    </xf>
    <xf numFmtId="1" fontId="7" fillId="0" borderId="147" xfId="0" quotePrefix="1" applyNumberFormat="1" applyFont="1" applyBorder="1" applyAlignment="1">
      <alignment horizontal="center" vertical="center"/>
    </xf>
    <xf numFmtId="1" fontId="7" fillId="0" borderId="148" xfId="0" quotePrefix="1" applyNumberFormat="1" applyFont="1" applyBorder="1" applyAlignment="1">
      <alignment horizontal="center" vertical="center"/>
    </xf>
    <xf numFmtId="1" fontId="7" fillId="0" borderId="149" xfId="0" quotePrefix="1" applyNumberFormat="1" applyFont="1" applyBorder="1" applyAlignment="1">
      <alignment horizontal="center" vertical="center"/>
    </xf>
    <xf numFmtId="1" fontId="7" fillId="0" borderId="150" xfId="0" quotePrefix="1" applyNumberFormat="1" applyFont="1" applyBorder="1" applyAlignment="1">
      <alignment horizontal="center" vertical="center"/>
    </xf>
    <xf numFmtId="1" fontId="7" fillId="0" borderId="142" xfId="0" quotePrefix="1" applyNumberFormat="1" applyFont="1" applyBorder="1" applyAlignment="1">
      <alignment horizontal="center" vertical="center"/>
    </xf>
    <xf numFmtId="1" fontId="7" fillId="0" borderId="151" xfId="0" quotePrefix="1" applyNumberFormat="1" applyFont="1" applyBorder="1" applyAlignment="1">
      <alignment horizontal="center" vertical="center"/>
    </xf>
    <xf numFmtId="1" fontId="7" fillId="0" borderId="155" xfId="0" quotePrefix="1" applyNumberFormat="1" applyFont="1" applyBorder="1" applyAlignment="1">
      <alignment horizontal="center" vertical="center"/>
    </xf>
    <xf numFmtId="1" fontId="7" fillId="0" borderId="295" xfId="0" quotePrefix="1" applyNumberFormat="1" applyFont="1" applyBorder="1" applyAlignment="1">
      <alignment horizontal="center" vertical="center"/>
    </xf>
    <xf numFmtId="1" fontId="7" fillId="0" borderId="164" xfId="0" applyNumberFormat="1" applyFont="1" applyBorder="1" applyAlignment="1">
      <alignment horizontal="center" vertical="center"/>
    </xf>
    <xf numFmtId="0" fontId="12" fillId="0" borderId="233" xfId="0" applyFont="1" applyBorder="1" applyAlignment="1">
      <alignment horizontal="center"/>
    </xf>
    <xf numFmtId="0" fontId="12" fillId="0" borderId="35" xfId="0" applyFont="1" applyBorder="1" applyAlignment="1">
      <alignment horizontal="center"/>
    </xf>
    <xf numFmtId="1" fontId="7" fillId="0" borderId="297" xfId="0" applyNumberFormat="1" applyFont="1" applyBorder="1" applyAlignment="1">
      <alignment horizontal="center" vertical="center"/>
    </xf>
    <xf numFmtId="1" fontId="7" fillId="0" borderId="299" xfId="0" applyNumberFormat="1" applyFont="1" applyBorder="1" applyAlignment="1">
      <alignment horizontal="center" vertical="center"/>
    </xf>
    <xf numFmtId="0" fontId="12" fillId="8" borderId="35" xfId="0" applyFont="1" applyFill="1" applyBorder="1" applyAlignment="1">
      <alignment horizontal="center"/>
    </xf>
    <xf numFmtId="3" fontId="7" fillId="0" borderId="302" xfId="0" applyNumberFormat="1" applyFont="1" applyBorder="1" applyAlignment="1">
      <alignment horizontal="center" vertical="center"/>
    </xf>
    <xf numFmtId="3" fontId="7" fillId="0" borderId="303" xfId="0" applyNumberFormat="1" applyFont="1" applyBorder="1" applyAlignment="1">
      <alignment horizontal="center" vertical="center"/>
    </xf>
    <xf numFmtId="3" fontId="7" fillId="0" borderId="304" xfId="0" applyNumberFormat="1" applyFont="1" applyBorder="1" applyAlignment="1">
      <alignment horizontal="center" vertical="center"/>
    </xf>
    <xf numFmtId="3" fontId="7" fillId="0" borderId="305" xfId="0" applyNumberFormat="1" applyFont="1" applyBorder="1" applyAlignment="1">
      <alignment horizontal="center" vertical="center"/>
    </xf>
    <xf numFmtId="0" fontId="7" fillId="0" borderId="159" xfId="0" quotePrefix="1" applyFont="1" applyBorder="1" applyAlignment="1">
      <alignment horizontal="center" vertical="center"/>
    </xf>
    <xf numFmtId="0" fontId="7" fillId="0" borderId="120" xfId="0" quotePrefix="1" applyFont="1" applyBorder="1" applyAlignment="1">
      <alignment horizontal="center" vertical="center"/>
    </xf>
    <xf numFmtId="0" fontId="7" fillId="0" borderId="262" xfId="0" quotePrefix="1" applyFont="1" applyBorder="1" applyAlignment="1">
      <alignment horizontal="center" vertical="center"/>
    </xf>
    <xf numFmtId="0" fontId="7" fillId="0" borderId="263" xfId="0" quotePrefix="1" applyFont="1" applyBorder="1" applyAlignment="1">
      <alignment horizontal="center" vertical="center"/>
    </xf>
    <xf numFmtId="1" fontId="24" fillId="0" borderId="47" xfId="0" applyNumberFormat="1" applyFont="1" applyBorder="1" applyAlignment="1">
      <alignment horizontal="center" vertical="center"/>
    </xf>
    <xf numFmtId="180" fontId="7" fillId="0" borderId="148" xfId="16" applyNumberFormat="1" applyFont="1" applyFill="1" applyBorder="1" applyAlignment="1">
      <alignment horizontal="center" vertical="center"/>
    </xf>
    <xf numFmtId="0" fontId="7" fillId="0" borderId="120" xfId="0" applyFont="1" applyBorder="1" applyAlignment="1">
      <alignment horizontal="center" vertical="center"/>
    </xf>
    <xf numFmtId="1" fontId="7" fillId="0" borderId="147" xfId="0" applyNumberFormat="1" applyFont="1" applyBorder="1" applyAlignment="1">
      <alignment horizontal="center" vertical="center"/>
    </xf>
    <xf numFmtId="1" fontId="7" fillId="0" borderId="148" xfId="0" applyNumberFormat="1" applyFont="1" applyBorder="1" applyAlignment="1">
      <alignment horizontal="center" vertical="center"/>
    </xf>
    <xf numFmtId="1" fontId="7" fillId="0" borderId="149" xfId="0" applyNumberFormat="1" applyFont="1" applyBorder="1" applyAlignment="1">
      <alignment horizontal="center" vertical="center"/>
    </xf>
    <xf numFmtId="1" fontId="7" fillId="0" borderId="160" xfId="0" applyNumberFormat="1" applyFont="1" applyBorder="1" applyAlignment="1">
      <alignment horizontal="center" vertical="center"/>
    </xf>
    <xf numFmtId="1" fontId="7" fillId="0" borderId="150" xfId="0" applyNumberFormat="1" applyFont="1" applyBorder="1" applyAlignment="1">
      <alignment horizontal="center" vertical="center"/>
    </xf>
    <xf numFmtId="1" fontId="7" fillId="0" borderId="47" xfId="0" applyNumberFormat="1" applyFont="1" applyBorder="1" applyAlignment="1">
      <alignment horizontal="center" vertical="center"/>
    </xf>
    <xf numFmtId="1" fontId="7" fillId="0" borderId="142" xfId="0" applyNumberFormat="1" applyFont="1" applyBorder="1" applyAlignment="1">
      <alignment horizontal="center" vertical="center"/>
    </xf>
    <xf numFmtId="1" fontId="7" fillId="0" borderId="46" xfId="0" applyNumberFormat="1" applyFont="1" applyBorder="1" applyAlignment="1">
      <alignment horizontal="center" vertical="center"/>
    </xf>
    <xf numFmtId="0" fontId="59" fillId="0" borderId="129" xfId="0" applyFont="1" applyBorder="1" applyAlignment="1">
      <alignment horizontal="center"/>
    </xf>
    <xf numFmtId="3" fontId="32" fillId="43" borderId="150" xfId="30" applyNumberFormat="1" applyFont="1" applyFill="1" applyBorder="1" applyAlignment="1">
      <alignment horizontal="center" vertical="center"/>
    </xf>
    <xf numFmtId="3" fontId="32" fillId="43" borderId="47" xfId="30" applyNumberFormat="1" applyFont="1" applyFill="1" applyBorder="1" applyAlignment="1">
      <alignment horizontal="center" vertical="center"/>
    </xf>
    <xf numFmtId="1" fontId="33" fillId="0" borderId="47" xfId="0" applyNumberFormat="1" applyFont="1" applyBorder="1" applyAlignment="1">
      <alignment horizontal="center" vertical="center"/>
    </xf>
    <xf numFmtId="0" fontId="24" fillId="38" borderId="150" xfId="0" applyFont="1" applyFill="1" applyBorder="1" applyAlignment="1">
      <alignment horizontal="center" vertical="center"/>
    </xf>
    <xf numFmtId="0" fontId="24" fillId="38" borderId="47" xfId="0" applyFont="1" applyFill="1" applyBorder="1" applyAlignment="1">
      <alignment horizontal="center" vertical="center"/>
    </xf>
    <xf numFmtId="1" fontId="7" fillId="41" borderId="306" xfId="0" applyNumberFormat="1" applyFont="1" applyFill="1" applyBorder="1" applyAlignment="1">
      <alignment horizontal="center" vertical="center"/>
    </xf>
    <xf numFmtId="0" fontId="33" fillId="12" borderId="127" xfId="0" applyFont="1" applyFill="1" applyBorder="1"/>
    <xf numFmtId="0" fontId="33" fillId="12" borderId="0" xfId="0" applyFont="1" applyFill="1" applyAlignment="1">
      <alignment horizontal="center"/>
    </xf>
    <xf numFmtId="0" fontId="33" fillId="39" borderId="0" xfId="0" applyFont="1" applyFill="1"/>
    <xf numFmtId="3" fontId="7" fillId="40" borderId="147" xfId="0" quotePrefix="1" applyNumberFormat="1" applyFont="1" applyFill="1" applyBorder="1" applyAlignment="1">
      <alignment horizontal="center" vertical="center"/>
    </xf>
    <xf numFmtId="3" fontId="7" fillId="40" borderId="148" xfId="0" quotePrefix="1" applyNumberFormat="1" applyFont="1" applyFill="1" applyBorder="1" applyAlignment="1">
      <alignment horizontal="center" vertical="center"/>
    </xf>
    <xf numFmtId="3" fontId="7" fillId="40" borderId="150" xfId="0" quotePrefix="1" applyNumberFormat="1" applyFont="1" applyFill="1" applyBorder="1" applyAlignment="1">
      <alignment horizontal="center" vertical="center"/>
    </xf>
    <xf numFmtId="3" fontId="7" fillId="40" borderId="47" xfId="0" quotePrefix="1" applyNumberFormat="1" applyFont="1" applyFill="1" applyBorder="1" applyAlignment="1">
      <alignment horizontal="center" vertical="center"/>
    </xf>
    <xf numFmtId="3" fontId="7" fillId="40" borderId="300" xfId="0" applyNumberFormat="1" applyFont="1" applyFill="1" applyBorder="1" applyAlignment="1">
      <alignment horizontal="center" vertical="center"/>
    </xf>
    <xf numFmtId="3" fontId="7" fillId="40" borderId="3" xfId="0" applyNumberFormat="1" applyFont="1" applyFill="1" applyBorder="1" applyAlignment="1">
      <alignment horizontal="center" vertical="center"/>
    </xf>
    <xf numFmtId="0" fontId="7" fillId="41" borderId="306" xfId="0" applyFont="1" applyFill="1" applyBorder="1" applyAlignment="1">
      <alignment horizontal="center" vertical="center"/>
    </xf>
    <xf numFmtId="0" fontId="7" fillId="41" borderId="307" xfId="0" applyFont="1" applyFill="1" applyBorder="1" applyAlignment="1">
      <alignment horizontal="center" vertical="center"/>
    </xf>
    <xf numFmtId="1" fontId="7" fillId="41" borderId="309" xfId="0" applyNumberFormat="1" applyFont="1" applyFill="1" applyBorder="1" applyAlignment="1">
      <alignment horizontal="center" vertical="center"/>
    </xf>
    <xf numFmtId="1" fontId="7" fillId="41" borderId="310" xfId="0" applyNumberFormat="1" applyFont="1" applyFill="1" applyBorder="1" applyAlignment="1">
      <alignment horizontal="center" vertical="center"/>
    </xf>
    <xf numFmtId="1" fontId="7" fillId="41" borderId="311" xfId="0" applyNumberFormat="1" applyFont="1" applyFill="1" applyBorder="1" applyAlignment="1">
      <alignment horizontal="center" vertical="center"/>
    </xf>
    <xf numFmtId="1" fontId="7" fillId="41" borderId="312" xfId="0" applyNumberFormat="1" applyFont="1" applyFill="1" applyBorder="1" applyAlignment="1">
      <alignment horizontal="center" vertical="center"/>
    </xf>
    <xf numFmtId="3" fontId="7" fillId="40" borderId="141" xfId="0" quotePrefix="1" applyNumberFormat="1" applyFont="1" applyFill="1" applyBorder="1" applyAlignment="1">
      <alignment horizontal="center" vertical="center"/>
    </xf>
    <xf numFmtId="3" fontId="7" fillId="40" borderId="2" xfId="0" quotePrefix="1" applyNumberFormat="1" applyFont="1" applyFill="1" applyBorder="1" applyAlignment="1">
      <alignment horizontal="center" vertical="center"/>
    </xf>
    <xf numFmtId="1" fontId="7" fillId="0" borderId="159" xfId="0" applyNumberFormat="1" applyFont="1" applyBorder="1" applyAlignment="1">
      <alignment horizontal="center" vertical="center"/>
    </xf>
    <xf numFmtId="3" fontId="7" fillId="40" borderId="150" xfId="0" applyNumberFormat="1" applyFont="1" applyFill="1" applyBorder="1" applyAlignment="1">
      <alignment horizontal="center" vertical="center"/>
    </xf>
    <xf numFmtId="3" fontId="7" fillId="40" borderId="47" xfId="0" applyNumberFormat="1" applyFont="1" applyFill="1" applyBorder="1" applyAlignment="1">
      <alignment horizontal="center" vertical="center"/>
    </xf>
    <xf numFmtId="1" fontId="7" fillId="0" borderId="302" xfId="0" applyNumberFormat="1" applyFont="1" applyBorder="1" applyAlignment="1">
      <alignment horizontal="center" vertical="center"/>
    </xf>
    <xf numFmtId="1" fontId="7" fillId="0" borderId="303" xfId="0" applyNumberFormat="1" applyFont="1" applyBorder="1" applyAlignment="1">
      <alignment horizontal="center" vertical="center"/>
    </xf>
    <xf numFmtId="1" fontId="7" fillId="0" borderId="304" xfId="0" applyNumberFormat="1" applyFont="1" applyBorder="1" applyAlignment="1">
      <alignment horizontal="center" vertical="center"/>
    </xf>
    <xf numFmtId="1" fontId="7" fillId="0" borderId="305" xfId="0" applyNumberFormat="1" applyFont="1" applyBorder="1" applyAlignment="1">
      <alignment horizontal="center" vertical="center"/>
    </xf>
    <xf numFmtId="3" fontId="7" fillId="40" borderId="141" xfId="0" applyNumberFormat="1" applyFont="1" applyFill="1" applyBorder="1" applyAlignment="1">
      <alignment horizontal="center" vertical="center"/>
    </xf>
    <xf numFmtId="3" fontId="7" fillId="40" borderId="2" xfId="0" applyNumberFormat="1" applyFont="1" applyFill="1" applyBorder="1" applyAlignment="1">
      <alignment horizontal="center" vertical="center"/>
    </xf>
    <xf numFmtId="3" fontId="7" fillId="40" borderId="300" xfId="0" quotePrefix="1" applyNumberFormat="1" applyFont="1" applyFill="1" applyBorder="1" applyAlignment="1">
      <alignment horizontal="center" vertical="center"/>
    </xf>
    <xf numFmtId="3" fontId="7" fillId="40" borderId="3" xfId="0" quotePrefix="1" applyNumberFormat="1" applyFont="1" applyFill="1" applyBorder="1" applyAlignment="1">
      <alignment horizontal="center" vertical="center"/>
    </xf>
    <xf numFmtId="3" fontId="7" fillId="41" borderId="306" xfId="0" applyNumberFormat="1" applyFont="1" applyFill="1" applyBorder="1" applyAlignment="1">
      <alignment horizontal="center" vertical="center"/>
    </xf>
    <xf numFmtId="3" fontId="7" fillId="41" borderId="307" xfId="0" applyNumberFormat="1" applyFont="1" applyFill="1" applyBorder="1" applyAlignment="1">
      <alignment horizontal="center" vertical="center"/>
    </xf>
    <xf numFmtId="3" fontId="7" fillId="41" borderId="309" xfId="0" applyNumberFormat="1" applyFont="1" applyFill="1" applyBorder="1" applyAlignment="1">
      <alignment horizontal="center" vertical="center"/>
    </xf>
    <xf numFmtId="3" fontId="7" fillId="41" borderId="310" xfId="0" applyNumberFormat="1" applyFont="1" applyFill="1" applyBorder="1" applyAlignment="1">
      <alignment horizontal="center" vertical="center"/>
    </xf>
    <xf numFmtId="3" fontId="7" fillId="41" borderId="312" xfId="0" applyNumberFormat="1" applyFont="1" applyFill="1" applyBorder="1" applyAlignment="1">
      <alignment horizontal="center" vertical="center"/>
    </xf>
    <xf numFmtId="1" fontId="33" fillId="40" borderId="150" xfId="0" applyNumberFormat="1" applyFont="1" applyFill="1" applyBorder="1" applyAlignment="1">
      <alignment horizontal="center" vertical="center"/>
    </xf>
    <xf numFmtId="1" fontId="33" fillId="40" borderId="47" xfId="0" applyNumberFormat="1" applyFont="1" applyFill="1" applyBorder="1" applyAlignment="1">
      <alignment horizontal="center" vertical="center"/>
    </xf>
    <xf numFmtId="1" fontId="33" fillId="40" borderId="45" xfId="0" applyNumberFormat="1" applyFont="1" applyFill="1" applyBorder="1" applyAlignment="1">
      <alignment horizontal="center" vertical="center"/>
    </xf>
    <xf numFmtId="1" fontId="7" fillId="40" borderId="151" xfId="0" applyNumberFormat="1" applyFont="1" applyFill="1" applyBorder="1" applyAlignment="1">
      <alignment horizontal="center" vertical="center"/>
    </xf>
    <xf numFmtId="1" fontId="7" fillId="40" borderId="155" xfId="0" applyNumberFormat="1" applyFont="1" applyFill="1" applyBorder="1" applyAlignment="1">
      <alignment horizontal="center" vertical="center"/>
    </xf>
    <xf numFmtId="0" fontId="59" fillId="12" borderId="129" xfId="0" applyFont="1" applyFill="1" applyBorder="1"/>
    <xf numFmtId="3" fontId="80" fillId="12" borderId="0" xfId="0" applyNumberFormat="1" applyFont="1" applyFill="1" applyAlignment="1">
      <alignment horizontal="center" vertical="center"/>
    </xf>
    <xf numFmtId="1" fontId="33" fillId="40" borderId="147" xfId="0" applyNumberFormat="1" applyFont="1" applyFill="1" applyBorder="1" applyAlignment="1">
      <alignment horizontal="center" vertical="center"/>
    </xf>
    <xf numFmtId="1" fontId="33" fillId="40" borderId="148" xfId="0" applyNumberFormat="1" applyFont="1" applyFill="1" applyBorder="1" applyAlignment="1">
      <alignment horizontal="center" vertical="center"/>
    </xf>
    <xf numFmtId="1" fontId="33" fillId="40" borderId="156" xfId="0" applyNumberFormat="1" applyFont="1" applyFill="1" applyBorder="1" applyAlignment="1">
      <alignment horizontal="center" vertical="center"/>
    </xf>
    <xf numFmtId="1" fontId="33" fillId="40" borderId="234" xfId="0" applyNumberFormat="1" applyFont="1" applyFill="1" applyBorder="1" applyAlignment="1">
      <alignment horizontal="center" vertical="center"/>
    </xf>
    <xf numFmtId="1" fontId="33" fillId="40" borderId="174" xfId="0" applyNumberFormat="1" applyFont="1" applyFill="1" applyBorder="1" applyAlignment="1">
      <alignment horizontal="center" vertical="center"/>
    </xf>
    <xf numFmtId="1" fontId="33" fillId="40" borderId="235" xfId="0" applyNumberFormat="1" applyFont="1" applyFill="1" applyBorder="1" applyAlignment="1">
      <alignment horizontal="center" vertical="center"/>
    </xf>
    <xf numFmtId="0" fontId="33" fillId="7" borderId="176" xfId="0" applyFont="1" applyFill="1" applyBorder="1" applyAlignment="1">
      <alignment horizontal="center" vertical="center"/>
    </xf>
    <xf numFmtId="0" fontId="33" fillId="7" borderId="233" xfId="0" applyFont="1" applyFill="1" applyBorder="1" applyAlignment="1">
      <alignment horizontal="center" vertical="center"/>
    </xf>
    <xf numFmtId="1" fontId="33" fillId="0" borderId="175" xfId="0" applyNumberFormat="1" applyFont="1" applyBorder="1" applyAlignment="1">
      <alignment horizontal="center" vertical="center"/>
    </xf>
    <xf numFmtId="1" fontId="33" fillId="0" borderId="176" xfId="0" applyNumberFormat="1" applyFont="1" applyBorder="1" applyAlignment="1">
      <alignment horizontal="center" vertical="center"/>
    </xf>
    <xf numFmtId="1" fontId="33" fillId="0" borderId="249" xfId="0" applyNumberFormat="1" applyFont="1" applyBorder="1" applyAlignment="1">
      <alignment horizontal="center" vertical="center"/>
    </xf>
    <xf numFmtId="1" fontId="33" fillId="0" borderId="180" xfId="0" applyNumberFormat="1" applyFont="1" applyBorder="1" applyAlignment="1">
      <alignment horizontal="center" vertical="center"/>
    </xf>
    <xf numFmtId="3" fontId="33" fillId="7" borderId="119" xfId="0" applyNumberFormat="1" applyFont="1" applyFill="1" applyBorder="1" applyAlignment="1">
      <alignment horizontal="center" vertical="center"/>
    </xf>
    <xf numFmtId="3" fontId="33" fillId="7" borderId="35" xfId="0" applyNumberFormat="1" applyFont="1" applyFill="1" applyBorder="1" applyAlignment="1">
      <alignment horizontal="center" vertical="center"/>
    </xf>
    <xf numFmtId="0" fontId="33" fillId="7" borderId="119" xfId="0" applyFont="1" applyFill="1" applyBorder="1"/>
    <xf numFmtId="4" fontId="32" fillId="7" borderId="1" xfId="29" applyNumberFormat="1" applyFont="1" applyFill="1" applyBorder="1" applyAlignment="1">
      <alignment horizontal="center"/>
    </xf>
    <xf numFmtId="4" fontId="32" fillId="0" borderId="177" xfId="29" applyNumberFormat="1" applyFont="1" applyBorder="1" applyAlignment="1">
      <alignment horizontal="center"/>
    </xf>
    <xf numFmtId="4" fontId="32" fillId="0" borderId="119" xfId="29" applyNumberFormat="1" applyFont="1" applyBorder="1" applyAlignment="1">
      <alignment horizontal="center"/>
    </xf>
    <xf numFmtId="4" fontId="32" fillId="0" borderId="158" xfId="29" applyNumberFormat="1" applyFont="1" applyBorder="1" applyAlignment="1">
      <alignment horizontal="center"/>
    </xf>
    <xf numFmtId="4" fontId="32" fillId="0" borderId="181" xfId="29" applyNumberFormat="1" applyFont="1" applyBorder="1" applyAlignment="1">
      <alignment horizontal="center"/>
    </xf>
    <xf numFmtId="10" fontId="32" fillId="7" borderId="119" xfId="29" quotePrefix="1" applyNumberFormat="1" applyFont="1" applyFill="1" applyBorder="1" applyAlignment="1">
      <alignment horizontal="right"/>
    </xf>
    <xf numFmtId="10" fontId="32" fillId="7" borderId="173" xfId="29" quotePrefix="1" applyNumberFormat="1" applyFont="1" applyFill="1" applyBorder="1" applyAlignment="1">
      <alignment horizontal="right"/>
    </xf>
    <xf numFmtId="4" fontId="32" fillId="7" borderId="253" xfId="29" applyNumberFormat="1" applyFont="1" applyFill="1" applyBorder="1" applyAlignment="1">
      <alignment horizontal="center"/>
    </xf>
    <xf numFmtId="4" fontId="32" fillId="0" borderId="178" xfId="29" applyNumberFormat="1" applyFont="1" applyBorder="1" applyAlignment="1">
      <alignment horizontal="center"/>
    </xf>
    <xf numFmtId="4" fontId="32" fillId="0" borderId="173" xfId="29" applyNumberFormat="1" applyFont="1" applyBorder="1" applyAlignment="1">
      <alignment horizontal="center"/>
    </xf>
    <xf numFmtId="4" fontId="32" fillId="0" borderId="250" xfId="29" applyNumberFormat="1" applyFont="1" applyBorder="1" applyAlignment="1">
      <alignment horizontal="center"/>
    </xf>
    <xf numFmtId="4" fontId="32" fillId="0" borderId="182" xfId="29" applyNumberFormat="1" applyFont="1" applyBorder="1" applyAlignment="1">
      <alignment horizontal="center"/>
    </xf>
    <xf numFmtId="3" fontId="24" fillId="0" borderId="3" xfId="0" applyNumberFormat="1" applyFont="1" applyBorder="1" applyAlignment="1">
      <alignment horizontal="center" vertical="center"/>
    </xf>
    <xf numFmtId="180" fontId="7" fillId="0" borderId="160" xfId="16" applyNumberFormat="1" applyFont="1" applyFill="1" applyBorder="1" applyAlignment="1">
      <alignment horizontal="center" vertical="center"/>
    </xf>
    <xf numFmtId="1" fontId="33" fillId="0" borderId="46" xfId="0" applyNumberFormat="1" applyFont="1" applyBorder="1" applyAlignment="1">
      <alignment horizontal="center" vertical="center"/>
    </xf>
    <xf numFmtId="180" fontId="32" fillId="0" borderId="46" xfId="16" applyNumberFormat="1" applyFont="1" applyFill="1" applyBorder="1" applyAlignment="1">
      <alignment horizontal="center" vertical="center"/>
    </xf>
    <xf numFmtId="1" fontId="24" fillId="0" borderId="46" xfId="0" applyNumberFormat="1" applyFont="1" applyBorder="1" applyAlignment="1">
      <alignment horizontal="center" vertical="center"/>
    </xf>
    <xf numFmtId="3" fontId="32" fillId="43" borderId="142" xfId="30" applyNumberFormat="1" applyFont="1" applyFill="1" applyBorder="1" applyAlignment="1">
      <alignment horizontal="center" vertical="center"/>
    </xf>
    <xf numFmtId="0" fontId="24" fillId="38" borderId="142" xfId="0" applyFont="1" applyFill="1" applyBorder="1" applyAlignment="1">
      <alignment horizontal="center" vertical="center"/>
    </xf>
    <xf numFmtId="3" fontId="24" fillId="38" borderId="300" xfId="0" applyNumberFormat="1" applyFont="1" applyFill="1" applyBorder="1" applyAlignment="1">
      <alignment horizontal="center" vertical="center"/>
    </xf>
    <xf numFmtId="3" fontId="24" fillId="38" borderId="3" xfId="0" applyNumberFormat="1" applyFont="1" applyFill="1" applyBorder="1" applyAlignment="1">
      <alignment horizontal="center" vertical="center"/>
    </xf>
    <xf numFmtId="3" fontId="24" fillId="38" borderId="301" xfId="0" applyNumberFormat="1" applyFont="1" applyFill="1" applyBorder="1" applyAlignment="1">
      <alignment horizontal="center" vertical="center"/>
    </xf>
    <xf numFmtId="1" fontId="7" fillId="41" borderId="307" xfId="0" applyNumberFormat="1" applyFont="1" applyFill="1" applyBorder="1" applyAlignment="1">
      <alignment horizontal="center" vertical="center"/>
    </xf>
    <xf numFmtId="1" fontId="7" fillId="41" borderId="308" xfId="0" applyNumberFormat="1" applyFont="1" applyFill="1" applyBorder="1" applyAlignment="1">
      <alignment horizontal="center" vertical="center"/>
    </xf>
    <xf numFmtId="3" fontId="24" fillId="0" borderId="38" xfId="0" applyNumberFormat="1" applyFont="1" applyBorder="1" applyAlignment="1">
      <alignment horizontal="center" vertical="center"/>
    </xf>
    <xf numFmtId="1" fontId="7" fillId="41" borderId="314" xfId="0" applyNumberFormat="1" applyFont="1" applyFill="1" applyBorder="1" applyAlignment="1">
      <alignment horizontal="center" vertical="center"/>
    </xf>
    <xf numFmtId="3" fontId="32" fillId="38" borderId="300" xfId="0" applyNumberFormat="1" applyFont="1" applyFill="1" applyBorder="1" applyAlignment="1">
      <alignment horizontal="center" vertical="center"/>
    </xf>
    <xf numFmtId="3" fontId="32" fillId="38" borderId="3" xfId="0" applyNumberFormat="1" applyFont="1" applyFill="1" applyBorder="1" applyAlignment="1">
      <alignment horizontal="center" vertical="center"/>
    </xf>
    <xf numFmtId="3" fontId="32" fillId="38" borderId="301" xfId="0" applyNumberFormat="1" applyFont="1" applyFill="1" applyBorder="1" applyAlignment="1">
      <alignment horizontal="center" vertical="center"/>
    </xf>
    <xf numFmtId="1" fontId="33" fillId="0" borderId="38" xfId="0" applyNumberFormat="1" applyFont="1" applyBorder="1" applyAlignment="1">
      <alignment horizontal="center" vertical="center"/>
    </xf>
    <xf numFmtId="1" fontId="33" fillId="0" borderId="3" xfId="0" applyNumberFormat="1" applyFont="1" applyBorder="1" applyAlignment="1">
      <alignment horizontal="center" vertical="center"/>
    </xf>
    <xf numFmtId="1" fontId="12" fillId="41" borderId="273" xfId="0" applyNumberFormat="1" applyFont="1" applyFill="1" applyBorder="1" applyAlignment="1">
      <alignment horizontal="left" vertical="center"/>
    </xf>
    <xf numFmtId="0" fontId="12" fillId="0" borderId="315" xfId="0" applyFont="1" applyBorder="1" applyAlignment="1">
      <alignment horizontal="center"/>
    </xf>
    <xf numFmtId="0" fontId="12" fillId="0" borderId="316" xfId="0" applyFont="1" applyBorder="1" applyAlignment="1">
      <alignment horizontal="center"/>
    </xf>
    <xf numFmtId="0" fontId="12" fillId="8" borderId="316" xfId="0" applyFont="1" applyFill="1" applyBorder="1" applyAlignment="1">
      <alignment horizontal="center"/>
    </xf>
    <xf numFmtId="0" fontId="12" fillId="0" borderId="154" xfId="0" applyFont="1" applyBorder="1" applyAlignment="1">
      <alignment horizontal="center" wrapText="1"/>
    </xf>
    <xf numFmtId="0" fontId="59" fillId="0" borderId="266" xfId="0" applyFont="1" applyBorder="1" applyAlignment="1">
      <alignment horizontal="center"/>
    </xf>
    <xf numFmtId="0" fontId="12" fillId="0" borderId="257" xfId="0" applyFont="1" applyBorder="1" applyAlignment="1">
      <alignment horizontal="center"/>
    </xf>
    <xf numFmtId="0" fontId="59" fillId="0" borderId="35" xfId="0" applyFont="1" applyBorder="1" applyAlignment="1">
      <alignment horizontal="center"/>
    </xf>
    <xf numFmtId="0" fontId="59" fillId="0" borderId="140" xfId="0" applyFont="1" applyBorder="1" applyAlignment="1">
      <alignment horizontal="center" wrapText="1"/>
    </xf>
    <xf numFmtId="0" fontId="59" fillId="12" borderId="0" xfId="0" applyFont="1" applyFill="1"/>
    <xf numFmtId="3" fontId="33" fillId="7" borderId="259" xfId="0" applyNumberFormat="1" applyFont="1" applyFill="1" applyBorder="1" applyAlignment="1">
      <alignment horizontal="center" vertical="center"/>
    </xf>
    <xf numFmtId="3" fontId="33" fillId="7" borderId="164" xfId="0" applyNumberFormat="1" applyFont="1" applyFill="1" applyBorder="1" applyAlignment="1">
      <alignment horizontal="center" vertical="center"/>
    </xf>
    <xf numFmtId="0" fontId="33" fillId="7" borderId="164" xfId="0" applyFont="1" applyFill="1" applyBorder="1"/>
    <xf numFmtId="0" fontId="33" fillId="7" borderId="189" xfId="0" applyFont="1" applyFill="1" applyBorder="1"/>
    <xf numFmtId="0" fontId="55" fillId="0" borderId="317" xfId="0" applyFont="1" applyBorder="1" applyAlignment="1">
      <alignment horizontal="center" vertical="center"/>
    </xf>
    <xf numFmtId="10" fontId="0" fillId="0" borderId="154" xfId="0" applyNumberFormat="1" applyBorder="1" applyAlignment="1">
      <alignment horizontal="center" vertical="center"/>
    </xf>
    <xf numFmtId="0" fontId="57" fillId="0" borderId="0" xfId="0" applyFont="1" applyAlignment="1">
      <alignment horizontal="left"/>
    </xf>
    <xf numFmtId="0" fontId="7" fillId="50" borderId="129" xfId="0" applyFont="1" applyFill="1" applyBorder="1" applyAlignment="1">
      <alignment horizontal="center"/>
    </xf>
    <xf numFmtId="2" fontId="0" fillId="0" borderId="232" xfId="0" applyNumberFormat="1" applyBorder="1" applyAlignment="1">
      <alignment horizontal="center"/>
    </xf>
    <xf numFmtId="2" fontId="0" fillId="0" borderId="318" xfId="0" applyNumberFormat="1" applyBorder="1" applyAlignment="1">
      <alignment horizontal="center"/>
    </xf>
    <xf numFmtId="2" fontId="0" fillId="0" borderId="319" xfId="0" applyNumberFormat="1" applyBorder="1" applyAlignment="1">
      <alignment horizontal="center"/>
    </xf>
    <xf numFmtId="0" fontId="7" fillId="50" borderId="270" xfId="0" applyFont="1" applyFill="1" applyBorder="1" applyAlignment="1">
      <alignment horizontal="center"/>
    </xf>
    <xf numFmtId="2" fontId="0" fillId="0" borderId="143" xfId="0" applyNumberFormat="1" applyBorder="1" applyAlignment="1">
      <alignment horizontal="center"/>
    </xf>
    <xf numFmtId="2" fontId="0" fillId="0" borderId="320" xfId="0" applyNumberFormat="1" applyBorder="1" applyAlignment="1">
      <alignment horizontal="center"/>
    </xf>
    <xf numFmtId="2" fontId="0" fillId="0" borderId="321" xfId="0" applyNumberFormat="1" applyBorder="1" applyAlignment="1">
      <alignment horizontal="center"/>
    </xf>
    <xf numFmtId="0" fontId="0" fillId="50" borderId="272" xfId="0" applyFill="1" applyBorder="1" applyAlignment="1">
      <alignment horizontal="center"/>
    </xf>
    <xf numFmtId="2" fontId="0" fillId="0" borderId="306" xfId="0" applyNumberFormat="1" applyBorder="1" applyAlignment="1">
      <alignment horizontal="center"/>
    </xf>
    <xf numFmtId="2" fontId="0" fillId="0" borderId="307" xfId="0" applyNumberFormat="1" applyBorder="1" applyAlignment="1">
      <alignment horizontal="center"/>
    </xf>
    <xf numFmtId="2" fontId="0" fillId="0" borderId="308" xfId="0" applyNumberFormat="1" applyBorder="1" applyAlignment="1">
      <alignment horizontal="center"/>
    </xf>
    <xf numFmtId="1" fontId="81" fillId="0" borderId="0" xfId="0" applyNumberFormat="1" applyFont="1" applyAlignment="1">
      <alignment horizontal="left"/>
    </xf>
    <xf numFmtId="0" fontId="12" fillId="0" borderId="316" xfId="0" applyFont="1" applyBorder="1" applyAlignment="1">
      <alignment horizontal="center" wrapText="1"/>
    </xf>
    <xf numFmtId="3" fontId="80" fillId="12" borderId="123" xfId="0" applyNumberFormat="1" applyFont="1" applyFill="1" applyBorder="1" applyAlignment="1">
      <alignment horizontal="center" vertical="center"/>
    </xf>
    <xf numFmtId="1" fontId="7" fillId="0" borderId="151" xfId="0" applyNumberFormat="1" applyFont="1" applyBorder="1" applyAlignment="1">
      <alignment horizontal="center" vertical="center"/>
    </xf>
    <xf numFmtId="1" fontId="7" fillId="0" borderId="155" xfId="0" applyNumberFormat="1" applyFont="1" applyBorder="1" applyAlignment="1">
      <alignment horizontal="center" vertical="center"/>
    </xf>
    <xf numFmtId="1" fontId="7" fillId="0" borderId="295" xfId="0" applyNumberFormat="1" applyFont="1" applyBorder="1" applyAlignment="1">
      <alignment horizontal="center" vertical="center"/>
    </xf>
    <xf numFmtId="1" fontId="7" fillId="0" borderId="313" xfId="0" applyNumberFormat="1" applyFont="1" applyBorder="1" applyAlignment="1">
      <alignment horizontal="center" vertical="center"/>
    </xf>
    <xf numFmtId="0" fontId="59" fillId="0" borderId="296" xfId="0" applyFont="1" applyBorder="1"/>
    <xf numFmtId="0" fontId="59" fillId="0" borderId="298" xfId="0" applyFont="1" applyBorder="1"/>
    <xf numFmtId="0" fontId="59" fillId="0" borderId="270" xfId="0" applyFont="1" applyBorder="1"/>
    <xf numFmtId="3" fontId="33" fillId="40" borderId="147" xfId="0" applyNumberFormat="1" applyFont="1" applyFill="1" applyBorder="1" applyAlignment="1">
      <alignment horizontal="center" vertical="center"/>
    </xf>
    <xf numFmtId="3" fontId="33" fillId="40" borderId="148" xfId="0" applyNumberFormat="1" applyFont="1" applyFill="1" applyBorder="1" applyAlignment="1">
      <alignment horizontal="center" vertical="center"/>
    </xf>
    <xf numFmtId="3" fontId="33" fillId="40" borderId="149" xfId="0" applyNumberFormat="1" applyFont="1" applyFill="1" applyBorder="1" applyAlignment="1">
      <alignment horizontal="center" vertical="center"/>
    </xf>
    <xf numFmtId="1" fontId="33" fillId="40" borderId="142" xfId="0" applyNumberFormat="1" applyFont="1" applyFill="1" applyBorder="1" applyAlignment="1">
      <alignment horizontal="center" vertical="center"/>
    </xf>
    <xf numFmtId="1" fontId="33" fillId="40" borderId="295" xfId="0" applyNumberFormat="1" applyFont="1" applyFill="1" applyBorder="1" applyAlignment="1">
      <alignment horizontal="center" vertical="center"/>
    </xf>
    <xf numFmtId="0" fontId="59" fillId="0" borderId="315" xfId="0" applyFont="1" applyBorder="1" applyAlignment="1">
      <alignment vertical="center"/>
    </xf>
    <xf numFmtId="0" fontId="59" fillId="0" borderId="316" xfId="0" applyFont="1" applyBorder="1" applyAlignment="1">
      <alignment vertical="center"/>
    </xf>
    <xf numFmtId="0" fontId="59" fillId="0" borderId="154" xfId="0" applyFont="1" applyBorder="1" applyAlignment="1">
      <alignment vertical="center"/>
    </xf>
    <xf numFmtId="0" fontId="12" fillId="37" borderId="35" xfId="0" applyFont="1" applyFill="1" applyBorder="1" applyAlignment="1">
      <alignment vertical="center"/>
    </xf>
    <xf numFmtId="0" fontId="7" fillId="37" borderId="35" xfId="0" applyFont="1" applyFill="1" applyBorder="1" applyAlignment="1">
      <alignment horizontal="left" vertical="center"/>
    </xf>
    <xf numFmtId="0" fontId="12" fillId="37" borderId="35" xfId="0" applyFont="1" applyFill="1" applyBorder="1" applyAlignment="1">
      <alignment horizontal="left" vertical="center"/>
    </xf>
    <xf numFmtId="0" fontId="7" fillId="37" borderId="0" xfId="0" applyFont="1" applyFill="1" applyAlignment="1">
      <alignment horizontal="left" vertical="center"/>
    </xf>
    <xf numFmtId="0" fontId="7" fillId="37" borderId="296" xfId="0" applyFont="1" applyFill="1" applyBorder="1" applyAlignment="1">
      <alignment vertical="center"/>
    </xf>
    <xf numFmtId="0" fontId="7" fillId="37" borderId="298" xfId="0" applyFont="1" applyFill="1" applyBorder="1" applyAlignment="1">
      <alignment vertical="center"/>
    </xf>
    <xf numFmtId="0" fontId="7" fillId="37" borderId="268" xfId="0" applyFont="1" applyFill="1" applyBorder="1" applyAlignment="1">
      <alignment vertical="center"/>
    </xf>
    <xf numFmtId="0" fontId="12" fillId="41" borderId="272" xfId="0" quotePrefix="1" applyFont="1" applyFill="1" applyBorder="1" applyAlignment="1">
      <alignment vertical="center"/>
    </xf>
    <xf numFmtId="190" fontId="0" fillId="0" borderId="0" xfId="0" applyNumberFormat="1"/>
    <xf numFmtId="180" fontId="83" fillId="0" borderId="323" xfId="16" applyNumberFormat="1" applyFont="1" applyBorder="1" applyAlignment="1">
      <alignment horizontal="center"/>
    </xf>
    <xf numFmtId="0" fontId="0" fillId="0" borderId="1" xfId="0" applyBorder="1"/>
    <xf numFmtId="0" fontId="82" fillId="0" borderId="253" xfId="0" applyFont="1" applyBorder="1"/>
    <xf numFmtId="1" fontId="7" fillId="0" borderId="175" xfId="0" applyNumberFormat="1" applyFont="1" applyBorder="1" applyAlignment="1">
      <alignment horizontal="center" vertical="center"/>
    </xf>
    <xf numFmtId="1" fontId="7" fillId="0" borderId="259" xfId="0" applyNumberFormat="1" applyFont="1" applyBorder="1" applyAlignment="1">
      <alignment horizontal="center" vertical="center"/>
    </xf>
    <xf numFmtId="1" fontId="7" fillId="0" borderId="196" xfId="0" applyNumberFormat="1" applyFont="1" applyBorder="1" applyAlignment="1">
      <alignment horizontal="center" vertical="center"/>
    </xf>
    <xf numFmtId="3" fontId="7" fillId="0" borderId="201" xfId="0" applyNumberFormat="1" applyFont="1" applyBorder="1" applyAlignment="1">
      <alignment horizontal="center" vertical="center"/>
    </xf>
    <xf numFmtId="1" fontId="7" fillId="41" borderId="325" xfId="0" applyNumberFormat="1" applyFont="1" applyFill="1" applyBorder="1" applyAlignment="1">
      <alignment horizontal="center" vertical="center"/>
    </xf>
    <xf numFmtId="1" fontId="7" fillId="0" borderId="262" xfId="0" applyNumberFormat="1" applyFont="1" applyBorder="1" applyAlignment="1">
      <alignment horizontal="center" vertical="center"/>
    </xf>
    <xf numFmtId="1" fontId="7" fillId="0" borderId="265" xfId="0" applyNumberFormat="1" applyFont="1" applyBorder="1" applyAlignment="1">
      <alignment horizontal="center" vertical="center"/>
    </xf>
    <xf numFmtId="1" fontId="7" fillId="0" borderId="201" xfId="0" applyNumberFormat="1" applyFont="1" applyBorder="1" applyAlignment="1">
      <alignment horizontal="center" vertical="center"/>
    </xf>
    <xf numFmtId="0" fontId="7" fillId="0" borderId="134" xfId="0" quotePrefix="1" applyFont="1" applyBorder="1" applyAlignment="1">
      <alignment horizontal="center" vertical="center"/>
    </xf>
    <xf numFmtId="3" fontId="7" fillId="41" borderId="326" xfId="0" applyNumberFormat="1" applyFont="1" applyFill="1" applyBorder="1" applyAlignment="1">
      <alignment horizontal="center" vertical="center"/>
    </xf>
    <xf numFmtId="3" fontId="7" fillId="41" borderId="327" xfId="0" applyNumberFormat="1" applyFont="1" applyFill="1" applyBorder="1" applyAlignment="1">
      <alignment horizontal="center" vertical="center"/>
    </xf>
    <xf numFmtId="3" fontId="7" fillId="41" borderId="328" xfId="0" applyNumberFormat="1" applyFont="1" applyFill="1" applyBorder="1" applyAlignment="1">
      <alignment horizontal="center" vertical="center"/>
    </xf>
    <xf numFmtId="3" fontId="7" fillId="40" borderId="156" xfId="0" quotePrefix="1" applyNumberFormat="1" applyFont="1" applyFill="1" applyBorder="1" applyAlignment="1">
      <alignment horizontal="center" vertical="center"/>
    </xf>
    <xf numFmtId="3" fontId="7" fillId="40" borderId="45" xfId="0" quotePrefix="1" applyNumberFormat="1" applyFont="1" applyFill="1" applyBorder="1" applyAlignment="1">
      <alignment horizontal="center" vertical="center"/>
    </xf>
    <xf numFmtId="3" fontId="7" fillId="40" borderId="37" xfId="0" applyNumberFormat="1" applyFont="1" applyFill="1" applyBorder="1" applyAlignment="1">
      <alignment horizontal="center" vertical="center"/>
    </xf>
    <xf numFmtId="0" fontId="7" fillId="41" borderId="329" xfId="0" applyFont="1" applyFill="1" applyBorder="1" applyAlignment="1">
      <alignment horizontal="center" vertical="center"/>
    </xf>
    <xf numFmtId="3" fontId="7" fillId="40" borderId="40" xfId="0" quotePrefix="1" applyNumberFormat="1" applyFont="1" applyFill="1" applyBorder="1" applyAlignment="1">
      <alignment horizontal="center" vertical="center"/>
    </xf>
    <xf numFmtId="3" fontId="7" fillId="40" borderId="45" xfId="0" applyNumberFormat="1" applyFont="1" applyFill="1" applyBorder="1" applyAlignment="1">
      <alignment horizontal="center" vertical="center"/>
    </xf>
    <xf numFmtId="3" fontId="7" fillId="41" borderId="329" xfId="0" applyNumberFormat="1" applyFont="1" applyFill="1" applyBorder="1" applyAlignment="1">
      <alignment horizontal="center" vertical="center"/>
    </xf>
    <xf numFmtId="3" fontId="7" fillId="40" borderId="40" xfId="0" applyNumberFormat="1" applyFont="1" applyFill="1" applyBorder="1" applyAlignment="1">
      <alignment horizontal="center" vertical="center"/>
    </xf>
    <xf numFmtId="3" fontId="7" fillId="40" borderId="37" xfId="0" quotePrefix="1" applyNumberFormat="1" applyFont="1" applyFill="1" applyBorder="1" applyAlignment="1">
      <alignment horizontal="center" vertical="center"/>
    </xf>
    <xf numFmtId="0" fontId="12" fillId="0" borderId="322" xfId="0" applyFont="1" applyBorder="1" applyAlignment="1">
      <alignment horizontal="center"/>
    </xf>
    <xf numFmtId="0" fontId="12" fillId="0" borderId="330" xfId="0" applyFont="1" applyBorder="1" applyAlignment="1">
      <alignment horizontal="center"/>
    </xf>
    <xf numFmtId="0" fontId="12" fillId="0" borderId="125" xfId="0" applyFont="1" applyBorder="1" applyAlignment="1">
      <alignment horizontal="center"/>
    </xf>
    <xf numFmtId="0" fontId="59" fillId="0" borderId="331" xfId="0" applyFont="1" applyBorder="1" applyAlignment="1">
      <alignment vertical="center"/>
    </xf>
    <xf numFmtId="0" fontId="59" fillId="8" borderId="332" xfId="0" applyFont="1" applyFill="1" applyBorder="1" applyAlignment="1">
      <alignment vertical="center"/>
    </xf>
    <xf numFmtId="0" fontId="59" fillId="48" borderId="332" xfId="0" applyFont="1" applyFill="1" applyBorder="1" applyAlignment="1">
      <alignment vertical="center"/>
    </xf>
    <xf numFmtId="0" fontId="59" fillId="48" borderId="144" xfId="0" applyFont="1" applyFill="1" applyBorder="1" applyAlignment="1">
      <alignment vertical="center"/>
    </xf>
    <xf numFmtId="0" fontId="53" fillId="0" borderId="139" xfId="0" applyFont="1" applyBorder="1"/>
    <xf numFmtId="0" fontId="53" fillId="0" borderId="133" xfId="0" applyFont="1" applyBorder="1"/>
    <xf numFmtId="0" fontId="53" fillId="0" borderId="127" xfId="0" applyFont="1" applyBorder="1"/>
    <xf numFmtId="10" fontId="0" fillId="0" borderId="0" xfId="0" applyNumberFormat="1" applyAlignment="1">
      <alignment horizontal="center" vertical="center"/>
    </xf>
    <xf numFmtId="0" fontId="53" fillId="0" borderId="195" xfId="0" applyFont="1" applyBorder="1"/>
    <xf numFmtId="0" fontId="53" fillId="8" borderId="127" xfId="0" applyFont="1" applyFill="1" applyBorder="1"/>
    <xf numFmtId="0" fontId="53" fillId="0" borderId="178" xfId="0" applyFont="1" applyBorder="1"/>
    <xf numFmtId="0" fontId="0" fillId="0" borderId="179" xfId="0" applyBorder="1"/>
    <xf numFmtId="191" fontId="0" fillId="0" borderId="0" xfId="0" applyNumberFormat="1"/>
    <xf numFmtId="189" fontId="0" fillId="0" borderId="0" xfId="0" applyNumberFormat="1"/>
    <xf numFmtId="3" fontId="33" fillId="0" borderId="15" xfId="0" applyNumberFormat="1" applyFont="1" applyBorder="1" applyAlignment="1">
      <alignment horizontal="right"/>
    </xf>
    <xf numFmtId="184" fontId="0" fillId="8" borderId="101" xfId="0" applyNumberFormat="1" applyFill="1" applyBorder="1" applyAlignment="1">
      <alignment horizontal="center"/>
    </xf>
    <xf numFmtId="9" fontId="0" fillId="8" borderId="101" xfId="16" applyFont="1" applyFill="1" applyBorder="1" applyAlignment="1">
      <alignment horizontal="center"/>
    </xf>
    <xf numFmtId="9" fontId="0" fillId="8" borderId="103" xfId="16" applyFont="1" applyFill="1" applyBorder="1" applyAlignment="1">
      <alignment horizontal="center"/>
    </xf>
    <xf numFmtId="2" fontId="0" fillId="8" borderId="101" xfId="0" applyNumberFormat="1" applyFill="1" applyBorder="1" applyAlignment="1">
      <alignment horizontal="center"/>
    </xf>
    <xf numFmtId="2" fontId="0" fillId="8" borderId="102" xfId="0" applyNumberFormat="1" applyFill="1" applyBorder="1" applyAlignment="1">
      <alignment horizontal="center"/>
    </xf>
    <xf numFmtId="2" fontId="0" fillId="8" borderId="103" xfId="0" applyNumberFormat="1" applyFill="1" applyBorder="1" applyAlignment="1">
      <alignment horizontal="center"/>
    </xf>
    <xf numFmtId="181" fontId="7" fillId="8" borderId="101" xfId="0" applyNumberFormat="1" applyFont="1" applyFill="1" applyBorder="1" applyAlignment="1">
      <alignment horizontal="center"/>
    </xf>
    <xf numFmtId="181" fontId="0" fillId="8" borderId="101" xfId="0" applyNumberFormat="1" applyFill="1" applyBorder="1" applyAlignment="1">
      <alignment horizontal="center"/>
    </xf>
    <xf numFmtId="181" fontId="0" fillId="8" borderId="103" xfId="0" applyNumberFormat="1" applyFill="1" applyBorder="1" applyAlignment="1">
      <alignment horizontal="center"/>
    </xf>
    <xf numFmtId="181" fontId="0" fillId="8" borderId="102" xfId="0" applyNumberFormat="1" applyFill="1" applyBorder="1" applyAlignment="1">
      <alignment horizontal="center"/>
    </xf>
    <xf numFmtId="0" fontId="46" fillId="31" borderId="203" xfId="0" applyFont="1" applyFill="1" applyBorder="1" applyAlignment="1">
      <alignment horizontal="center" vertical="center"/>
    </xf>
    <xf numFmtId="0" fontId="46" fillId="10" borderId="204" xfId="0" applyFont="1" applyFill="1" applyBorder="1" applyAlignment="1">
      <alignment horizontal="center" vertical="center" wrapText="1"/>
    </xf>
    <xf numFmtId="0" fontId="46" fillId="11" borderId="204" xfId="0" applyFont="1" applyFill="1" applyBorder="1" applyAlignment="1">
      <alignment horizontal="center" vertical="center" wrapText="1"/>
    </xf>
    <xf numFmtId="0" fontId="46" fillId="15" borderId="204" xfId="0" applyFont="1" applyFill="1" applyBorder="1" applyAlignment="1">
      <alignment horizontal="center" vertical="center" wrapText="1"/>
    </xf>
    <xf numFmtId="0" fontId="46" fillId="16" borderId="205" xfId="0" applyFont="1" applyFill="1" applyBorder="1" applyAlignment="1">
      <alignment horizontal="center" vertical="center" wrapText="1"/>
    </xf>
    <xf numFmtId="0" fontId="26" fillId="32" borderId="104" xfId="0" applyFont="1" applyFill="1" applyBorder="1" applyAlignment="1">
      <alignment horizontal="center"/>
    </xf>
    <xf numFmtId="0" fontId="0" fillId="32" borderId="101" xfId="0" applyFill="1" applyBorder="1"/>
    <xf numFmtId="0" fontId="0" fillId="32" borderId="333" xfId="0" applyFill="1" applyBorder="1"/>
    <xf numFmtId="0" fontId="46" fillId="9" borderId="204" xfId="0" applyFont="1" applyFill="1" applyBorder="1" applyAlignment="1">
      <alignment horizontal="center" vertical="center"/>
    </xf>
    <xf numFmtId="0" fontId="46" fillId="23" borderId="204" xfId="0" applyFont="1" applyFill="1" applyBorder="1" applyAlignment="1">
      <alignment horizontal="center" vertical="center" wrapText="1"/>
    </xf>
    <xf numFmtId="191" fontId="0" fillId="8" borderId="0" xfId="0" applyNumberFormat="1" applyFill="1"/>
    <xf numFmtId="3" fontId="0" fillId="8" borderId="0" xfId="0" applyNumberFormat="1" applyFill="1"/>
    <xf numFmtId="189" fontId="0" fillId="8" borderId="0" xfId="0" applyNumberFormat="1" applyFill="1"/>
    <xf numFmtId="0" fontId="65" fillId="8" borderId="0" xfId="0" applyFont="1" applyFill="1"/>
    <xf numFmtId="0" fontId="0" fillId="0" borderId="220" xfId="0" applyBorder="1"/>
    <xf numFmtId="189" fontId="0" fillId="8" borderId="337" xfId="0" applyNumberFormat="1" applyFill="1" applyBorder="1"/>
    <xf numFmtId="3" fontId="0" fillId="8" borderId="341" xfId="0" applyNumberFormat="1" applyFill="1" applyBorder="1"/>
    <xf numFmtId="0" fontId="0" fillId="0" borderId="342" xfId="0" applyBorder="1"/>
    <xf numFmtId="3" fontId="0" fillId="8" borderId="344" xfId="0" applyNumberFormat="1" applyFill="1" applyBorder="1"/>
    <xf numFmtId="189" fontId="0" fillId="8" borderId="345" xfId="0" applyNumberFormat="1" applyFill="1" applyBorder="1"/>
    <xf numFmtId="192" fontId="0" fillId="8" borderId="338" xfId="0" applyNumberFormat="1" applyFill="1" applyBorder="1"/>
    <xf numFmtId="192" fontId="0" fillId="8" borderId="346" xfId="0" applyNumberFormat="1" applyFill="1" applyBorder="1"/>
    <xf numFmtId="192" fontId="0" fillId="24" borderId="336" xfId="0" applyNumberFormat="1" applyFill="1" applyBorder="1"/>
    <xf numFmtId="0" fontId="26" fillId="32" borderId="351" xfId="0" applyFont="1" applyFill="1" applyBorder="1" applyAlignment="1">
      <alignment horizontal="center"/>
    </xf>
    <xf numFmtId="189" fontId="0" fillId="0" borderId="330" xfId="0" applyNumberFormat="1" applyBorder="1" applyAlignment="1">
      <alignment horizontal="center"/>
    </xf>
    <xf numFmtId="189" fontId="0" fillId="0" borderId="323" xfId="0" applyNumberFormat="1" applyBorder="1" applyAlignment="1">
      <alignment horizontal="center"/>
    </xf>
    <xf numFmtId="0" fontId="0" fillId="8" borderId="343" xfId="0" applyFill="1" applyBorder="1" applyAlignment="1">
      <alignment horizontal="right"/>
    </xf>
    <xf numFmtId="0" fontId="0" fillId="8" borderId="222" xfId="0" applyFill="1" applyBorder="1" applyAlignment="1">
      <alignment horizontal="right"/>
    </xf>
    <xf numFmtId="9" fontId="0" fillId="8" borderId="97" xfId="0" applyNumberFormat="1" applyFill="1" applyBorder="1" applyAlignment="1">
      <alignment horizontal="center"/>
    </xf>
    <xf numFmtId="9" fontId="7" fillId="8" borderId="207" xfId="0" applyNumberFormat="1" applyFont="1" applyFill="1" applyBorder="1" applyAlignment="1">
      <alignment horizontal="center"/>
    </xf>
    <xf numFmtId="9" fontId="7" fillId="8" borderId="80" xfId="0" applyNumberFormat="1" applyFont="1" applyFill="1" applyBorder="1" applyAlignment="1">
      <alignment horizontal="center"/>
    </xf>
    <xf numFmtId="9" fontId="7" fillId="8" borderId="209" xfId="0" applyNumberFormat="1" applyFont="1" applyFill="1" applyBorder="1" applyAlignment="1">
      <alignment horizontal="center"/>
    </xf>
    <xf numFmtId="9" fontId="7" fillId="8" borderId="85" xfId="0" applyNumberFormat="1" applyFont="1" applyFill="1" applyBorder="1" applyAlignment="1">
      <alignment horizontal="center"/>
    </xf>
    <xf numFmtId="0" fontId="7" fillId="0" borderId="368" xfId="0" applyFont="1" applyBorder="1"/>
    <xf numFmtId="0" fontId="46" fillId="9" borderId="369" xfId="0" applyFont="1" applyFill="1" applyBorder="1" applyAlignment="1">
      <alignment horizontal="center" vertical="center" wrapText="1"/>
    </xf>
    <xf numFmtId="0" fontId="46" fillId="10" borderId="370" xfId="0" applyFont="1" applyFill="1" applyBorder="1" applyAlignment="1">
      <alignment horizontal="center" vertical="center" wrapText="1"/>
    </xf>
    <xf numFmtId="0" fontId="46" fillId="11" borderId="370" xfId="0" applyFont="1" applyFill="1" applyBorder="1" applyAlignment="1">
      <alignment horizontal="center" vertical="center" wrapText="1"/>
    </xf>
    <xf numFmtId="0" fontId="46" fillId="15" borderId="370" xfId="0" applyFont="1" applyFill="1" applyBorder="1" applyAlignment="1">
      <alignment horizontal="center" vertical="center" wrapText="1"/>
    </xf>
    <xf numFmtId="0" fontId="46" fillId="23" borderId="370" xfId="0" applyFont="1" applyFill="1" applyBorder="1" applyAlignment="1">
      <alignment horizontal="center" vertical="center" wrapText="1"/>
    </xf>
    <xf numFmtId="0" fontId="46" fillId="16" borderId="18" xfId="0" applyFont="1" applyFill="1" applyBorder="1" applyAlignment="1">
      <alignment horizontal="center" vertical="center" wrapText="1"/>
    </xf>
    <xf numFmtId="0" fontId="46" fillId="13" borderId="371" xfId="0" applyFont="1" applyFill="1" applyBorder="1" applyAlignment="1">
      <alignment horizontal="center"/>
    </xf>
    <xf numFmtId="0" fontId="84" fillId="36" borderId="372" xfId="0" applyFont="1" applyFill="1" applyBorder="1" applyAlignment="1">
      <alignment horizontal="center" wrapText="1"/>
    </xf>
    <xf numFmtId="0" fontId="46" fillId="5" borderId="373" xfId="0" applyFont="1" applyFill="1" applyBorder="1" applyAlignment="1">
      <alignment horizontal="left" vertical="center"/>
    </xf>
    <xf numFmtId="0" fontId="12" fillId="0" borderId="374" xfId="0" applyFont="1" applyBorder="1" applyAlignment="1">
      <alignment horizontal="left" vertical="center"/>
    </xf>
    <xf numFmtId="0" fontId="12" fillId="0" borderId="376" xfId="0" applyFont="1" applyBorder="1" applyAlignment="1">
      <alignment horizontal="left" vertical="center"/>
    </xf>
    <xf numFmtId="0" fontId="12" fillId="8" borderId="374" xfId="0" applyFont="1" applyFill="1" applyBorder="1" applyAlignment="1">
      <alignment horizontal="left" vertical="center"/>
    </xf>
    <xf numFmtId="0" fontId="12" fillId="8" borderId="375" xfId="0" applyFont="1" applyFill="1" applyBorder="1" applyAlignment="1">
      <alignment horizontal="left" vertical="center"/>
    </xf>
    <xf numFmtId="0" fontId="12" fillId="8" borderId="376" xfId="0" applyFont="1" applyFill="1" applyBorder="1" applyAlignment="1">
      <alignment horizontal="left" vertical="center"/>
    </xf>
    <xf numFmtId="0" fontId="46" fillId="31" borderId="373" xfId="0" applyFont="1" applyFill="1" applyBorder="1" applyAlignment="1">
      <alignment horizontal="left" vertical="center"/>
    </xf>
    <xf numFmtId="0" fontId="13" fillId="8" borderId="376" xfId="0" applyFont="1" applyFill="1" applyBorder="1" applyAlignment="1">
      <alignment horizontal="left" vertical="center"/>
    </xf>
    <xf numFmtId="9" fontId="25" fillId="18" borderId="379" xfId="16" applyFont="1" applyFill="1" applyBorder="1" applyAlignment="1">
      <alignment horizontal="center"/>
    </xf>
    <xf numFmtId="0" fontId="12" fillId="44" borderId="375" xfId="0" applyFont="1" applyFill="1" applyBorder="1" applyAlignment="1">
      <alignment horizontal="left" vertical="center"/>
    </xf>
    <xf numFmtId="184" fontId="0" fillId="44" borderId="102" xfId="0" applyNumberFormat="1" applyFill="1" applyBorder="1" applyAlignment="1">
      <alignment horizontal="center"/>
    </xf>
    <xf numFmtId="0" fontId="12" fillId="44" borderId="376" xfId="0" applyFont="1" applyFill="1" applyBorder="1" applyAlignment="1">
      <alignment horizontal="left" vertical="center"/>
    </xf>
    <xf numFmtId="9" fontId="0" fillId="44" borderId="103" xfId="16" applyFont="1" applyFill="1" applyBorder="1" applyAlignment="1">
      <alignment horizontal="center"/>
    </xf>
    <xf numFmtId="9" fontId="0" fillId="44" borderId="102" xfId="16" applyFont="1" applyFill="1" applyBorder="1" applyAlignment="1">
      <alignment horizontal="center"/>
    </xf>
    <xf numFmtId="2" fontId="0" fillId="44" borderId="103" xfId="0" applyNumberFormat="1" applyFill="1" applyBorder="1" applyAlignment="1">
      <alignment horizontal="center"/>
    </xf>
    <xf numFmtId="0" fontId="12" fillId="44" borderId="374" xfId="0" applyFont="1" applyFill="1" applyBorder="1" applyAlignment="1">
      <alignment horizontal="left" vertical="center"/>
    </xf>
    <xf numFmtId="2" fontId="0" fillId="44" borderId="101" xfId="0" applyNumberFormat="1" applyFill="1" applyBorder="1" applyAlignment="1">
      <alignment horizontal="center"/>
    </xf>
    <xf numFmtId="2" fontId="7" fillId="44" borderId="103" xfId="0" applyNumberFormat="1" applyFont="1" applyFill="1" applyBorder="1" applyAlignment="1">
      <alignment horizontal="center"/>
    </xf>
    <xf numFmtId="2" fontId="0" fillId="44" borderId="102" xfId="0" applyNumberFormat="1" applyFill="1" applyBorder="1" applyAlignment="1">
      <alignment horizontal="center"/>
    </xf>
    <xf numFmtId="181" fontId="0" fillId="44" borderId="103" xfId="0" applyNumberFormat="1" applyFill="1" applyBorder="1" applyAlignment="1">
      <alignment horizontal="center"/>
    </xf>
    <xf numFmtId="181" fontId="0" fillId="44" borderId="101" xfId="0" applyNumberFormat="1" applyFill="1" applyBorder="1" applyAlignment="1">
      <alignment horizontal="center"/>
    </xf>
    <xf numFmtId="180" fontId="0" fillId="44" borderId="101" xfId="16" applyNumberFormat="1" applyFont="1" applyFill="1" applyBorder="1" applyAlignment="1">
      <alignment horizontal="center"/>
    </xf>
    <xf numFmtId="10" fontId="0" fillId="44" borderId="102" xfId="16" applyNumberFormat="1" applyFont="1" applyFill="1" applyBorder="1" applyAlignment="1">
      <alignment horizontal="center"/>
    </xf>
    <xf numFmtId="10" fontId="0" fillId="44" borderId="0" xfId="0" applyNumberFormat="1" applyFill="1" applyAlignment="1">
      <alignment horizontal="center" vertical="center"/>
    </xf>
    <xf numFmtId="186" fontId="0" fillId="44" borderId="103" xfId="0" applyNumberFormat="1" applyFill="1" applyBorder="1" applyAlignment="1">
      <alignment horizontal="right" vertical="center"/>
    </xf>
    <xf numFmtId="0" fontId="12" fillId="44" borderId="377" xfId="0" applyFont="1" applyFill="1" applyBorder="1" applyAlignment="1">
      <alignment horizontal="left" vertical="center"/>
    </xf>
    <xf numFmtId="9" fontId="0" fillId="44" borderId="378" xfId="16" applyFont="1" applyFill="1" applyBorder="1" applyAlignment="1">
      <alignment horizontal="center"/>
    </xf>
    <xf numFmtId="184" fontId="0" fillId="12" borderId="101" xfId="0" applyNumberFormat="1" applyFill="1" applyBorder="1" applyAlignment="1">
      <alignment horizontal="center"/>
    </xf>
    <xf numFmtId="184" fontId="0" fillId="28" borderId="102" xfId="0" applyNumberFormat="1" applyFill="1" applyBorder="1" applyAlignment="1">
      <alignment horizontal="center"/>
    </xf>
    <xf numFmtId="9" fontId="0" fillId="28" borderId="103" xfId="16" applyFont="1" applyFill="1" applyBorder="1" applyAlignment="1">
      <alignment horizontal="center"/>
    </xf>
    <xf numFmtId="2" fontId="0" fillId="28" borderId="101" xfId="0" applyNumberFormat="1" applyFill="1" applyBorder="1" applyAlignment="1">
      <alignment horizontal="center"/>
    </xf>
    <xf numFmtId="2" fontId="7" fillId="28" borderId="103" xfId="0" applyNumberFormat="1" applyFont="1" applyFill="1" applyBorder="1" applyAlignment="1">
      <alignment horizontal="center" vertical="center"/>
    </xf>
    <xf numFmtId="2" fontId="7" fillId="9" borderId="101" xfId="0" applyNumberFormat="1" applyFont="1" applyFill="1" applyBorder="1" applyAlignment="1">
      <alignment horizontal="center"/>
    </xf>
    <xf numFmtId="0" fontId="7" fillId="28" borderId="113" xfId="26" applyFill="1" applyBorder="1"/>
    <xf numFmtId="0" fontId="7" fillId="55" borderId="113" xfId="26" applyFill="1" applyBorder="1"/>
    <xf numFmtId="0" fontId="26" fillId="32" borderId="26" xfId="0" applyFont="1" applyFill="1" applyBorder="1" applyAlignment="1">
      <alignment horizontal="center"/>
    </xf>
    <xf numFmtId="0" fontId="26" fillId="32" borderId="24" xfId="0" applyFont="1" applyFill="1" applyBorder="1" applyAlignment="1">
      <alignment horizontal="center"/>
    </xf>
    <xf numFmtId="0" fontId="7" fillId="55" borderId="113" xfId="26" applyFill="1" applyBorder="1" applyAlignment="1">
      <alignment vertical="center"/>
    </xf>
    <xf numFmtId="0" fontId="7" fillId="58" borderId="113" xfId="26" applyFill="1" applyBorder="1"/>
    <xf numFmtId="0" fontId="7" fillId="59" borderId="113" xfId="26" applyFill="1" applyBorder="1"/>
    <xf numFmtId="0" fontId="0" fillId="23" borderId="113" xfId="26" applyFont="1" applyFill="1" applyBorder="1"/>
    <xf numFmtId="0" fontId="0" fillId="56" borderId="113" xfId="26" applyFont="1" applyFill="1" applyBorder="1"/>
    <xf numFmtId="0" fontId="0" fillId="57" borderId="113" xfId="26" applyFont="1" applyFill="1" applyBorder="1" applyAlignment="1">
      <alignment vertical="center"/>
    </xf>
    <xf numFmtId="0" fontId="0" fillId="8" borderId="257" xfId="0" applyFill="1" applyBorder="1" applyAlignment="1">
      <alignment horizontal="center" vertical="center" wrapText="1"/>
    </xf>
    <xf numFmtId="0" fontId="0" fillId="8" borderId="257" xfId="0" applyFill="1" applyBorder="1" applyAlignment="1">
      <alignment horizontal="center" wrapText="1"/>
    </xf>
    <xf numFmtId="9" fontId="0" fillId="0" borderId="186" xfId="16" applyFont="1" applyBorder="1" applyAlignment="1">
      <alignment horizontal="center"/>
    </xf>
    <xf numFmtId="9" fontId="0" fillId="0" borderId="380" xfId="16" applyFont="1" applyBorder="1" applyAlignment="1">
      <alignment horizontal="center"/>
    </xf>
    <xf numFmtId="0" fontId="39" fillId="8" borderId="158" xfId="0" applyFont="1" applyFill="1" applyBorder="1" applyAlignment="1">
      <alignment horizontal="center"/>
    </xf>
    <xf numFmtId="0" fontId="39" fillId="8" borderId="117" xfId="0" applyFont="1" applyFill="1" applyBorder="1" applyAlignment="1">
      <alignment horizontal="center"/>
    </xf>
    <xf numFmtId="0" fontId="39" fillId="8" borderId="164" xfId="0" applyFont="1" applyFill="1" applyBorder="1" applyAlignment="1">
      <alignment horizontal="center"/>
    </xf>
    <xf numFmtId="0" fontId="86" fillId="0" borderId="0" xfId="0" applyFont="1"/>
    <xf numFmtId="3" fontId="38" fillId="17" borderId="252" xfId="0" applyNumberFormat="1" applyFont="1" applyFill="1" applyBorder="1" applyAlignment="1">
      <alignment horizontal="center"/>
    </xf>
    <xf numFmtId="3" fontId="39" fillId="8" borderId="1" xfId="16" applyNumberFormat="1" applyFont="1" applyFill="1" applyBorder="1" applyAlignment="1">
      <alignment horizontal="center"/>
    </xf>
    <xf numFmtId="10" fontId="39" fillId="8" borderId="1" xfId="16" applyNumberFormat="1" applyFont="1" applyFill="1" applyBorder="1" applyAlignment="1">
      <alignment horizontal="center"/>
    </xf>
    <xf numFmtId="3" fontId="38" fillId="17" borderId="252" xfId="16" applyNumberFormat="1" applyFont="1" applyFill="1" applyBorder="1" applyAlignment="1">
      <alignment horizontal="center"/>
    </xf>
    <xf numFmtId="4" fontId="38" fillId="17" borderId="252" xfId="0" applyNumberFormat="1" applyFont="1" applyFill="1" applyBorder="1" applyAlignment="1">
      <alignment horizontal="center"/>
    </xf>
    <xf numFmtId="10" fontId="0" fillId="0" borderId="134" xfId="0" applyNumberFormat="1" applyBorder="1" applyAlignment="1">
      <alignment horizontal="center"/>
    </xf>
    <xf numFmtId="4" fontId="0" fillId="0" borderId="159" xfId="0" applyNumberFormat="1" applyBorder="1" applyAlignment="1">
      <alignment horizontal="center"/>
    </xf>
    <xf numFmtId="4" fontId="0" fillId="0" borderId="189" xfId="0" applyNumberFormat="1" applyBorder="1" applyAlignment="1">
      <alignment horizontal="center"/>
    </xf>
    <xf numFmtId="0" fontId="0" fillId="14" borderId="200" xfId="0" applyFill="1" applyBorder="1" applyAlignment="1">
      <alignment horizontal="center"/>
    </xf>
    <xf numFmtId="0" fontId="39" fillId="17" borderId="381" xfId="0" applyFont="1" applyFill="1" applyBorder="1" applyAlignment="1">
      <alignment horizontal="right"/>
    </xf>
    <xf numFmtId="0" fontId="39" fillId="8" borderId="381" xfId="0" applyFont="1" applyFill="1" applyBorder="1" applyAlignment="1">
      <alignment horizontal="right"/>
    </xf>
    <xf numFmtId="0" fontId="39" fillId="17" borderId="159" xfId="0" applyFont="1" applyFill="1" applyBorder="1" applyAlignment="1">
      <alignment horizontal="right"/>
    </xf>
    <xf numFmtId="10" fontId="0" fillId="0" borderId="380" xfId="0" applyNumberFormat="1" applyBorder="1" applyAlignment="1">
      <alignment horizontal="center"/>
    </xf>
    <xf numFmtId="10" fontId="0" fillId="0" borderId="197" xfId="0" applyNumberFormat="1" applyBorder="1" applyAlignment="1">
      <alignment horizontal="center"/>
    </xf>
    <xf numFmtId="10" fontId="0" fillId="0" borderId="265" xfId="0" applyNumberFormat="1" applyBorder="1" applyAlignment="1">
      <alignment horizontal="center"/>
    </xf>
    <xf numFmtId="4" fontId="0" fillId="0" borderId="259" xfId="0" applyNumberFormat="1" applyBorder="1" applyAlignment="1">
      <alignment horizontal="center"/>
    </xf>
    <xf numFmtId="4" fontId="0" fillId="0" borderId="176" xfId="0" applyNumberFormat="1" applyBorder="1" applyAlignment="1">
      <alignment horizontal="center"/>
    </xf>
    <xf numFmtId="4" fontId="0" fillId="0" borderId="180" xfId="0" applyNumberFormat="1" applyBorder="1" applyAlignment="1">
      <alignment horizontal="center"/>
    </xf>
    <xf numFmtId="4" fontId="0" fillId="0" borderId="173" xfId="0" applyNumberFormat="1" applyBorder="1" applyAlignment="1">
      <alignment horizontal="center"/>
    </xf>
    <xf numFmtId="4" fontId="0" fillId="0" borderId="182" xfId="0" applyNumberFormat="1" applyBorder="1" applyAlignment="1">
      <alignment horizontal="center"/>
    </xf>
    <xf numFmtId="0" fontId="12" fillId="14" borderId="190" xfId="0" applyFont="1" applyFill="1" applyBorder="1" applyAlignment="1">
      <alignment horizontal="center"/>
    </xf>
    <xf numFmtId="0" fontId="12" fillId="14" borderId="192" xfId="0" applyFont="1" applyFill="1" applyBorder="1" applyAlignment="1">
      <alignment horizontal="center"/>
    </xf>
    <xf numFmtId="0" fontId="12" fillId="14" borderId="191" xfId="0" applyFont="1" applyFill="1" applyBorder="1" applyAlignment="1">
      <alignment horizontal="center"/>
    </xf>
    <xf numFmtId="0" fontId="0" fillId="14" borderId="185" xfId="0" applyFill="1" applyBorder="1" applyAlignment="1">
      <alignment horizontal="center"/>
    </xf>
    <xf numFmtId="0" fontId="0" fillId="14" borderId="186" xfId="0" applyFill="1" applyBorder="1" applyAlignment="1">
      <alignment horizontal="center"/>
    </xf>
    <xf numFmtId="0" fontId="0" fillId="50" borderId="185" xfId="0" applyFill="1" applyBorder="1" applyAlignment="1">
      <alignment horizontal="center"/>
    </xf>
    <xf numFmtId="0" fontId="0" fillId="50" borderId="247" xfId="0" applyFill="1" applyBorder="1" applyAlignment="1">
      <alignment horizontal="center"/>
    </xf>
    <xf numFmtId="0" fontId="0" fillId="50" borderId="129" xfId="0" applyFill="1" applyBorder="1" applyAlignment="1">
      <alignment horizontal="center"/>
    </xf>
    <xf numFmtId="0" fontId="0" fillId="50" borderId="125" xfId="0" applyFill="1" applyBorder="1" applyAlignment="1">
      <alignment horizontal="center"/>
    </xf>
    <xf numFmtId="10" fontId="0" fillId="28" borderId="196" xfId="0" applyNumberFormat="1" applyFill="1" applyBorder="1" applyAlignment="1">
      <alignment horizontal="center"/>
    </xf>
    <xf numFmtId="0" fontId="0" fillId="14" borderId="382" xfId="0" applyFill="1" applyBorder="1" applyAlignment="1">
      <alignment horizontal="center"/>
    </xf>
    <xf numFmtId="3" fontId="0" fillId="0" borderId="236" xfId="0" applyNumberFormat="1" applyBorder="1" applyAlignment="1">
      <alignment horizontal="center"/>
    </xf>
    <xf numFmtId="3" fontId="0" fillId="0" borderId="131" xfId="0" applyNumberFormat="1" applyBorder="1" applyAlignment="1">
      <alignment horizontal="center"/>
    </xf>
    <xf numFmtId="3" fontId="0" fillId="0" borderId="132" xfId="0" applyNumberFormat="1" applyBorder="1" applyAlignment="1">
      <alignment horizontal="center"/>
    </xf>
    <xf numFmtId="4" fontId="0" fillId="0" borderId="302" xfId="0" applyNumberFormat="1" applyBorder="1" applyAlignment="1">
      <alignment horizontal="center"/>
    </xf>
    <xf numFmtId="4" fontId="0" fillId="0" borderId="303" xfId="0" applyNumberFormat="1" applyBorder="1" applyAlignment="1">
      <alignment horizontal="center"/>
    </xf>
    <xf numFmtId="4" fontId="0" fillId="0" borderId="201" xfId="0" applyNumberFormat="1" applyBorder="1" applyAlignment="1">
      <alignment horizontal="center"/>
    </xf>
    <xf numFmtId="4" fontId="0" fillId="0" borderId="199" xfId="0" applyNumberFormat="1" applyBorder="1" applyAlignment="1">
      <alignment horizontal="center"/>
    </xf>
    <xf numFmtId="4" fontId="0" fillId="0" borderId="198" xfId="0" applyNumberFormat="1" applyBorder="1" applyAlignment="1">
      <alignment horizontal="center"/>
    </xf>
    <xf numFmtId="4" fontId="0" fillId="0" borderId="184" xfId="0" applyNumberFormat="1" applyBorder="1" applyAlignment="1">
      <alignment horizontal="center"/>
    </xf>
    <xf numFmtId="2" fontId="0" fillId="0" borderId="176" xfId="0" applyNumberFormat="1" applyBorder="1" applyAlignment="1">
      <alignment horizontal="center"/>
    </xf>
    <xf numFmtId="194" fontId="0" fillId="0" borderId="0" xfId="0" applyNumberFormat="1"/>
    <xf numFmtId="0" fontId="0" fillId="0" borderId="0" xfId="0" applyAlignment="1">
      <alignment horizontal="right"/>
    </xf>
    <xf numFmtId="2" fontId="0" fillId="0" borderId="190" xfId="0" applyNumberFormat="1" applyBorder="1" applyAlignment="1">
      <alignment horizontal="center"/>
    </xf>
    <xf numFmtId="2" fontId="0" fillId="0" borderId="192" xfId="0" applyNumberFormat="1" applyBorder="1" applyAlignment="1">
      <alignment horizontal="center"/>
    </xf>
    <xf numFmtId="2" fontId="0" fillId="0" borderId="191" xfId="0" applyNumberFormat="1" applyBorder="1" applyAlignment="1">
      <alignment horizontal="center"/>
    </xf>
    <xf numFmtId="2" fontId="0" fillId="0" borderId="175" xfId="0" applyNumberFormat="1" applyBorder="1" applyAlignment="1">
      <alignment horizontal="center"/>
    </xf>
    <xf numFmtId="0" fontId="0" fillId="50" borderId="187" xfId="0" applyFill="1" applyBorder="1" applyAlignment="1">
      <alignment horizontal="center"/>
    </xf>
    <xf numFmtId="0" fontId="0" fillId="50" borderId="188" xfId="0" applyFill="1" applyBorder="1" applyAlignment="1">
      <alignment horizontal="center"/>
    </xf>
    <xf numFmtId="4" fontId="0" fillId="8" borderId="259" xfId="0" applyNumberFormat="1" applyFill="1" applyBorder="1" applyAlignment="1">
      <alignment horizontal="center"/>
    </xf>
    <xf numFmtId="9" fontId="0" fillId="12" borderId="97" xfId="0" applyNumberFormat="1" applyFill="1" applyBorder="1" applyAlignment="1">
      <alignment horizontal="center"/>
    </xf>
    <xf numFmtId="0" fontId="12" fillId="12" borderId="95" xfId="0" applyFont="1" applyFill="1" applyBorder="1" applyAlignment="1">
      <alignment horizontal="center"/>
    </xf>
    <xf numFmtId="9" fontId="7" fillId="12" borderId="85" xfId="0" applyNumberFormat="1" applyFont="1" applyFill="1" applyBorder="1" applyAlignment="1">
      <alignment horizontal="center"/>
    </xf>
    <xf numFmtId="0" fontId="56" fillId="36" borderId="12" xfId="0" applyFont="1" applyFill="1" applyBorder="1" applyAlignment="1">
      <alignment horizontal="center"/>
    </xf>
    <xf numFmtId="193" fontId="0" fillId="0" borderId="383" xfId="0" applyNumberFormat="1" applyBorder="1" applyAlignment="1">
      <alignment horizontal="center"/>
    </xf>
    <xf numFmtId="193" fontId="0" fillId="0" borderId="384" xfId="0" applyNumberFormat="1" applyBorder="1" applyAlignment="1">
      <alignment horizontal="center"/>
    </xf>
    <xf numFmtId="0" fontId="25" fillId="31" borderId="385" xfId="0" applyFont="1" applyFill="1" applyBorder="1" applyAlignment="1">
      <alignment horizontal="center"/>
    </xf>
    <xf numFmtId="10" fontId="0" fillId="0" borderId="384" xfId="0" applyNumberFormat="1" applyBorder="1" applyAlignment="1">
      <alignment horizontal="center"/>
    </xf>
    <xf numFmtId="2" fontId="0" fillId="0" borderId="384" xfId="0" applyNumberFormat="1" applyBorder="1" applyAlignment="1">
      <alignment horizontal="center"/>
    </xf>
    <xf numFmtId="2" fontId="25" fillId="31" borderId="385" xfId="0" applyNumberFormat="1" applyFont="1" applyFill="1" applyBorder="1" applyAlignment="1">
      <alignment horizontal="center"/>
    </xf>
    <xf numFmtId="10" fontId="0" fillId="0" borderId="386" xfId="0" applyNumberFormat="1" applyBorder="1" applyAlignment="1">
      <alignment horizontal="center"/>
    </xf>
    <xf numFmtId="2" fontId="25" fillId="18" borderId="101" xfId="16" applyNumberFormat="1" applyFont="1" applyFill="1" applyBorder="1" applyAlignment="1">
      <alignment horizontal="center"/>
    </xf>
    <xf numFmtId="9" fontId="0" fillId="12" borderId="103" xfId="16" applyFont="1" applyFill="1" applyBorder="1" applyAlignment="1">
      <alignment horizontal="center"/>
    </xf>
    <xf numFmtId="181" fontId="0" fillId="12" borderId="103" xfId="0" applyNumberFormat="1" applyFill="1" applyBorder="1" applyAlignment="1">
      <alignment horizontal="center"/>
    </xf>
    <xf numFmtId="181" fontId="0" fillId="9" borderId="103" xfId="0" applyNumberFormat="1" applyFill="1" applyBorder="1" applyAlignment="1">
      <alignment horizontal="center"/>
    </xf>
    <xf numFmtId="2" fontId="0" fillId="12" borderId="103" xfId="0" applyNumberFormat="1" applyFill="1" applyBorder="1" applyAlignment="1">
      <alignment horizontal="center"/>
    </xf>
    <xf numFmtId="10" fontId="7" fillId="12" borderId="102" xfId="16" applyNumberFormat="1" applyFont="1" applyFill="1" applyBorder="1" applyAlignment="1">
      <alignment horizontal="center"/>
    </xf>
    <xf numFmtId="181" fontId="0" fillId="9" borderId="102" xfId="0" applyNumberFormat="1" applyFill="1" applyBorder="1" applyAlignment="1">
      <alignment horizontal="center"/>
    </xf>
    <xf numFmtId="10" fontId="0" fillId="12" borderId="103" xfId="16" applyNumberFormat="1" applyFont="1" applyFill="1" applyBorder="1" applyAlignment="1">
      <alignment horizontal="center" vertical="center"/>
    </xf>
    <xf numFmtId="10" fontId="0" fillId="12" borderId="0" xfId="0" applyNumberFormat="1" applyFill="1" applyAlignment="1">
      <alignment horizontal="center" vertical="center"/>
    </xf>
    <xf numFmtId="0" fontId="87" fillId="0" borderId="0" xfId="0" applyFont="1" applyAlignment="1">
      <alignment horizontal="center"/>
    </xf>
    <xf numFmtId="0" fontId="24" fillId="0" borderId="0" xfId="0" applyFont="1" applyAlignment="1">
      <alignment horizontal="center"/>
    </xf>
    <xf numFmtId="4" fontId="0" fillId="0" borderId="0" xfId="0" applyNumberFormat="1" applyAlignment="1">
      <alignment horizontal="center"/>
    </xf>
    <xf numFmtId="10" fontId="39" fillId="33" borderId="260" xfId="16" applyNumberFormat="1" applyFont="1" applyFill="1" applyBorder="1" applyAlignment="1">
      <alignment horizontal="center"/>
    </xf>
    <xf numFmtId="2" fontId="39" fillId="33" borderId="260" xfId="16" applyNumberFormat="1" applyFont="1" applyFill="1" applyBorder="1" applyAlignment="1">
      <alignment horizontal="center"/>
    </xf>
    <xf numFmtId="3" fontId="39" fillId="33" borderId="186" xfId="16" applyNumberFormat="1" applyFont="1" applyFill="1" applyBorder="1" applyAlignment="1">
      <alignment horizontal="center"/>
    </xf>
    <xf numFmtId="10" fontId="38" fillId="0" borderId="0" xfId="0" applyNumberFormat="1" applyFont="1"/>
    <xf numFmtId="10" fontId="37" fillId="0" borderId="0" xfId="0" applyNumberFormat="1" applyFont="1"/>
    <xf numFmtId="0" fontId="0" fillId="8" borderId="1" xfId="0" applyFill="1" applyBorder="1"/>
    <xf numFmtId="180" fontId="12" fillId="12" borderId="46" xfId="16" applyNumberFormat="1" applyFont="1" applyFill="1" applyBorder="1" applyAlignment="1">
      <alignment horizontal="center"/>
    </xf>
    <xf numFmtId="0" fontId="33" fillId="8" borderId="0" xfId="0" applyFont="1" applyFill="1" applyAlignment="1">
      <alignment horizontal="left"/>
    </xf>
    <xf numFmtId="0" fontId="53" fillId="8" borderId="0" xfId="0" applyFont="1" applyFill="1" applyAlignment="1">
      <alignment horizontal="left"/>
    </xf>
    <xf numFmtId="0" fontId="57" fillId="8" borderId="0" xfId="0" applyFont="1" applyFill="1" applyAlignment="1">
      <alignment horizontal="left"/>
    </xf>
    <xf numFmtId="1" fontId="57" fillId="8" borderId="0" xfId="0" applyNumberFormat="1" applyFont="1" applyFill="1" applyAlignment="1">
      <alignment horizontal="left"/>
    </xf>
    <xf numFmtId="0" fontId="7" fillId="8" borderId="0" xfId="0" applyFont="1" applyFill="1" applyAlignment="1">
      <alignment horizontal="left"/>
    </xf>
    <xf numFmtId="1" fontId="53" fillId="8" borderId="0" xfId="0" applyNumberFormat="1" applyFont="1" applyFill="1" applyAlignment="1">
      <alignment horizontal="left"/>
    </xf>
    <xf numFmtId="10" fontId="0" fillId="25" borderId="163" xfId="0" applyNumberFormat="1" applyFill="1" applyBorder="1" applyAlignment="1">
      <alignment horizontal="center"/>
    </xf>
    <xf numFmtId="0" fontId="0" fillId="8" borderId="179" xfId="0" applyFill="1" applyBorder="1" applyAlignment="1">
      <alignment horizontal="center" vertical="center"/>
    </xf>
    <xf numFmtId="10" fontId="0" fillId="0" borderId="200" xfId="0" applyNumberFormat="1" applyBorder="1" applyAlignment="1">
      <alignment horizontal="center" vertical="center"/>
    </xf>
    <xf numFmtId="0" fontId="12" fillId="52" borderId="188" xfId="0" applyFont="1" applyFill="1" applyBorder="1" applyAlignment="1">
      <alignment horizontal="center" vertical="center" wrapText="1"/>
    </xf>
    <xf numFmtId="10" fontId="0" fillId="0" borderId="186" xfId="0" applyNumberFormat="1" applyBorder="1" applyAlignment="1">
      <alignment horizontal="center" vertical="center"/>
    </xf>
    <xf numFmtId="10" fontId="7" fillId="60" borderId="19" xfId="0" applyNumberFormat="1" applyFont="1" applyFill="1" applyBorder="1" applyAlignment="1">
      <alignment horizontal="center"/>
    </xf>
    <xf numFmtId="10" fontId="0" fillId="25" borderId="166" xfId="0" applyNumberFormat="1" applyFill="1" applyBorder="1" applyAlignment="1">
      <alignment horizontal="center"/>
    </xf>
    <xf numFmtId="3" fontId="0" fillId="25" borderId="163" xfId="16" applyNumberFormat="1" applyFont="1" applyFill="1" applyBorder="1" applyAlignment="1">
      <alignment horizontal="center"/>
    </xf>
    <xf numFmtId="10" fontId="0" fillId="8" borderId="241" xfId="0" applyNumberFormat="1" applyFill="1" applyBorder="1" applyAlignment="1">
      <alignment horizontal="center"/>
    </xf>
    <xf numFmtId="0" fontId="12" fillId="14" borderId="387" xfId="0" applyFont="1" applyFill="1" applyBorder="1" applyAlignment="1">
      <alignment horizontal="center"/>
    </xf>
    <xf numFmtId="10" fontId="0" fillId="0" borderId="122" xfId="0" applyNumberFormat="1" applyBorder="1" applyAlignment="1">
      <alignment horizontal="center"/>
    </xf>
    <xf numFmtId="0" fontId="12" fillId="14" borderId="193" xfId="0" applyFont="1" applyFill="1" applyBorder="1" applyAlignment="1">
      <alignment horizontal="center"/>
    </xf>
    <xf numFmtId="0" fontId="0" fillId="8" borderId="131" xfId="0" applyFill="1" applyBorder="1" applyAlignment="1">
      <alignment horizontal="center"/>
    </xf>
    <xf numFmtId="0" fontId="12" fillId="14" borderId="198" xfId="0" applyFont="1" applyFill="1" applyBorder="1" applyAlignment="1">
      <alignment horizontal="center"/>
    </xf>
    <xf numFmtId="10" fontId="0" fillId="0" borderId="388" xfId="0" applyNumberFormat="1" applyBorder="1" applyAlignment="1">
      <alignment horizontal="center"/>
    </xf>
    <xf numFmtId="0" fontId="0" fillId="0" borderId="128" xfId="0" applyBorder="1" applyAlignment="1">
      <alignment horizontal="center"/>
    </xf>
    <xf numFmtId="2" fontId="39" fillId="33" borderId="186" xfId="16" applyNumberFormat="1" applyFont="1" applyFill="1" applyBorder="1" applyAlignment="1">
      <alignment horizontal="center"/>
    </xf>
    <xf numFmtId="10" fontId="0" fillId="28" borderId="198" xfId="0" applyNumberFormat="1" applyFill="1" applyBorder="1" applyAlignment="1">
      <alignment horizontal="center"/>
    </xf>
    <xf numFmtId="0" fontId="26" fillId="5" borderId="204" xfId="0" applyFont="1" applyFill="1" applyBorder="1" applyAlignment="1">
      <alignment horizontal="center"/>
    </xf>
    <xf numFmtId="0" fontId="26" fillId="5" borderId="205" xfId="0" applyFont="1" applyFill="1" applyBorder="1" applyAlignment="1">
      <alignment horizontal="center"/>
    </xf>
    <xf numFmtId="4" fontId="33" fillId="8" borderId="113" xfId="7" applyFont="1" applyFill="1" applyBorder="1" applyAlignment="1">
      <alignment horizontal="left" vertical="top" wrapText="1"/>
    </xf>
    <xf numFmtId="0" fontId="12" fillId="0" borderId="200" xfId="0" applyFont="1" applyBorder="1" applyAlignment="1">
      <alignment horizontal="center"/>
    </xf>
    <xf numFmtId="0" fontId="12" fillId="0" borderId="179" xfId="0" applyFont="1" applyBorder="1" applyAlignment="1">
      <alignment horizontal="center"/>
    </xf>
    <xf numFmtId="0" fontId="35" fillId="0" borderId="1" xfId="0" applyFont="1" applyBorder="1"/>
    <xf numFmtId="189" fontId="32" fillId="0" borderId="323" xfId="0" applyNumberFormat="1" applyFont="1" applyBorder="1" applyAlignment="1">
      <alignment horizontal="center"/>
    </xf>
    <xf numFmtId="189" fontId="32" fillId="0" borderId="324" xfId="0" applyNumberFormat="1" applyFont="1" applyBorder="1" applyAlignment="1">
      <alignment horizontal="center"/>
    </xf>
    <xf numFmtId="2" fontId="24" fillId="0" borderId="0" xfId="0" applyNumberFormat="1" applyFont="1" applyAlignment="1">
      <alignment horizontal="center"/>
    </xf>
    <xf numFmtId="10" fontId="25" fillId="0" borderId="0" xfId="0" applyNumberFormat="1" applyFont="1" applyAlignment="1">
      <alignment horizontal="center" vertical="center"/>
    </xf>
    <xf numFmtId="10" fontId="33" fillId="0" borderId="0" xfId="0" applyNumberFormat="1" applyFont="1" applyAlignment="1">
      <alignment horizontal="left"/>
    </xf>
    <xf numFmtId="0" fontId="47" fillId="18" borderId="0" xfId="0" applyFont="1" applyFill="1" applyAlignment="1">
      <alignment horizontal="center"/>
    </xf>
    <xf numFmtId="0" fontId="39" fillId="33" borderId="185" xfId="0" applyFont="1" applyFill="1" applyBorder="1" applyAlignment="1">
      <alignment horizontal="center"/>
    </xf>
    <xf numFmtId="0" fontId="38" fillId="0" borderId="0" xfId="0" applyFont="1" applyAlignment="1">
      <alignment horizontal="right"/>
    </xf>
    <xf numFmtId="10" fontId="38" fillId="17" borderId="252" xfId="0" applyNumberFormat="1" applyFont="1" applyFill="1" applyBorder="1" applyAlignment="1">
      <alignment horizontal="center"/>
    </xf>
    <xf numFmtId="10" fontId="38" fillId="17" borderId="159" xfId="0" applyNumberFormat="1" applyFont="1" applyFill="1" applyBorder="1" applyAlignment="1">
      <alignment horizontal="center"/>
    </xf>
    <xf numFmtId="10" fontId="38" fillId="8" borderId="252" xfId="0" applyNumberFormat="1" applyFont="1" applyFill="1" applyBorder="1" applyAlignment="1">
      <alignment horizontal="center"/>
    </xf>
    <xf numFmtId="10" fontId="38" fillId="8" borderId="159" xfId="0" applyNumberFormat="1" applyFont="1" applyFill="1" applyBorder="1" applyAlignment="1">
      <alignment horizontal="center"/>
    </xf>
    <xf numFmtId="180" fontId="7" fillId="0" borderId="389" xfId="16" applyNumberFormat="1" applyFont="1" applyFill="1" applyBorder="1" applyAlignment="1">
      <alignment horizontal="center" vertical="center"/>
    </xf>
    <xf numFmtId="180" fontId="7" fillId="0" borderId="390" xfId="16" applyNumberFormat="1" applyFont="1" applyFill="1" applyBorder="1" applyAlignment="1">
      <alignment horizontal="center" vertical="center"/>
    </xf>
    <xf numFmtId="180" fontId="7" fillId="0" borderId="391" xfId="16" applyNumberFormat="1" applyFont="1" applyFill="1" applyBorder="1" applyAlignment="1">
      <alignment horizontal="center" vertical="center"/>
    </xf>
    <xf numFmtId="1" fontId="33" fillId="0" borderId="392" xfId="0" applyNumberFormat="1" applyFont="1" applyBorder="1" applyAlignment="1">
      <alignment horizontal="center" vertical="center"/>
    </xf>
    <xf numFmtId="1" fontId="33" fillId="0" borderId="393" xfId="0" applyNumberFormat="1" applyFont="1" applyBorder="1" applyAlignment="1">
      <alignment horizontal="center" vertical="center"/>
    </xf>
    <xf numFmtId="180" fontId="32" fillId="0" borderId="392" xfId="16" applyNumberFormat="1" applyFont="1" applyFill="1" applyBorder="1" applyAlignment="1">
      <alignment horizontal="center" vertical="center"/>
    </xf>
    <xf numFmtId="180" fontId="32" fillId="0" borderId="394" xfId="16" applyNumberFormat="1" applyFont="1" applyFill="1" applyBorder="1" applyAlignment="1">
      <alignment horizontal="center" vertical="center"/>
    </xf>
    <xf numFmtId="1" fontId="7" fillId="41" borderId="395" xfId="0" applyNumberFormat="1" applyFont="1" applyFill="1" applyBorder="1" applyAlignment="1">
      <alignment horizontal="center" vertical="center"/>
    </xf>
    <xf numFmtId="1" fontId="7" fillId="41" borderId="396" xfId="0" applyNumberFormat="1" applyFont="1" applyFill="1" applyBorder="1" applyAlignment="1">
      <alignment horizontal="center" vertical="center"/>
    </xf>
    <xf numFmtId="1" fontId="24" fillId="0" borderId="392" xfId="0" applyNumberFormat="1" applyFont="1" applyBorder="1" applyAlignment="1">
      <alignment horizontal="center" vertical="center"/>
    </xf>
    <xf numFmtId="1" fontId="24" fillId="0" borderId="393" xfId="0" applyNumberFormat="1" applyFont="1" applyBorder="1" applyAlignment="1">
      <alignment horizontal="center" vertical="center"/>
    </xf>
    <xf numFmtId="1" fontId="24" fillId="0" borderId="394" xfId="0" applyNumberFormat="1" applyFont="1" applyBorder="1" applyAlignment="1">
      <alignment horizontal="center" vertical="center"/>
    </xf>
    <xf numFmtId="1" fontId="33" fillId="0" borderId="397" xfId="0" applyNumberFormat="1" applyFont="1" applyBorder="1" applyAlignment="1">
      <alignment horizontal="center" vertical="center"/>
    </xf>
    <xf numFmtId="1" fontId="33" fillId="0" borderId="398" xfId="0" applyNumberFormat="1" applyFont="1" applyBorder="1" applyAlignment="1">
      <alignment horizontal="center" vertical="center"/>
    </xf>
    <xf numFmtId="3" fontId="24" fillId="0" borderId="397" xfId="0" applyNumberFormat="1" applyFont="1" applyBorder="1" applyAlignment="1">
      <alignment horizontal="center" vertical="center"/>
    </xf>
    <xf numFmtId="3" fontId="24" fillId="0" borderId="398" xfId="0" applyNumberFormat="1" applyFont="1" applyBorder="1" applyAlignment="1">
      <alignment horizontal="center" vertical="center"/>
    </xf>
    <xf numFmtId="1" fontId="7" fillId="41" borderId="399" xfId="0" applyNumberFormat="1" applyFont="1" applyFill="1" applyBorder="1" applyAlignment="1">
      <alignment horizontal="center" vertical="center"/>
    </xf>
    <xf numFmtId="1" fontId="7" fillId="41" borderId="400" xfId="0" applyNumberFormat="1" applyFont="1" applyFill="1" applyBorder="1" applyAlignment="1">
      <alignment horizontal="center" vertical="center"/>
    </xf>
    <xf numFmtId="1" fontId="7" fillId="41" borderId="401" xfId="0" applyNumberFormat="1" applyFont="1" applyFill="1" applyBorder="1" applyAlignment="1">
      <alignment horizontal="center" vertical="center"/>
    </xf>
    <xf numFmtId="180" fontId="7" fillId="0" borderId="156" xfId="16" applyNumberFormat="1" applyFont="1" applyFill="1" applyBorder="1" applyAlignment="1">
      <alignment horizontal="center" vertical="center"/>
    </xf>
    <xf numFmtId="1" fontId="33" fillId="0" borderId="45" xfId="0" applyNumberFormat="1" applyFont="1" applyBorder="1" applyAlignment="1">
      <alignment horizontal="center" vertical="center"/>
    </xf>
    <xf numFmtId="180" fontId="32" fillId="0" borderId="1" xfId="16" applyNumberFormat="1" applyFont="1" applyFill="1" applyBorder="1" applyAlignment="1">
      <alignment horizontal="center" vertical="center"/>
    </xf>
    <xf numFmtId="1" fontId="7" fillId="41" borderId="329" xfId="0" applyNumberFormat="1" applyFont="1" applyFill="1" applyBorder="1" applyAlignment="1">
      <alignment horizontal="center" vertical="center"/>
    </xf>
    <xf numFmtId="1" fontId="24" fillId="0" borderId="45" xfId="0" applyNumberFormat="1" applyFont="1" applyBorder="1" applyAlignment="1">
      <alignment horizontal="center" vertical="center"/>
    </xf>
    <xf numFmtId="1" fontId="24" fillId="0" borderId="1" xfId="0" applyNumberFormat="1" applyFont="1" applyBorder="1" applyAlignment="1">
      <alignment horizontal="center" vertical="center"/>
    </xf>
    <xf numFmtId="1" fontId="33" fillId="0" borderId="37" xfId="0" applyNumberFormat="1" applyFont="1" applyBorder="1" applyAlignment="1">
      <alignment horizontal="center" vertical="center"/>
    </xf>
    <xf numFmtId="3" fontId="24" fillId="0" borderId="37" xfId="0" applyNumberFormat="1" applyFont="1" applyBorder="1" applyAlignment="1">
      <alignment horizontal="center" vertical="center"/>
    </xf>
    <xf numFmtId="0" fontId="20" fillId="0" borderId="22" xfId="0" applyFont="1" applyBorder="1" applyAlignment="1">
      <alignment horizontal="center" wrapText="1"/>
    </xf>
    <xf numFmtId="0" fontId="20" fillId="0" borderId="26" xfId="0" applyFont="1" applyBorder="1" applyAlignment="1">
      <alignment horizontal="center" wrapText="1"/>
    </xf>
    <xf numFmtId="0" fontId="8" fillId="0" borderId="58" xfId="0" applyFont="1" applyBorder="1" applyAlignment="1">
      <alignment horizontal="center" vertical="center"/>
    </xf>
    <xf numFmtId="0" fontId="8" fillId="0" borderId="18" xfId="0" applyFont="1" applyBorder="1" applyAlignment="1">
      <alignment horizontal="center" vertical="center"/>
    </xf>
    <xf numFmtId="0" fontId="8" fillId="0" borderId="59" xfId="0" applyFont="1" applyBorder="1" applyAlignment="1">
      <alignment horizontal="center" vertical="center"/>
    </xf>
    <xf numFmtId="0" fontId="7" fillId="8" borderId="30" xfId="0" applyFont="1" applyFill="1" applyBorder="1" applyAlignment="1">
      <alignment horizontal="center" vertical="center" wrapText="1"/>
    </xf>
    <xf numFmtId="0" fontId="7" fillId="8" borderId="31" xfId="0" applyFont="1" applyFill="1" applyBorder="1" applyAlignment="1">
      <alignment horizontal="center" vertical="center" wrapText="1"/>
    </xf>
    <xf numFmtId="0" fontId="7" fillId="8" borderId="51" xfId="0" applyFont="1" applyFill="1" applyBorder="1" applyAlignment="1">
      <alignment horizontal="center" vertical="center" wrapText="1"/>
    </xf>
    <xf numFmtId="0" fontId="31" fillId="8" borderId="30" xfId="0" applyFont="1" applyFill="1" applyBorder="1" applyAlignment="1">
      <alignment horizontal="center" vertical="center" wrapText="1"/>
    </xf>
    <xf numFmtId="0" fontId="31" fillId="8" borderId="31" xfId="0" applyFont="1" applyFill="1" applyBorder="1" applyAlignment="1">
      <alignment horizontal="center" vertical="center" wrapText="1"/>
    </xf>
    <xf numFmtId="0" fontId="46" fillId="31" borderId="31" xfId="0" applyFont="1" applyFill="1" applyBorder="1" applyAlignment="1">
      <alignment horizontal="center" vertical="center" wrapText="1"/>
    </xf>
    <xf numFmtId="0" fontId="46" fillId="31" borderId="56" xfId="0" applyFont="1" applyFill="1" applyBorder="1" applyAlignment="1">
      <alignment horizontal="center" vertical="center" wrapText="1"/>
    </xf>
    <xf numFmtId="0" fontId="0" fillId="8" borderId="65" xfId="0" applyFill="1" applyBorder="1" applyAlignment="1">
      <alignment horizontal="center" vertical="top" wrapText="1"/>
    </xf>
    <xf numFmtId="0" fontId="0" fillId="8" borderId="56" xfId="0" applyFill="1" applyBorder="1" applyAlignment="1">
      <alignment horizontal="center" vertical="top" wrapText="1"/>
    </xf>
    <xf numFmtId="0" fontId="7" fillId="0" borderId="19" xfId="0" applyFont="1" applyBorder="1" applyAlignment="1">
      <alignment horizontal="left"/>
    </xf>
    <xf numFmtId="0" fontId="7" fillId="0" borderId="19" xfId="0" quotePrefix="1" applyFont="1" applyBorder="1" applyAlignment="1">
      <alignment horizontal="left"/>
    </xf>
    <xf numFmtId="9" fontId="12" fillId="8" borderId="26" xfId="16" applyFont="1" applyFill="1" applyBorder="1" applyAlignment="1">
      <alignment horizontal="left"/>
    </xf>
    <xf numFmtId="9" fontId="12" fillId="8" borderId="25" xfId="16" applyFont="1" applyFill="1" applyBorder="1" applyAlignment="1">
      <alignment horizontal="left"/>
    </xf>
    <xf numFmtId="0" fontId="45" fillId="18" borderId="257" xfId="0" applyFont="1" applyFill="1" applyBorder="1" applyAlignment="1">
      <alignment horizontal="center"/>
    </xf>
    <xf numFmtId="0" fontId="7" fillId="8" borderId="65" xfId="0" applyFont="1" applyFill="1" applyBorder="1" applyAlignment="1">
      <alignment horizontal="center" vertical="center" wrapText="1"/>
    </xf>
    <xf numFmtId="0" fontId="7" fillId="8" borderId="56" xfId="0" applyFont="1" applyFill="1" applyBorder="1" applyAlignment="1">
      <alignment horizontal="center" vertical="center" wrapText="1"/>
    </xf>
    <xf numFmtId="0" fontId="20" fillId="0" borderId="22" xfId="0" applyFont="1" applyBorder="1" applyAlignment="1">
      <alignment horizontal="center" vertical="center" wrapText="1"/>
    </xf>
    <xf numFmtId="0" fontId="20" fillId="0" borderId="26" xfId="0" applyFont="1" applyBorder="1" applyAlignment="1">
      <alignment horizontal="center" vertical="center" wrapText="1"/>
    </xf>
    <xf numFmtId="0" fontId="46" fillId="5" borderId="22" xfId="0" applyFont="1" applyFill="1" applyBorder="1" applyAlignment="1">
      <alignment horizontal="center"/>
    </xf>
    <xf numFmtId="0" fontId="46" fillId="5" borderId="19" xfId="0" applyFont="1" applyFill="1" applyBorder="1" applyAlignment="1">
      <alignment horizontal="center"/>
    </xf>
    <xf numFmtId="0" fontId="26" fillId="32" borderId="36" xfId="0" applyFont="1" applyFill="1" applyBorder="1" applyAlignment="1">
      <alignment horizontal="center"/>
    </xf>
    <xf numFmtId="0" fontId="26" fillId="32" borderId="28" xfId="0" applyFont="1" applyFill="1" applyBorder="1" applyAlignment="1">
      <alignment horizontal="center"/>
    </xf>
    <xf numFmtId="14" fontId="12" fillId="0" borderId="26" xfId="0" applyNumberFormat="1" applyFont="1" applyBorder="1" applyAlignment="1">
      <alignment horizontal="center"/>
    </xf>
    <xf numFmtId="14" fontId="12" fillId="0" borderId="25" xfId="0" applyNumberFormat="1" applyFont="1" applyBorder="1" applyAlignment="1">
      <alignment horizontal="center"/>
    </xf>
    <xf numFmtId="178" fontId="8" fillId="0" borderId="172" xfId="0" applyNumberFormat="1" applyFont="1" applyBorder="1" applyAlignment="1">
      <alignment horizontal="center" vertical="center"/>
    </xf>
    <xf numFmtId="178" fontId="8" fillId="0" borderId="0" xfId="0" applyNumberFormat="1" applyFont="1" applyAlignment="1">
      <alignment horizontal="center" vertical="center"/>
    </xf>
    <xf numFmtId="178" fontId="8" fillId="0" borderId="140" xfId="0" applyNumberFormat="1" applyFont="1" applyBorder="1" applyAlignment="1">
      <alignment horizontal="center" vertical="center"/>
    </xf>
    <xf numFmtId="0" fontId="44" fillId="8" borderId="129" xfId="0" applyFont="1" applyFill="1" applyBorder="1" applyAlignment="1">
      <alignment horizontal="center" vertical="center" wrapText="1"/>
    </xf>
    <xf numFmtId="0" fontId="44" fillId="8" borderId="127" xfId="0" applyFont="1" applyFill="1" applyBorder="1" applyAlignment="1">
      <alignment horizontal="center" vertical="center" wrapText="1"/>
    </xf>
    <xf numFmtId="0" fontId="44" fillId="8" borderId="126" xfId="0" applyFont="1" applyFill="1" applyBorder="1" applyAlignment="1">
      <alignment horizontal="center" vertical="center" wrapText="1"/>
    </xf>
    <xf numFmtId="180" fontId="44" fillId="0" borderId="129" xfId="16" applyNumberFormat="1" applyFont="1" applyFill="1" applyBorder="1" applyAlignment="1">
      <alignment horizontal="center" vertical="center"/>
    </xf>
    <xf numFmtId="180" fontId="44" fillId="0" borderId="172" xfId="16" applyNumberFormat="1" applyFont="1" applyFill="1" applyBorder="1" applyAlignment="1">
      <alignment horizontal="center" vertical="center"/>
    </xf>
    <xf numFmtId="180" fontId="44" fillId="0" borderId="127" xfId="16" applyNumberFormat="1" applyFont="1" applyFill="1" applyBorder="1" applyAlignment="1">
      <alignment horizontal="center" vertical="center"/>
    </xf>
    <xf numFmtId="180" fontId="44" fillId="0" borderId="0" xfId="16" applyNumberFormat="1" applyFont="1" applyFill="1" applyBorder="1" applyAlignment="1">
      <alignment horizontal="center" vertical="center"/>
    </xf>
    <xf numFmtId="180" fontId="44" fillId="0" borderId="126" xfId="16" applyNumberFormat="1" applyFont="1" applyFill="1" applyBorder="1" applyAlignment="1">
      <alignment horizontal="center" vertical="center"/>
    </xf>
    <xf numFmtId="180" fontId="44" fillId="0" borderId="140" xfId="16" applyNumberFormat="1" applyFont="1" applyFill="1" applyBorder="1" applyAlignment="1">
      <alignment horizontal="center" vertical="center"/>
    </xf>
    <xf numFmtId="180" fontId="44" fillId="0" borderId="128" xfId="16" applyNumberFormat="1" applyFont="1" applyFill="1" applyBorder="1" applyAlignment="1">
      <alignment horizontal="center" vertical="center"/>
    </xf>
    <xf numFmtId="180" fontId="44" fillId="0" borderId="124" xfId="16" applyNumberFormat="1" applyFont="1" applyFill="1" applyBorder="1" applyAlignment="1">
      <alignment horizontal="center" vertical="center"/>
    </xf>
    <xf numFmtId="180" fontId="44" fillId="0" borderId="125" xfId="16" applyNumberFormat="1" applyFont="1" applyFill="1" applyBorder="1" applyAlignment="1">
      <alignment horizontal="center" vertical="center"/>
    </xf>
    <xf numFmtId="9" fontId="44" fillId="0" borderId="145" xfId="16" applyFont="1" applyFill="1" applyBorder="1" applyAlignment="1">
      <alignment horizontal="center" vertical="center"/>
    </xf>
    <xf numFmtId="9" fontId="44" fillId="0" borderId="123" xfId="16" applyFont="1" applyFill="1" applyBorder="1" applyAlignment="1">
      <alignment horizontal="center" vertical="center"/>
    </xf>
    <xf numFmtId="9" fontId="44" fillId="0" borderId="146" xfId="16" applyFont="1" applyFill="1" applyBorder="1" applyAlignment="1">
      <alignment horizontal="center" vertical="center"/>
    </xf>
    <xf numFmtId="0" fontId="46" fillId="5" borderId="36" xfId="0" applyFont="1" applyFill="1" applyBorder="1" applyAlignment="1">
      <alignment horizontal="center"/>
    </xf>
    <xf numFmtId="0" fontId="46" fillId="5" borderId="44" xfId="0" applyFont="1" applyFill="1" applyBorder="1" applyAlignment="1">
      <alignment horizontal="center"/>
    </xf>
    <xf numFmtId="0" fontId="12" fillId="0" borderId="24" xfId="0" applyFont="1" applyBorder="1" applyAlignment="1">
      <alignment horizontal="center"/>
    </xf>
    <xf numFmtId="0" fontId="12" fillId="0" borderId="25" xfId="0" applyFont="1" applyBorder="1" applyAlignment="1">
      <alignment horizontal="center"/>
    </xf>
    <xf numFmtId="0" fontId="0" fillId="8" borderId="65" xfId="0" applyFill="1" applyBorder="1" applyAlignment="1">
      <alignment horizontal="center" vertical="center" wrapText="1"/>
    </xf>
    <xf numFmtId="0" fontId="0" fillId="8" borderId="56" xfId="0" applyFill="1" applyBorder="1" applyAlignment="1">
      <alignment horizontal="center" vertical="center" wrapText="1"/>
    </xf>
    <xf numFmtId="0" fontId="7" fillId="8" borderId="66" xfId="0" applyFont="1" applyFill="1" applyBorder="1" applyAlignment="1">
      <alignment horizontal="center" vertical="center" wrapText="1"/>
    </xf>
    <xf numFmtId="0" fontId="62" fillId="8" borderId="19" xfId="0" applyFont="1" applyFill="1" applyBorder="1" applyAlignment="1">
      <alignment horizontal="center" vertical="center" wrapText="1"/>
    </xf>
    <xf numFmtId="0" fontId="46" fillId="5" borderId="29" xfId="0" applyFont="1" applyFill="1" applyBorder="1" applyAlignment="1">
      <alignment horizontal="center"/>
    </xf>
    <xf numFmtId="0" fontId="45" fillId="18" borderId="10" xfId="0" applyFont="1" applyFill="1" applyBorder="1" applyAlignment="1">
      <alignment horizontal="center"/>
    </xf>
    <xf numFmtId="0" fontId="45" fillId="18" borderId="0" xfId="0" applyFont="1" applyFill="1" applyAlignment="1">
      <alignment horizontal="center"/>
    </xf>
    <xf numFmtId="0" fontId="45" fillId="18" borderId="12" xfId="0" applyFont="1" applyFill="1" applyBorder="1" applyAlignment="1">
      <alignment horizontal="center"/>
    </xf>
    <xf numFmtId="0" fontId="46" fillId="5" borderId="48" xfId="0" applyFont="1" applyFill="1" applyBorder="1" applyAlignment="1">
      <alignment horizontal="center"/>
    </xf>
    <xf numFmtId="0" fontId="46" fillId="5" borderId="49" xfId="0" applyFont="1" applyFill="1" applyBorder="1" applyAlignment="1">
      <alignment horizontal="center"/>
    </xf>
    <xf numFmtId="0" fontId="46" fillId="5" borderId="50" xfId="0" applyFont="1" applyFill="1" applyBorder="1" applyAlignment="1">
      <alignment horizontal="center"/>
    </xf>
    <xf numFmtId="0" fontId="46" fillId="5" borderId="28" xfId="0" applyFont="1" applyFill="1" applyBorder="1" applyAlignment="1">
      <alignment horizontal="center"/>
    </xf>
    <xf numFmtId="0" fontId="7" fillId="8" borderId="34" xfId="0" applyFont="1" applyFill="1" applyBorder="1" applyAlignment="1">
      <alignment horizontal="left" vertical="center"/>
    </xf>
    <xf numFmtId="0" fontId="7" fillId="8" borderId="27" xfId="0" applyFont="1" applyFill="1" applyBorder="1" applyAlignment="1">
      <alignment horizontal="left" vertical="center"/>
    </xf>
    <xf numFmtId="0" fontId="7" fillId="0" borderId="64" xfId="0" applyFont="1" applyBorder="1" applyAlignment="1">
      <alignment horizontal="left"/>
    </xf>
    <xf numFmtId="0" fontId="7" fillId="0" borderId="67" xfId="0" applyFont="1" applyBorder="1" applyAlignment="1">
      <alignment horizontal="left"/>
    </xf>
    <xf numFmtId="0" fontId="45" fillId="18" borderId="52" xfId="0" applyFont="1" applyFill="1" applyBorder="1" applyAlignment="1">
      <alignment horizontal="center"/>
    </xf>
    <xf numFmtId="0" fontId="7" fillId="0" borderId="64" xfId="0" applyFont="1" applyBorder="1" applyAlignment="1">
      <alignment horizontal="left" indent="1"/>
    </xf>
    <xf numFmtId="0" fontId="7" fillId="0" borderId="67" xfId="0" applyFont="1" applyBorder="1" applyAlignment="1">
      <alignment horizontal="left" indent="1"/>
    </xf>
    <xf numFmtId="0" fontId="46" fillId="5" borderId="348" xfId="0" applyFont="1" applyFill="1" applyBorder="1" applyAlignment="1">
      <alignment horizontal="center"/>
    </xf>
    <xf numFmtId="0" fontId="46" fillId="5" borderId="349" xfId="0" applyFont="1" applyFill="1" applyBorder="1" applyAlignment="1">
      <alignment horizontal="center"/>
    </xf>
    <xf numFmtId="0" fontId="7" fillId="8" borderId="280" xfId="0" applyFont="1" applyFill="1" applyBorder="1" applyAlignment="1">
      <alignment horizontal="left"/>
    </xf>
    <xf numFmtId="0" fontId="7" fillId="8" borderId="153" xfId="0" applyFont="1" applyFill="1" applyBorder="1" applyAlignment="1">
      <alignment horizontal="left"/>
    </xf>
    <xf numFmtId="0" fontId="7" fillId="8" borderId="281" xfId="0" applyFont="1" applyFill="1" applyBorder="1" applyAlignment="1">
      <alignment horizontal="left"/>
    </xf>
    <xf numFmtId="0" fontId="8" fillId="28" borderId="266" xfId="0" applyFont="1" applyFill="1" applyBorder="1" applyAlignment="1">
      <alignment horizontal="center" vertical="center" wrapText="1"/>
    </xf>
    <xf numFmtId="0" fontId="8" fillId="28" borderId="267" xfId="0" applyFont="1" applyFill="1" applyBorder="1" applyAlignment="1">
      <alignment horizontal="center" vertical="center" wrapText="1"/>
    </xf>
    <xf numFmtId="0" fontId="8" fillId="28" borderId="43" xfId="0" applyFont="1" applyFill="1" applyBorder="1" applyAlignment="1">
      <alignment horizontal="center" vertical="center" wrapText="1"/>
    </xf>
    <xf numFmtId="0" fontId="8" fillId="28" borderId="268" xfId="0" applyFont="1" applyFill="1" applyBorder="1" applyAlignment="1">
      <alignment horizontal="center" vertical="center" wrapText="1"/>
    </xf>
    <xf numFmtId="0" fontId="8" fillId="28" borderId="0" xfId="0" applyFont="1" applyFill="1" applyAlignment="1">
      <alignment horizontal="center" vertical="center" wrapText="1"/>
    </xf>
    <xf numFmtId="0" fontId="8" fillId="28" borderId="269" xfId="0" applyFont="1" applyFill="1" applyBorder="1" applyAlignment="1">
      <alignment horizontal="center" vertical="center" wrapText="1"/>
    </xf>
    <xf numFmtId="0" fontId="8" fillId="28" borderId="270" xfId="0" applyFont="1" applyFill="1" applyBorder="1" applyAlignment="1">
      <alignment horizontal="center" vertical="center" wrapText="1"/>
    </xf>
    <xf numFmtId="0" fontId="8" fillId="28" borderId="271" xfId="0" applyFont="1" applyFill="1" applyBorder="1" applyAlignment="1">
      <alignment horizontal="center" vertical="center" wrapText="1"/>
    </xf>
    <xf numFmtId="0" fontId="8" fillId="28" borderId="144" xfId="0" applyFont="1" applyFill="1" applyBorder="1" applyAlignment="1">
      <alignment horizontal="center" vertical="center" wrapText="1"/>
    </xf>
    <xf numFmtId="0" fontId="46" fillId="5" borderId="272" xfId="0" applyFont="1" applyFill="1" applyBorder="1" applyAlignment="1">
      <alignment horizontal="center" wrapText="1"/>
    </xf>
    <xf numFmtId="0" fontId="46" fillId="5" borderId="273" xfId="0" applyFont="1" applyFill="1" applyBorder="1" applyAlignment="1">
      <alignment horizontal="center" wrapText="1"/>
    </xf>
    <xf numFmtId="0" fontId="46" fillId="5" borderId="274" xfId="0" applyFont="1" applyFill="1" applyBorder="1" applyAlignment="1">
      <alignment horizontal="center" wrapText="1"/>
    </xf>
    <xf numFmtId="0" fontId="26" fillId="32" borderId="55" xfId="0" applyFont="1" applyFill="1" applyBorder="1" applyAlignment="1">
      <alignment horizontal="center"/>
    </xf>
    <xf numFmtId="0" fontId="26" fillId="32" borderId="63" xfId="0" applyFont="1" applyFill="1" applyBorder="1" applyAlignment="1">
      <alignment horizontal="center"/>
    </xf>
    <xf numFmtId="0" fontId="33" fillId="8" borderId="257" xfId="0" applyFont="1" applyFill="1" applyBorder="1" applyAlignment="1">
      <alignment horizontal="left" vertical="center" wrapText="1"/>
    </xf>
    <xf numFmtId="0" fontId="7" fillId="8" borderId="257" xfId="0" applyFont="1" applyFill="1" applyBorder="1" applyAlignment="1">
      <alignment horizontal="left" vertical="center" wrapText="1"/>
    </xf>
    <xf numFmtId="0" fontId="46" fillId="5" borderId="153" xfId="0" applyFont="1" applyFill="1" applyBorder="1" applyAlignment="1">
      <alignment horizontal="center"/>
    </xf>
    <xf numFmtId="0" fontId="12" fillId="0" borderId="64" xfId="0" applyFont="1" applyBorder="1" applyAlignment="1">
      <alignment horizontal="left"/>
    </xf>
    <xf numFmtId="0" fontId="12" fillId="0" borderId="67" xfId="0" applyFont="1" applyBorder="1" applyAlignment="1">
      <alignment horizontal="left"/>
    </xf>
    <xf numFmtId="0" fontId="7" fillId="8" borderId="139" xfId="0" applyFont="1" applyFill="1" applyBorder="1" applyAlignment="1">
      <alignment horizontal="left" wrapText="1"/>
    </xf>
    <xf numFmtId="0" fontId="7" fillId="8" borderId="122" xfId="0" applyFont="1" applyFill="1" applyBorder="1" applyAlignment="1">
      <alignment horizontal="left" wrapText="1"/>
    </xf>
    <xf numFmtId="0" fontId="7" fillId="8" borderId="200" xfId="0" applyFont="1" applyFill="1" applyBorder="1" applyAlignment="1">
      <alignment horizontal="left" wrapText="1"/>
    </xf>
    <xf numFmtId="0" fontId="7" fillId="8" borderId="278" xfId="0" applyFont="1" applyFill="1" applyBorder="1" applyAlignment="1">
      <alignment horizontal="left"/>
    </xf>
    <xf numFmtId="0" fontId="7" fillId="8" borderId="257" xfId="0" applyFont="1" applyFill="1" applyBorder="1" applyAlignment="1">
      <alignment horizontal="left"/>
    </xf>
    <xf numFmtId="0" fontId="7" fillId="8" borderId="279" xfId="0" applyFont="1" applyFill="1" applyBorder="1" applyAlignment="1">
      <alignment horizontal="left"/>
    </xf>
    <xf numFmtId="0" fontId="26" fillId="32" borderId="275" xfId="0" applyFont="1" applyFill="1" applyBorder="1" applyAlignment="1">
      <alignment horizontal="center"/>
    </xf>
    <xf numFmtId="0" fontId="26" fillId="32" borderId="276" xfId="0" applyFont="1" applyFill="1" applyBorder="1" applyAlignment="1">
      <alignment horizontal="center"/>
    </xf>
    <xf numFmtId="0" fontId="26" fillId="32" borderId="277" xfId="0" applyFont="1" applyFill="1" applyBorder="1" applyAlignment="1">
      <alignment horizontal="center"/>
    </xf>
    <xf numFmtId="0" fontId="0" fillId="8" borderId="278" xfId="0" applyFill="1" applyBorder="1" applyAlignment="1">
      <alignment horizontal="left" vertical="center" wrapText="1"/>
    </xf>
    <xf numFmtId="0" fontId="0" fillId="8" borderId="257" xfId="0" applyFill="1" applyBorder="1" applyAlignment="1">
      <alignment horizontal="left" vertical="center" wrapText="1"/>
    </xf>
    <xf numFmtId="0" fontId="0" fillId="8" borderId="279" xfId="0" applyFill="1" applyBorder="1" applyAlignment="1">
      <alignment horizontal="left" vertical="center" wrapText="1"/>
    </xf>
    <xf numFmtId="0" fontId="46" fillId="5" borderId="257" xfId="0" applyFont="1" applyFill="1" applyBorder="1" applyAlignment="1">
      <alignment horizontal="center"/>
    </xf>
    <xf numFmtId="0" fontId="26" fillId="32" borderId="257" xfId="0" applyFont="1" applyFill="1" applyBorder="1" applyAlignment="1">
      <alignment horizontal="center"/>
    </xf>
    <xf numFmtId="0" fontId="33" fillId="0" borderId="340" xfId="0" applyFont="1" applyBorder="1" applyAlignment="1">
      <alignment horizontal="center" vertical="center" wrapText="1"/>
    </xf>
    <xf numFmtId="0" fontId="7" fillId="0" borderId="340" xfId="0" applyFont="1" applyBorder="1" applyAlignment="1">
      <alignment horizontal="center" vertical="center" wrapText="1"/>
    </xf>
    <xf numFmtId="0" fontId="0" fillId="0" borderId="64" xfId="0" applyBorder="1" applyAlignment="1">
      <alignment horizontal="left"/>
    </xf>
    <xf numFmtId="0" fontId="0" fillId="0" borderId="67" xfId="0" applyBorder="1" applyAlignment="1">
      <alignment horizontal="left"/>
    </xf>
    <xf numFmtId="0" fontId="7" fillId="16" borderId="64" xfId="0" applyFont="1" applyFill="1" applyBorder="1" applyAlignment="1">
      <alignment horizontal="left"/>
    </xf>
    <xf numFmtId="0" fontId="7" fillId="16" borderId="67" xfId="0" applyFont="1" applyFill="1" applyBorder="1" applyAlignment="1">
      <alignment horizontal="left"/>
    </xf>
    <xf numFmtId="0" fontId="46" fillId="5" borderId="347" xfId="0" applyFont="1" applyFill="1" applyBorder="1" applyAlignment="1">
      <alignment horizontal="center"/>
    </xf>
    <xf numFmtId="0" fontId="7" fillId="0" borderId="161" xfId="0" applyFont="1" applyBorder="1" applyAlignment="1">
      <alignment horizontal="left"/>
    </xf>
    <xf numFmtId="185" fontId="0" fillId="8" borderId="0" xfId="0" applyNumberFormat="1" applyFill="1" applyAlignment="1">
      <alignment horizontal="center"/>
    </xf>
    <xf numFmtId="0" fontId="0" fillId="8" borderId="0" xfId="0" applyFill="1" applyAlignment="1">
      <alignment horizontal="center"/>
    </xf>
    <xf numFmtId="0" fontId="26" fillId="5" borderId="334" xfId="0" applyFont="1" applyFill="1" applyBorder="1" applyAlignment="1">
      <alignment horizontal="center"/>
    </xf>
    <xf numFmtId="0" fontId="26" fillId="5" borderId="335" xfId="0" applyFont="1" applyFill="1" applyBorder="1" applyAlignment="1">
      <alignment horizontal="center"/>
    </xf>
    <xf numFmtId="0" fontId="66" fillId="8" borderId="340" xfId="0" applyFont="1" applyFill="1" applyBorder="1" applyAlignment="1">
      <alignment horizontal="center" vertical="center"/>
    </xf>
    <xf numFmtId="0" fontId="66" fillId="8" borderId="339" xfId="0" applyFont="1" applyFill="1" applyBorder="1" applyAlignment="1">
      <alignment horizontal="center" vertical="center"/>
    </xf>
    <xf numFmtId="10" fontId="59" fillId="8" borderId="353" xfId="0" applyNumberFormat="1" applyFont="1" applyFill="1" applyBorder="1" applyAlignment="1">
      <alignment horizontal="center" vertical="center"/>
    </xf>
    <xf numFmtId="10" fontId="59" fillId="8" borderId="358" xfId="0" applyNumberFormat="1" applyFont="1" applyFill="1" applyBorder="1" applyAlignment="1">
      <alignment horizontal="center" vertical="center"/>
    </xf>
    <xf numFmtId="0" fontId="0" fillId="0" borderId="224" xfId="0" applyBorder="1" applyAlignment="1">
      <alignment horizontal="center" vertical="top" wrapText="1"/>
    </xf>
    <xf numFmtId="0" fontId="0" fillId="0" borderId="225" xfId="0" applyBorder="1" applyAlignment="1">
      <alignment horizontal="center" vertical="top" wrapText="1"/>
    </xf>
    <xf numFmtId="0" fontId="0" fillId="0" borderId="0" xfId="0" applyAlignment="1">
      <alignment horizontal="center" vertical="top" wrapText="1"/>
    </xf>
    <xf numFmtId="0" fontId="0" fillId="0" borderId="227" xfId="0" applyBorder="1" applyAlignment="1">
      <alignment horizontal="center" vertical="top" wrapText="1"/>
    </xf>
    <xf numFmtId="0" fontId="0" fillId="0" borderId="229" xfId="0" applyBorder="1" applyAlignment="1">
      <alignment horizontal="center" vertical="top" wrapText="1"/>
    </xf>
    <xf numFmtId="0" fontId="0" fillId="0" borderId="230" xfId="0" applyBorder="1" applyAlignment="1">
      <alignment horizontal="center" vertical="top" wrapText="1"/>
    </xf>
    <xf numFmtId="0" fontId="0" fillId="0" borderId="223" xfId="0" applyBorder="1" applyAlignment="1">
      <alignment horizontal="left" vertical="top" wrapText="1"/>
    </xf>
    <xf numFmtId="0" fontId="0" fillId="0" borderId="224" xfId="0" applyBorder="1" applyAlignment="1">
      <alignment horizontal="left" vertical="top" wrapText="1"/>
    </xf>
    <xf numFmtId="0" fontId="0" fillId="0" borderId="225" xfId="0" applyBorder="1" applyAlignment="1">
      <alignment horizontal="left" vertical="top" wrapText="1"/>
    </xf>
    <xf numFmtId="0" fontId="0" fillId="0" borderId="226" xfId="0" applyBorder="1" applyAlignment="1">
      <alignment horizontal="left" vertical="top" wrapText="1"/>
    </xf>
    <xf numFmtId="0" fontId="0" fillId="0" borderId="0" xfId="0" applyAlignment="1">
      <alignment horizontal="left" vertical="top" wrapText="1"/>
    </xf>
    <xf numFmtId="0" fontId="0" fillId="0" borderId="227" xfId="0" applyBorder="1" applyAlignment="1">
      <alignment horizontal="left" vertical="top" wrapText="1"/>
    </xf>
    <xf numFmtId="0" fontId="33" fillId="0" borderId="226" xfId="0" applyFont="1" applyBorder="1" applyAlignment="1">
      <alignment horizontal="left"/>
    </xf>
    <xf numFmtId="0" fontId="33" fillId="0" borderId="0" xfId="0" applyFont="1" applyAlignment="1">
      <alignment horizontal="left"/>
    </xf>
    <xf numFmtId="0" fontId="33" fillId="0" borderId="227" xfId="0" applyFont="1" applyBorder="1" applyAlignment="1">
      <alignment horizontal="left"/>
    </xf>
    <xf numFmtId="0" fontId="46" fillId="5" borderId="282" xfId="0" applyFont="1" applyFill="1" applyBorder="1" applyAlignment="1">
      <alignment horizontal="center"/>
    </xf>
    <xf numFmtId="0" fontId="46" fillId="5" borderId="167" xfId="0" applyFont="1" applyFill="1" applyBorder="1" applyAlignment="1">
      <alignment horizontal="center"/>
    </xf>
    <xf numFmtId="0" fontId="26" fillId="32" borderId="340" xfId="0" applyFont="1" applyFill="1" applyBorder="1" applyAlignment="1">
      <alignment horizontal="center"/>
    </xf>
    <xf numFmtId="0" fontId="26" fillId="32" borderId="350" xfId="0" applyFont="1" applyFill="1" applyBorder="1" applyAlignment="1">
      <alignment horizontal="center"/>
    </xf>
    <xf numFmtId="0" fontId="46" fillId="31" borderId="168" xfId="0" applyFont="1" applyFill="1" applyBorder="1" applyAlignment="1">
      <alignment horizontal="center"/>
    </xf>
    <xf numFmtId="0" fontId="46" fillId="31" borderId="62" xfId="0" applyFont="1" applyFill="1" applyBorder="1" applyAlignment="1">
      <alignment horizontal="center"/>
    </xf>
    <xf numFmtId="0" fontId="46" fillId="31" borderId="282" xfId="0" applyFont="1" applyFill="1" applyBorder="1" applyAlignment="1">
      <alignment horizontal="center"/>
    </xf>
    <xf numFmtId="0" fontId="33" fillId="0" borderId="354" xfId="0" applyFont="1" applyBorder="1" applyAlignment="1">
      <alignment horizontal="center" vertical="center" wrapText="1"/>
    </xf>
    <xf numFmtId="0" fontId="0" fillId="0" borderId="340" xfId="0" applyBorder="1" applyAlignment="1">
      <alignment horizontal="center" vertical="center" wrapText="1"/>
    </xf>
    <xf numFmtId="0" fontId="0" fillId="0" borderId="354" xfId="0" applyBorder="1" applyAlignment="1">
      <alignment horizontal="center" vertical="center" wrapText="1"/>
    </xf>
    <xf numFmtId="0" fontId="0" fillId="0" borderId="355" xfId="0" applyBorder="1" applyAlignment="1">
      <alignment horizontal="center" vertical="center" wrapText="1"/>
    </xf>
    <xf numFmtId="0" fontId="0" fillId="0" borderId="356" xfId="0" applyBorder="1" applyAlignment="1">
      <alignment horizontal="center" vertical="center" wrapText="1"/>
    </xf>
    <xf numFmtId="0" fontId="33" fillId="0" borderId="352" xfId="0" applyFont="1" applyBorder="1" applyAlignment="1">
      <alignment horizontal="center" vertical="center" wrapText="1"/>
    </xf>
    <xf numFmtId="0" fontId="0" fillId="0" borderId="352" xfId="0" applyBorder="1" applyAlignment="1">
      <alignment horizontal="center" vertical="center" wrapText="1"/>
    </xf>
    <xf numFmtId="0" fontId="0" fillId="0" borderId="357" xfId="0" applyBorder="1" applyAlignment="1">
      <alignment horizontal="center" vertical="center" wrapText="1"/>
    </xf>
    <xf numFmtId="0" fontId="76" fillId="0" borderId="352" xfId="0" applyFont="1" applyBorder="1" applyAlignment="1">
      <alignment horizontal="center" vertical="center" wrapText="1"/>
    </xf>
    <xf numFmtId="0" fontId="38" fillId="0" borderId="340" xfId="0" applyFont="1" applyBorder="1" applyAlignment="1">
      <alignment horizontal="center" vertical="center" wrapText="1"/>
    </xf>
    <xf numFmtId="0" fontId="38" fillId="0" borderId="352" xfId="0" applyFont="1" applyBorder="1" applyAlignment="1">
      <alignment horizontal="center" vertical="center" wrapText="1"/>
    </xf>
    <xf numFmtId="0" fontId="0" fillId="0" borderId="340" xfId="0" applyBorder="1" applyAlignment="1">
      <alignment horizontal="center" vertical="center"/>
    </xf>
    <xf numFmtId="0" fontId="0" fillId="0" borderId="352" xfId="0" applyBorder="1" applyAlignment="1">
      <alignment horizontal="center" vertical="center"/>
    </xf>
    <xf numFmtId="0" fontId="30" fillId="5" borderId="71" xfId="0" applyFont="1" applyFill="1" applyBorder="1" applyAlignment="1">
      <alignment horizontal="center"/>
    </xf>
    <xf numFmtId="0" fontId="30" fillId="5" borderId="72" xfId="0" applyFont="1" applyFill="1" applyBorder="1" applyAlignment="1">
      <alignment horizontal="center"/>
    </xf>
    <xf numFmtId="0" fontId="7" fillId="0" borderId="85" xfId="0" applyFont="1" applyBorder="1" applyAlignment="1">
      <alignment horizontal="center" vertical="top" wrapText="1"/>
    </xf>
    <xf numFmtId="0" fontId="7" fillId="0" borderId="87" xfId="0" applyFont="1" applyBorder="1" applyAlignment="1">
      <alignment horizontal="center" vertical="top" wrapText="1"/>
    </xf>
    <xf numFmtId="0" fontId="7" fillId="0" borderId="86" xfId="0" applyFont="1" applyBorder="1" applyAlignment="1">
      <alignment horizontal="center" vertical="top" wrapText="1"/>
    </xf>
    <xf numFmtId="0" fontId="0" fillId="0" borderId="85" xfId="0" applyBorder="1" applyAlignment="1">
      <alignment horizontal="center" vertical="center"/>
    </xf>
    <xf numFmtId="0" fontId="0" fillId="0" borderId="86" xfId="0" applyBorder="1" applyAlignment="1">
      <alignment horizontal="center" vertical="center"/>
    </xf>
    <xf numFmtId="0" fontId="8" fillId="0" borderId="75" xfId="0" applyFont="1" applyBorder="1" applyAlignment="1">
      <alignment horizontal="center" vertical="center"/>
    </xf>
    <xf numFmtId="0" fontId="8" fillId="0" borderId="77" xfId="0" applyFont="1" applyBorder="1" applyAlignment="1">
      <alignment horizontal="center" vertical="center"/>
    </xf>
    <xf numFmtId="0" fontId="30" fillId="5" borderId="75" xfId="0" applyFont="1" applyFill="1" applyBorder="1" applyAlignment="1">
      <alignment horizontal="center"/>
    </xf>
    <xf numFmtId="0" fontId="30" fillId="5" borderId="77" xfId="0" applyFont="1" applyFill="1" applyBorder="1" applyAlignment="1">
      <alignment horizontal="center"/>
    </xf>
    <xf numFmtId="0" fontId="30" fillId="5" borderId="76" xfId="0" applyFont="1" applyFill="1" applyBorder="1" applyAlignment="1">
      <alignment horizontal="center"/>
    </xf>
    <xf numFmtId="0" fontId="0" fillId="0" borderId="100" xfId="0" applyBorder="1" applyAlignment="1">
      <alignment horizontal="center" vertical="center" wrapText="1"/>
    </xf>
    <xf numFmtId="0" fontId="0" fillId="0" borderId="42" xfId="0" applyBorder="1" applyAlignment="1">
      <alignment horizontal="center" vertical="center" wrapText="1"/>
    </xf>
    <xf numFmtId="0" fontId="0" fillId="8" borderId="100" xfId="0" applyFill="1" applyBorder="1" applyAlignment="1">
      <alignment horizontal="center" vertical="center" wrapText="1"/>
    </xf>
    <xf numFmtId="0" fontId="0" fillId="8" borderId="42" xfId="0" applyFill="1" applyBorder="1" applyAlignment="1">
      <alignment horizontal="center" vertical="center" wrapText="1"/>
    </xf>
    <xf numFmtId="0" fontId="33" fillId="8" borderId="100" xfId="0" applyFont="1" applyFill="1" applyBorder="1" applyAlignment="1">
      <alignment horizontal="center" vertical="center" wrapText="1"/>
    </xf>
    <xf numFmtId="0" fontId="12" fillId="14" borderId="75" xfId="0" applyFont="1" applyFill="1" applyBorder="1" applyAlignment="1">
      <alignment horizontal="center"/>
    </xf>
    <xf numFmtId="0" fontId="12" fillId="14" borderId="76" xfId="0" applyFont="1" applyFill="1" applyBorder="1" applyAlignment="1">
      <alignment horizontal="center"/>
    </xf>
    <xf numFmtId="0" fontId="12" fillId="14" borderId="77" xfId="0" applyFont="1" applyFill="1" applyBorder="1" applyAlignment="1">
      <alignment horizontal="center"/>
    </xf>
    <xf numFmtId="0" fontId="30" fillId="5" borderId="52" xfId="0" applyFont="1" applyFill="1" applyBorder="1" applyAlignment="1">
      <alignment horizontal="center"/>
    </xf>
    <xf numFmtId="0" fontId="30" fillId="5" borderId="0" xfId="0" applyFont="1" applyFill="1" applyAlignment="1">
      <alignment horizontal="center"/>
    </xf>
    <xf numFmtId="0" fontId="30" fillId="5" borderId="53" xfId="0" applyFont="1" applyFill="1" applyBorder="1" applyAlignment="1">
      <alignment horizontal="center"/>
    </xf>
    <xf numFmtId="0" fontId="30" fillId="5" borderId="74" xfId="0" applyFont="1" applyFill="1" applyBorder="1" applyAlignment="1">
      <alignment horizontal="center"/>
    </xf>
    <xf numFmtId="0" fontId="30" fillId="5" borderId="78" xfId="0" applyFont="1" applyFill="1" applyBorder="1" applyAlignment="1">
      <alignment horizontal="center"/>
    </xf>
    <xf numFmtId="0" fontId="30" fillId="5" borderId="79" xfId="0" applyFont="1" applyFill="1" applyBorder="1" applyAlignment="1">
      <alignment horizontal="center"/>
    </xf>
    <xf numFmtId="0" fontId="45" fillId="5" borderId="78" xfId="0" applyFont="1" applyFill="1" applyBorder="1" applyAlignment="1">
      <alignment horizontal="center"/>
    </xf>
    <xf numFmtId="0" fontId="45" fillId="5" borderId="79" xfId="0" applyFont="1" applyFill="1" applyBorder="1" applyAlignment="1">
      <alignment horizontal="center"/>
    </xf>
    <xf numFmtId="0" fontId="45" fillId="5" borderId="220" xfId="0" applyFont="1" applyFill="1" applyBorder="1" applyAlignment="1">
      <alignment horizontal="center"/>
    </xf>
    <xf numFmtId="0" fontId="45" fillId="5" borderId="221" xfId="0" applyFont="1" applyFill="1" applyBorder="1" applyAlignment="1">
      <alignment horizontal="center"/>
    </xf>
    <xf numFmtId="0" fontId="45" fillId="5" borderId="222" xfId="0" applyFont="1" applyFill="1" applyBorder="1" applyAlignment="1">
      <alignment horizontal="center"/>
    </xf>
    <xf numFmtId="0" fontId="30" fillId="18" borderId="217" xfId="0" applyFont="1" applyFill="1" applyBorder="1" applyAlignment="1">
      <alignment horizontal="center"/>
    </xf>
    <xf numFmtId="0" fontId="30" fillId="18" borderId="218" xfId="0" applyFont="1" applyFill="1" applyBorder="1" applyAlignment="1">
      <alignment horizontal="center"/>
    </xf>
    <xf numFmtId="0" fontId="30" fillId="18" borderId="219" xfId="0" applyFont="1" applyFill="1" applyBorder="1" applyAlignment="1">
      <alignment horizontal="center"/>
    </xf>
    <xf numFmtId="0" fontId="12" fillId="24" borderId="82" xfId="0" applyFont="1" applyFill="1" applyBorder="1" applyAlignment="1">
      <alignment horizontal="center"/>
    </xf>
    <xf numFmtId="0" fontId="12" fillId="24" borderId="83" xfId="0" applyFont="1" applyFill="1" applyBorder="1" applyAlignment="1">
      <alignment horizontal="center"/>
    </xf>
    <xf numFmtId="0" fontId="12" fillId="24" borderId="84" xfId="0" applyFont="1" applyFill="1" applyBorder="1" applyAlignment="1">
      <alignment horizontal="center"/>
    </xf>
    <xf numFmtId="10" fontId="12" fillId="44" borderId="88" xfId="16" applyNumberFormat="1" applyFont="1" applyFill="1" applyBorder="1" applyAlignment="1">
      <alignment horizontal="center"/>
    </xf>
    <xf numFmtId="10" fontId="12" fillId="44" borderId="90" xfId="16" applyNumberFormat="1" applyFont="1" applyFill="1" applyBorder="1" applyAlignment="1">
      <alignment horizontal="center"/>
    </xf>
    <xf numFmtId="10" fontId="12" fillId="44" borderId="89" xfId="16" applyNumberFormat="1" applyFont="1" applyFill="1" applyBorder="1" applyAlignment="1">
      <alignment horizontal="center"/>
    </xf>
    <xf numFmtId="0" fontId="0" fillId="0" borderId="88" xfId="0" applyBorder="1" applyAlignment="1">
      <alignment horizontal="center" vertical="center"/>
    </xf>
    <xf numFmtId="0" fontId="0" fillId="0" borderId="89" xfId="0" applyBorder="1" applyAlignment="1">
      <alignment horizontal="center" vertical="center"/>
    </xf>
    <xf numFmtId="0" fontId="9" fillId="0" borderId="85" xfId="11" applyBorder="1" applyAlignment="1" applyProtection="1">
      <alignment horizontal="center"/>
    </xf>
    <xf numFmtId="0" fontId="9" fillId="0" borderId="86" xfId="11" applyBorder="1" applyAlignment="1" applyProtection="1">
      <alignment horizontal="center"/>
    </xf>
    <xf numFmtId="0" fontId="67" fillId="44" borderId="85" xfId="0" applyFont="1" applyFill="1" applyBorder="1" applyAlignment="1">
      <alignment horizontal="center"/>
    </xf>
    <xf numFmtId="0" fontId="67" fillId="44" borderId="86" xfId="0" applyFont="1" applyFill="1" applyBorder="1" applyAlignment="1">
      <alignment horizontal="center"/>
    </xf>
    <xf numFmtId="0" fontId="7" fillId="0" borderId="80" xfId="0" applyFont="1" applyBorder="1" applyAlignment="1">
      <alignment horizontal="center" vertical="center" wrapText="1"/>
    </xf>
    <xf numFmtId="0" fontId="7" fillId="0" borderId="202" xfId="0" applyFont="1" applyBorder="1" applyAlignment="1">
      <alignment horizontal="center" vertical="center" wrapText="1"/>
    </xf>
    <xf numFmtId="0" fontId="7" fillId="0" borderId="81" xfId="0" applyFont="1" applyBorder="1" applyAlignment="1">
      <alignment horizontal="center" vertical="center" wrapText="1"/>
    </xf>
    <xf numFmtId="0" fontId="7" fillId="0" borderId="85" xfId="0" applyFont="1" applyBorder="1" applyAlignment="1">
      <alignment horizontal="center" wrapText="1"/>
    </xf>
    <xf numFmtId="0" fontId="7" fillId="0" borderId="87" xfId="0" applyFont="1" applyBorder="1" applyAlignment="1">
      <alignment horizontal="center" wrapText="1"/>
    </xf>
    <xf numFmtId="0" fontId="7" fillId="0" borderId="86" xfId="0" applyFont="1" applyBorder="1" applyAlignment="1">
      <alignment horizontal="center" wrapText="1"/>
    </xf>
    <xf numFmtId="0" fontId="73" fillId="0" borderId="223" xfId="0" applyFont="1" applyBorder="1" applyAlignment="1">
      <alignment horizontal="left" vertical="center" wrapText="1"/>
    </xf>
    <xf numFmtId="0" fontId="73" fillId="0" borderId="224" xfId="0" applyFont="1" applyBorder="1" applyAlignment="1">
      <alignment horizontal="left" vertical="center" wrapText="1"/>
    </xf>
    <xf numFmtId="0" fontId="73" fillId="0" borderId="225" xfId="0" applyFont="1" applyBorder="1" applyAlignment="1">
      <alignment horizontal="left" vertical="center" wrapText="1"/>
    </xf>
    <xf numFmtId="0" fontId="73" fillId="0" borderId="226" xfId="0" applyFont="1" applyBorder="1" applyAlignment="1">
      <alignment horizontal="left" vertical="center" wrapText="1"/>
    </xf>
    <xf numFmtId="0" fontId="73" fillId="0" borderId="0" xfId="0" applyFont="1" applyAlignment="1">
      <alignment horizontal="left" vertical="center" wrapText="1"/>
    </xf>
    <xf numFmtId="0" fontId="73" fillId="0" borderId="227" xfId="0" applyFont="1" applyBorder="1" applyAlignment="1">
      <alignment horizontal="left" vertical="center" wrapText="1"/>
    </xf>
    <xf numFmtId="0" fontId="73" fillId="0" borderId="228" xfId="0" applyFont="1" applyBorder="1" applyAlignment="1">
      <alignment horizontal="left" vertical="center" wrapText="1"/>
    </xf>
    <xf numFmtId="0" fontId="73" fillId="0" borderId="229" xfId="0" applyFont="1" applyBorder="1" applyAlignment="1">
      <alignment horizontal="left" vertical="center" wrapText="1"/>
    </xf>
    <xf numFmtId="0" fontId="73" fillId="0" borderId="230" xfId="0" applyFont="1" applyBorder="1" applyAlignment="1">
      <alignment horizontal="left" vertical="center" wrapText="1"/>
    </xf>
    <xf numFmtId="0" fontId="12" fillId="44" borderId="88" xfId="0" applyFont="1" applyFill="1" applyBorder="1" applyAlignment="1">
      <alignment horizontal="center"/>
    </xf>
    <xf numFmtId="0" fontId="12" fillId="44" borderId="90" xfId="0" applyFont="1" applyFill="1" applyBorder="1" applyAlignment="1">
      <alignment horizontal="center"/>
    </xf>
    <xf numFmtId="0" fontId="12" fillId="44" borderId="89" xfId="0" applyFont="1" applyFill="1" applyBorder="1" applyAlignment="1">
      <alignment horizontal="center"/>
    </xf>
    <xf numFmtId="0" fontId="30" fillId="5" borderId="75" xfId="0" applyFont="1" applyFill="1" applyBorder="1" applyAlignment="1">
      <alignment horizontal="center" vertical="center"/>
    </xf>
    <xf numFmtId="0" fontId="30" fillId="5" borderId="76" xfId="0" applyFont="1" applyFill="1" applyBorder="1" applyAlignment="1">
      <alignment horizontal="center" vertical="center"/>
    </xf>
    <xf numFmtId="0" fontId="30" fillId="5" borderId="79" xfId="0" applyFont="1" applyFill="1" applyBorder="1" applyAlignment="1">
      <alignment horizontal="center" vertical="center"/>
    </xf>
    <xf numFmtId="0" fontId="12" fillId="0" borderId="85" xfId="0" applyFont="1" applyBorder="1" applyAlignment="1">
      <alignment horizontal="center"/>
    </xf>
    <xf numFmtId="0" fontId="12" fillId="0" borderId="87" xfId="0" applyFont="1" applyBorder="1" applyAlignment="1">
      <alignment horizontal="center"/>
    </xf>
    <xf numFmtId="0" fontId="12" fillId="0" borderId="86" xfId="0" applyFont="1" applyBorder="1" applyAlignment="1">
      <alignment horizontal="center"/>
    </xf>
    <xf numFmtId="10" fontId="12" fillId="0" borderId="85" xfId="16" applyNumberFormat="1" applyFont="1" applyBorder="1" applyAlignment="1">
      <alignment horizontal="center"/>
    </xf>
    <xf numFmtId="10" fontId="12" fillId="0" borderId="87" xfId="16" applyNumberFormat="1" applyFont="1" applyBorder="1" applyAlignment="1">
      <alignment horizontal="center"/>
    </xf>
    <xf numFmtId="10" fontId="12" fillId="0" borderId="86" xfId="16" applyNumberFormat="1" applyFont="1" applyBorder="1" applyAlignment="1">
      <alignment horizontal="center"/>
    </xf>
    <xf numFmtId="0" fontId="12" fillId="24" borderId="80" xfId="0" applyFont="1" applyFill="1" applyBorder="1" applyAlignment="1">
      <alignment horizontal="center"/>
    </xf>
    <xf numFmtId="0" fontId="12" fillId="24" borderId="81" xfId="0" applyFont="1" applyFill="1" applyBorder="1" applyAlignment="1">
      <alignment horizontal="center"/>
    </xf>
    <xf numFmtId="0" fontId="30" fillId="5" borderId="73" xfId="0" applyFont="1" applyFill="1" applyBorder="1" applyAlignment="1">
      <alignment horizontal="center"/>
    </xf>
    <xf numFmtId="0" fontId="63" fillId="0" borderId="110" xfId="0" applyFont="1" applyBorder="1" applyAlignment="1">
      <alignment horizontal="center" vertical="center" wrapText="1"/>
    </xf>
    <xf numFmtId="0" fontId="22" fillId="0" borderId="111" xfId="0" applyFont="1" applyBorder="1" applyAlignment="1">
      <alignment horizontal="center" vertical="center" wrapText="1"/>
    </xf>
    <xf numFmtId="0" fontId="22" fillId="0" borderId="112" xfId="0" applyFont="1" applyBorder="1" applyAlignment="1">
      <alignment horizontal="center" vertical="center" wrapText="1"/>
    </xf>
    <xf numFmtId="0" fontId="49" fillId="5" borderId="68" xfId="0" applyFont="1" applyFill="1" applyBorder="1" applyAlignment="1">
      <alignment horizontal="center"/>
    </xf>
    <xf numFmtId="0" fontId="7" fillId="54" borderId="362" xfId="0" applyFont="1" applyFill="1" applyBorder="1" applyAlignment="1">
      <alignment wrapText="1"/>
    </xf>
    <xf numFmtId="0" fontId="7" fillId="54" borderId="363" xfId="0" applyFont="1" applyFill="1" applyBorder="1" applyAlignment="1">
      <alignment wrapText="1"/>
    </xf>
    <xf numFmtId="0" fontId="77" fillId="0" borderId="364" xfId="0" applyFont="1" applyBorder="1" applyAlignment="1">
      <alignment wrapText="1"/>
    </xf>
    <xf numFmtId="0" fontId="77" fillId="0" borderId="365" xfId="0" applyFont="1" applyBorder="1" applyAlignment="1">
      <alignment wrapText="1"/>
    </xf>
    <xf numFmtId="0" fontId="77" fillId="0" borderId="366" xfId="0" applyFont="1" applyBorder="1" applyAlignment="1">
      <alignment wrapText="1"/>
    </xf>
    <xf numFmtId="0" fontId="77" fillId="0" borderId="367" xfId="0" applyFont="1" applyBorder="1" applyAlignment="1">
      <alignment wrapText="1"/>
    </xf>
    <xf numFmtId="0" fontId="63" fillId="0" borderId="111" xfId="0" applyFont="1" applyBorder="1" applyAlignment="1">
      <alignment horizontal="center" vertical="center" wrapText="1"/>
    </xf>
    <xf numFmtId="0" fontId="63" fillId="0" borderId="112" xfId="0" applyFont="1" applyBorder="1" applyAlignment="1">
      <alignment horizontal="center" vertical="center" wrapText="1"/>
    </xf>
    <xf numFmtId="0" fontId="7" fillId="53" borderId="362" xfId="0" applyFont="1" applyFill="1" applyBorder="1" applyAlignment="1">
      <alignment wrapText="1"/>
    </xf>
    <xf numFmtId="0" fontId="7" fillId="53" borderId="363" xfId="0" applyFont="1" applyFill="1" applyBorder="1" applyAlignment="1">
      <alignment wrapText="1"/>
    </xf>
    <xf numFmtId="0" fontId="7" fillId="39" borderId="362" xfId="0" applyFont="1" applyFill="1" applyBorder="1" applyAlignment="1">
      <alignment wrapText="1"/>
    </xf>
    <xf numFmtId="0" fontId="7" fillId="39" borderId="363" xfId="0" applyFont="1" applyFill="1" applyBorder="1" applyAlignment="1">
      <alignment wrapText="1"/>
    </xf>
    <xf numFmtId="2" fontId="0" fillId="0" borderId="0" xfId="26" applyNumberFormat="1" applyFont="1" applyAlignment="1">
      <alignment horizontal="center"/>
    </xf>
    <xf numFmtId="0" fontId="15" fillId="18" borderId="113" xfId="1" applyFill="1" applyBorder="1" applyAlignment="1">
      <alignment horizontal="center" vertical="center" readingOrder="1"/>
    </xf>
    <xf numFmtId="0" fontId="52" fillId="18" borderId="113" xfId="26" applyFont="1" applyFill="1" applyBorder="1" applyAlignment="1">
      <alignment horizontal="center"/>
    </xf>
    <xf numFmtId="0" fontId="0" fillId="0" borderId="0" xfId="26" applyFont="1" applyAlignment="1">
      <alignment horizontal="center"/>
    </xf>
    <xf numFmtId="0" fontId="7" fillId="39" borderId="139" xfId="0" applyFont="1" applyFill="1" applyBorder="1" applyAlignment="1">
      <alignment horizontal="center"/>
    </xf>
    <xf numFmtId="0" fontId="7" fillId="39" borderId="122" xfId="0" applyFont="1" applyFill="1" applyBorder="1" applyAlignment="1">
      <alignment horizontal="center"/>
    </xf>
    <xf numFmtId="0" fontId="7" fillId="39" borderId="0" xfId="0" applyFont="1" applyFill="1" applyAlignment="1">
      <alignment horizontal="center"/>
    </xf>
    <xf numFmtId="0" fontId="7" fillId="39" borderId="123" xfId="0" applyFont="1" applyFill="1" applyBorder="1" applyAlignment="1">
      <alignment horizontal="center"/>
    </xf>
    <xf numFmtId="0" fontId="54" fillId="36" borderId="129" xfId="0" applyFont="1" applyFill="1" applyBorder="1" applyAlignment="1">
      <alignment horizontal="center" vertical="center"/>
    </xf>
    <xf numFmtId="0" fontId="54" fillId="36" borderId="172" xfId="0" applyFont="1" applyFill="1" applyBorder="1" applyAlignment="1">
      <alignment horizontal="center" vertical="center"/>
    </xf>
    <xf numFmtId="0" fontId="54" fillId="36" borderId="145" xfId="0" applyFont="1" applyFill="1" applyBorder="1" applyAlignment="1">
      <alignment horizontal="center" vertical="center"/>
    </xf>
    <xf numFmtId="0" fontId="54" fillId="36" borderId="126" xfId="0" applyFont="1" applyFill="1" applyBorder="1" applyAlignment="1">
      <alignment horizontal="center" vertical="center"/>
    </xf>
    <xf numFmtId="0" fontId="54" fillId="36" borderId="140" xfId="0" applyFont="1" applyFill="1" applyBorder="1" applyAlignment="1">
      <alignment horizontal="center" vertical="center"/>
    </xf>
    <xf numFmtId="0" fontId="54" fillId="36" borderId="146" xfId="0" applyFont="1" applyFill="1" applyBorder="1" applyAlignment="1">
      <alignment horizontal="center" vertical="center"/>
    </xf>
    <xf numFmtId="0" fontId="55" fillId="12" borderId="129" xfId="0" applyFont="1" applyFill="1" applyBorder="1" applyAlignment="1">
      <alignment horizontal="center" vertical="center"/>
    </xf>
    <xf numFmtId="0" fontId="55" fillId="12" borderId="124" xfId="0" applyFont="1" applyFill="1" applyBorder="1" applyAlignment="1">
      <alignment horizontal="center" vertical="center"/>
    </xf>
    <xf numFmtId="0" fontId="55" fillId="12" borderId="125" xfId="0" applyFont="1" applyFill="1" applyBorder="1" applyAlignment="1">
      <alignment horizontal="center" vertical="center"/>
    </xf>
    <xf numFmtId="0" fontId="12" fillId="0" borderId="256" xfId="0" applyFont="1" applyBorder="1" applyAlignment="1">
      <alignment horizontal="center" vertical="center" wrapText="1"/>
    </xf>
    <xf numFmtId="0" fontId="12" fillId="0" borderId="255" xfId="0" applyFont="1" applyBorder="1" applyAlignment="1">
      <alignment horizontal="center" vertical="center" wrapText="1"/>
    </xf>
    <xf numFmtId="0" fontId="12" fillId="0" borderId="254" xfId="0" applyFont="1" applyBorder="1" applyAlignment="1">
      <alignment horizontal="center" vertical="center" wrapText="1"/>
    </xf>
    <xf numFmtId="0" fontId="59" fillId="0" borderId="128" xfId="0" applyFont="1" applyBorder="1" applyAlignment="1">
      <alignment horizontal="center" vertical="center" wrapText="1"/>
    </xf>
    <xf numFmtId="0" fontId="59" fillId="0" borderId="124" xfId="0" applyFont="1" applyBorder="1" applyAlignment="1">
      <alignment horizontal="center" vertical="center" wrapText="1"/>
    </xf>
    <xf numFmtId="0" fontId="59" fillId="0" borderId="125" xfId="0" applyFont="1" applyBorder="1" applyAlignment="1">
      <alignment horizontal="center" vertical="center" wrapText="1"/>
    </xf>
    <xf numFmtId="0" fontId="59" fillId="0" borderId="129" xfId="0" applyFont="1" applyBorder="1" applyAlignment="1">
      <alignment horizontal="center" vertical="center" wrapText="1"/>
    </xf>
    <xf numFmtId="0" fontId="59" fillId="0" borderId="127" xfId="0" applyFont="1" applyBorder="1" applyAlignment="1">
      <alignment horizontal="center" vertical="center" wrapText="1"/>
    </xf>
    <xf numFmtId="0" fontId="59" fillId="0" borderId="126" xfId="0" applyFont="1" applyBorder="1" applyAlignment="1">
      <alignment horizontal="center" vertical="center" wrapText="1"/>
    </xf>
    <xf numFmtId="0" fontId="58" fillId="28" borderId="127" xfId="0" applyFont="1" applyFill="1" applyBorder="1" applyAlignment="1">
      <alignment horizontal="center"/>
    </xf>
    <xf numFmtId="0" fontId="58" fillId="28" borderId="0" xfId="0" applyFont="1" applyFill="1" applyAlignment="1">
      <alignment horizontal="center"/>
    </xf>
    <xf numFmtId="0" fontId="58" fillId="28" borderId="126" xfId="0" applyFont="1" applyFill="1" applyBorder="1" applyAlignment="1">
      <alignment horizontal="center"/>
    </xf>
    <xf numFmtId="0" fontId="58" fillId="28" borderId="140" xfId="0" applyFont="1" applyFill="1" applyBorder="1" applyAlignment="1">
      <alignment horizontal="center"/>
    </xf>
    <xf numFmtId="0" fontId="58" fillId="28" borderId="146" xfId="0" applyFont="1" applyFill="1" applyBorder="1" applyAlignment="1">
      <alignment horizontal="center"/>
    </xf>
    <xf numFmtId="0" fontId="33" fillId="12" borderId="127" xfId="0" applyFont="1" applyFill="1" applyBorder="1" applyAlignment="1">
      <alignment horizontal="center"/>
    </xf>
    <xf numFmtId="0" fontId="33" fillId="12" borderId="0" xfId="0" applyFont="1" applyFill="1" applyAlignment="1">
      <alignment horizontal="center"/>
    </xf>
    <xf numFmtId="0" fontId="33" fillId="12" borderId="123" xfId="0" applyFont="1" applyFill="1" applyBorder="1" applyAlignment="1">
      <alignment horizontal="center"/>
    </xf>
    <xf numFmtId="0" fontId="33" fillId="39" borderId="127" xfId="0" applyFont="1" applyFill="1" applyBorder="1" applyAlignment="1">
      <alignment horizontal="center"/>
    </xf>
    <xf numFmtId="0" fontId="33" fillId="39" borderId="140" xfId="0" applyFont="1" applyFill="1" applyBorder="1" applyAlignment="1">
      <alignment horizontal="center"/>
    </xf>
    <xf numFmtId="0" fontId="33" fillId="39" borderId="0" xfId="0" applyFont="1" applyFill="1" applyAlignment="1">
      <alignment horizontal="center"/>
    </xf>
    <xf numFmtId="0" fontId="33" fillId="39" borderId="146" xfId="0" applyFont="1" applyFill="1" applyBorder="1" applyAlignment="1">
      <alignment horizontal="center"/>
    </xf>
    <xf numFmtId="0" fontId="59" fillId="0" borderId="124" xfId="0" applyFont="1" applyBorder="1" applyAlignment="1">
      <alignment horizontal="center" vertical="center"/>
    </xf>
    <xf numFmtId="0" fontId="59" fillId="0" borderId="128" xfId="0" applyFont="1" applyBorder="1" applyAlignment="1">
      <alignment horizontal="center" vertical="center"/>
    </xf>
    <xf numFmtId="0" fontId="59" fillId="0" borderId="125" xfId="0" applyFont="1" applyBorder="1" applyAlignment="1">
      <alignment horizontal="center" vertical="center"/>
    </xf>
    <xf numFmtId="0" fontId="55" fillId="0" borderId="153" xfId="0" applyFont="1" applyBorder="1" applyAlignment="1">
      <alignment horizontal="center" vertical="center"/>
    </xf>
    <xf numFmtId="0" fontId="55" fillId="0" borderId="154" xfId="0" applyFont="1" applyBorder="1" applyAlignment="1">
      <alignment horizontal="center" vertical="center"/>
    </xf>
    <xf numFmtId="0" fontId="55" fillId="12" borderId="127" xfId="0" applyFont="1" applyFill="1" applyBorder="1" applyAlignment="1">
      <alignment horizontal="center" vertical="center"/>
    </xf>
    <xf numFmtId="0" fontId="55" fillId="12" borderId="126" xfId="0" applyFont="1" applyFill="1" applyBorder="1" applyAlignment="1">
      <alignment horizontal="center" vertical="center"/>
    </xf>
    <xf numFmtId="4" fontId="0" fillId="0" borderId="127" xfId="0" applyNumberFormat="1" applyBorder="1" applyAlignment="1">
      <alignment horizontal="center" vertical="center"/>
    </xf>
    <xf numFmtId="0" fontId="0" fillId="0" borderId="127" xfId="0" applyBorder="1" applyAlignment="1">
      <alignment horizontal="center" vertical="center"/>
    </xf>
    <xf numFmtId="0" fontId="12" fillId="47" borderId="129" xfId="0" applyFont="1" applyFill="1" applyBorder="1" applyAlignment="1">
      <alignment horizontal="center"/>
    </xf>
    <xf numFmtId="0" fontId="12" fillId="47" borderId="145" xfId="0" applyFont="1" applyFill="1" applyBorder="1" applyAlignment="1">
      <alignment horizontal="center"/>
    </xf>
    <xf numFmtId="0" fontId="0" fillId="0" borderId="0" xfId="0" applyAlignment="1">
      <alignment horizontal="center" vertical="center"/>
    </xf>
    <xf numFmtId="10" fontId="0" fillId="0" borderId="127" xfId="0" applyNumberFormat="1" applyBorder="1" applyAlignment="1">
      <alignment horizontal="center" vertical="center"/>
    </xf>
    <xf numFmtId="0" fontId="12" fillId="24" borderId="139" xfId="0" applyFont="1" applyFill="1" applyBorder="1" applyAlignment="1">
      <alignment horizontal="center"/>
    </xf>
    <xf numFmtId="0" fontId="12" fillId="24" borderId="122" xfId="0" applyFont="1" applyFill="1" applyBorder="1" applyAlignment="1">
      <alignment horizontal="center"/>
    </xf>
    <xf numFmtId="0" fontId="12" fillId="24" borderId="200" xfId="0" applyFont="1" applyFill="1" applyBorder="1" applyAlignment="1">
      <alignment horizontal="center"/>
    </xf>
    <xf numFmtId="0" fontId="0" fillId="14" borderId="129" xfId="0" applyFill="1" applyBorder="1" applyAlignment="1">
      <alignment horizontal="center"/>
    </xf>
    <xf numFmtId="0" fontId="0" fillId="14" borderId="122" xfId="0" applyFill="1" applyBorder="1" applyAlignment="1">
      <alignment horizontal="center"/>
    </xf>
    <xf numFmtId="0" fontId="0" fillId="14" borderId="200" xfId="0" applyFill="1" applyBorder="1" applyAlignment="1">
      <alignment horizontal="center"/>
    </xf>
    <xf numFmtId="0" fontId="43" fillId="0" borderId="0" xfId="0" applyFont="1" applyAlignment="1">
      <alignment horizontal="center"/>
    </xf>
    <xf numFmtId="0" fontId="8" fillId="0" borderId="0" xfId="0" applyFont="1" applyAlignment="1">
      <alignment horizontal="center"/>
    </xf>
    <xf numFmtId="0" fontId="38" fillId="0" borderId="0" xfId="0" applyFont="1" applyAlignment="1">
      <alignment horizontal="center"/>
    </xf>
    <xf numFmtId="0" fontId="12" fillId="0" borderId="3" xfId="0" applyFont="1" applyBorder="1" applyAlignment="1">
      <alignment horizontal="center"/>
    </xf>
    <xf numFmtId="0" fontId="12" fillId="0" borderId="2" xfId="0" applyFont="1" applyBorder="1" applyAlignment="1">
      <alignment horizontal="center"/>
    </xf>
    <xf numFmtId="0" fontId="12" fillId="0" borderId="37" xfId="0" applyFont="1" applyBorder="1" applyAlignment="1">
      <alignment horizontal="center"/>
    </xf>
    <xf numFmtId="0" fontId="12" fillId="0" borderId="5" xfId="0" applyFont="1" applyBorder="1" applyAlignment="1">
      <alignment horizontal="center"/>
    </xf>
    <xf numFmtId="0" fontId="12" fillId="0" borderId="38" xfId="0" applyFont="1" applyBorder="1" applyAlignment="1">
      <alignment horizontal="center"/>
    </xf>
    <xf numFmtId="0" fontId="34" fillId="0" borderId="0" xfId="0" applyFont="1" applyAlignment="1">
      <alignment horizontal="center"/>
    </xf>
    <xf numFmtId="0" fontId="22" fillId="0" borderId="0" xfId="0" applyFont="1" applyAlignment="1">
      <alignment horizontal="center"/>
    </xf>
    <xf numFmtId="0" fontId="34" fillId="19" borderId="0" xfId="0" applyFont="1" applyFill="1" applyAlignment="1">
      <alignment horizontal="center"/>
    </xf>
    <xf numFmtId="4" fontId="34" fillId="19" borderId="0" xfId="0" applyNumberFormat="1" applyFont="1" applyFill="1" applyAlignment="1">
      <alignment horizontal="center"/>
    </xf>
    <xf numFmtId="0" fontId="85" fillId="36" borderId="359" xfId="0" applyFont="1" applyFill="1" applyBorder="1" applyAlignment="1"/>
    <xf numFmtId="0" fontId="85" fillId="36" borderId="360" xfId="0" applyFont="1" applyFill="1" applyBorder="1" applyAlignment="1"/>
    <xf numFmtId="0" fontId="85" fillId="36" borderId="361" xfId="0" applyFont="1" applyFill="1" applyBorder="1" applyAlignment="1"/>
  </cellXfs>
  <cellStyles count="33">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Moneda 2" xfId="12" xr:uid="{00000000-0005-0000-0000-00000B000000}"/>
    <cellStyle name="Moneda 2 2" xfId="13" xr:uid="{00000000-0005-0000-0000-00000C000000}"/>
    <cellStyle name="Normal 2" xfId="14" xr:uid="{00000000-0005-0000-0000-00000E000000}"/>
    <cellStyle name="Normal 2 2" xfId="15" xr:uid="{00000000-0005-0000-0000-00000F000000}"/>
    <cellStyle name="Normal 2 3" xfId="20" xr:uid="{00000000-0005-0000-0000-000010000000}"/>
    <cellStyle name="Normal 2 3 2" xfId="27" xr:uid="{00000000-0005-0000-0000-000011000000}"/>
    <cellStyle name="Normal 2 4" xfId="21" xr:uid="{00000000-0005-0000-0000-000012000000}"/>
    <cellStyle name="Normal 3" xfId="24" xr:uid="{00000000-0005-0000-0000-000013000000}"/>
    <cellStyle name="Normal 3 2" xfId="26" xr:uid="{00000000-0005-0000-0000-000014000000}"/>
    <cellStyle name="Normal 3 3" xfId="29" xr:uid="{00000000-0005-0000-0000-000015000000}"/>
    <cellStyle name="Normal 5" xfId="30" xr:uid="{00000000-0005-0000-0000-000016000000}"/>
    <cellStyle name="Porcentaje 2" xfId="17" xr:uid="{00000000-0005-0000-0000-000018000000}"/>
    <cellStyle name="Porcentaje 2 2" xfId="18" xr:uid="{00000000-0005-0000-0000-000019000000}"/>
    <cellStyle name="Porcentaje 2 2 2" xfId="25" xr:uid="{00000000-0005-0000-0000-00001A000000}"/>
    <cellStyle name="Porcentaje 2 3" xfId="23" xr:uid="{00000000-0005-0000-0000-00001B000000}"/>
    <cellStyle name="Porcentaje 2 4" xfId="28" xr:uid="{00000000-0005-0000-0000-00001C000000}"/>
    <cellStyle name="Porcentaje 3" xfId="19" xr:uid="{00000000-0005-0000-0000-00001D000000}"/>
    <cellStyle name="Porcentaje 3 2" xfId="22" xr:uid="{00000000-0005-0000-0000-00001E000000}"/>
    <cellStyle name="Porcentaje 4 2" xfId="32" xr:uid="{00000000-0005-0000-0000-00001F000000}"/>
    <cellStyle name="Porcentaje 5" xfId="31" xr:uid="{00000000-0005-0000-0000-000020000000}"/>
    <cellStyle name="百分比" xfId="16" builtinId="5"/>
    <cellStyle name="常规" xfId="0" builtinId="0"/>
    <cellStyle name="超链接" xfId="11" builtinId="8"/>
  </cellStyles>
  <dxfs count="32">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s>
  <tableStyles count="0" defaultTableStyle="TableStyleMedium9" defaultPivotStyle="PivotStyleLight16"/>
  <colors>
    <mruColors>
      <color rgb="FFFCA978"/>
      <color rgb="FFFFEB84"/>
      <color rgb="FFFC8183"/>
      <color rgb="FFFF3399"/>
      <color rgb="FF808080"/>
      <color rgb="FF8BF7E9"/>
      <color rgb="FFCEF531"/>
      <color rgb="FF63CB97"/>
      <color rgb="FF1F497D"/>
      <color rgb="FFC5D9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06/relationships/rdRichValue" Target="richData/rdrichvalu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dSupportingPropertyBag" Target="richData/rdsupportingpropertybag.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Segments!$C$18:$C$20</c:f>
              <c:strCache>
                <c:ptCount val="3"/>
                <c:pt idx="0">
                  <c:v>Watches &amp; Jewelry</c:v>
                </c:pt>
                <c:pt idx="1">
                  <c:v>Electronic Systems</c:v>
                </c:pt>
                <c:pt idx="2">
                  <c:v>Others</c:v>
                </c:pt>
              </c:strCache>
            </c:strRef>
          </c:cat>
          <c:val>
            <c:numRef>
              <c:f>Segments!$D$18:$D$20</c:f>
              <c:numCache>
                <c:formatCode>_-* #,##0.00\ [$CHF-100C]_-;\-* #,##0.00\ [$CHF-100C]_-;_-* "-"??\ [$CHF-100C]_-;_-@_-</c:formatCode>
                <c:ptCount val="3"/>
                <c:pt idx="0">
                  <c:v>7141</c:v>
                </c:pt>
                <c:pt idx="1">
                  <c:v>353</c:v>
                </c:pt>
                <c:pt idx="2">
                  <c:v>5</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A8-4A8D-AB61-58E1112E1F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A8-4A8D-AB61-58E1112E1F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10-4056-AA93-29BCCB67760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310-4056-AA93-29BCCB6776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Segments!$C$5:$C$10</c:f>
              <c:strCache>
                <c:ptCount val="6"/>
                <c:pt idx="0">
                  <c:v>Switzerland</c:v>
                </c:pt>
                <c:pt idx="1">
                  <c:v>Rest of Europe</c:v>
                </c:pt>
                <c:pt idx="2">
                  <c:v>Greater China (inc. Macau, HK)</c:v>
                </c:pt>
                <c:pt idx="3">
                  <c:v>Rest of Asia</c:v>
                </c:pt>
                <c:pt idx="4">
                  <c:v>Americas</c:v>
                </c:pt>
                <c:pt idx="5">
                  <c:v>Oceania &amp; Africa</c:v>
                </c:pt>
              </c:strCache>
            </c:strRef>
          </c:cat>
          <c:val>
            <c:numRef>
              <c:f>Segments!$D$5:$D$10</c:f>
              <c:numCache>
                <c:formatCode>_-* #,##0.00\ [$CHF-100C]_-;\-* #,##0.00\ [$CHF-100C]_-;_-* "-"??\ [$CHF-100C]_-;_-@_-</c:formatCode>
                <c:ptCount val="6"/>
                <c:pt idx="0">
                  <c:v>472</c:v>
                </c:pt>
                <c:pt idx="1">
                  <c:v>1544</c:v>
                </c:pt>
                <c:pt idx="2">
                  <c:v>2370</c:v>
                </c:pt>
                <c:pt idx="3">
                  <c:v>1833</c:v>
                </c:pt>
                <c:pt idx="4">
                  <c:v>1140</c:v>
                </c:pt>
                <c:pt idx="5">
                  <c:v>140</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Segments!$C$5</c:f>
              <c:strCache>
                <c:ptCount val="1"/>
                <c:pt idx="0">
                  <c:v>Switzerland</c:v>
                </c:pt>
              </c:strCache>
            </c:strRef>
          </c:tx>
          <c:spPr>
            <a:solidFill>
              <a:schemeClr val="accent2"/>
            </a:solidFill>
            <a:ln>
              <a:noFill/>
            </a:ln>
            <a:effectLst/>
          </c:spPr>
          <c:invertIfNegative val="0"/>
          <c:cat>
            <c:numRef>
              <c:f>Segments!$D$4:$I$4</c:f>
              <c:numCache>
                <c:formatCode>General</c:formatCode>
                <c:ptCount val="6"/>
                <c:pt idx="0">
                  <c:v>2022</c:v>
                </c:pt>
                <c:pt idx="1">
                  <c:v>2021</c:v>
                </c:pt>
                <c:pt idx="2">
                  <c:v>2020</c:v>
                </c:pt>
                <c:pt idx="3">
                  <c:v>2019</c:v>
                </c:pt>
                <c:pt idx="4">
                  <c:v>2018</c:v>
                </c:pt>
                <c:pt idx="5">
                  <c:v>2017</c:v>
                </c:pt>
              </c:numCache>
            </c:numRef>
          </c:cat>
          <c:val>
            <c:numRef>
              <c:f>Segments!$D$5:$I$5</c:f>
              <c:numCache>
                <c:formatCode>_-* #,##0.00\ [$CHF-100C]_-;\-* #,##0.00\ [$CHF-100C]_-;_-* "-"??\ [$CHF-100C]_-;_-@_-</c:formatCode>
                <c:ptCount val="6"/>
                <c:pt idx="0">
                  <c:v>472</c:v>
                </c:pt>
                <c:pt idx="1">
                  <c:v>386</c:v>
                </c:pt>
                <c:pt idx="2">
                  <c:v>340</c:v>
                </c:pt>
                <c:pt idx="3">
                  <c:v>753</c:v>
                </c:pt>
                <c:pt idx="4">
                  <c:v>748</c:v>
                </c:pt>
                <c:pt idx="5">
                  <c:v>748</c:v>
                </c:pt>
              </c:numCache>
            </c:numRef>
          </c:val>
          <c:extLst>
            <c:ext xmlns:c16="http://schemas.microsoft.com/office/drawing/2014/chart" uri="{C3380CC4-5D6E-409C-BE32-E72D297353CC}">
              <c16:uniqueId val="{00000020-EEA2-4A70-981E-9372126E0532}"/>
            </c:ext>
          </c:extLst>
        </c:ser>
        <c:ser>
          <c:idx val="2"/>
          <c:order val="1"/>
          <c:tx>
            <c:strRef>
              <c:f>Segments!$C$8</c:f>
              <c:strCache>
                <c:ptCount val="1"/>
                <c:pt idx="0">
                  <c:v>Rest of Asia</c:v>
                </c:pt>
              </c:strCache>
            </c:strRef>
          </c:tx>
          <c:spPr>
            <a:solidFill>
              <a:schemeClr val="accent3"/>
            </a:solidFill>
            <a:ln>
              <a:noFill/>
            </a:ln>
            <a:effectLst/>
          </c:spPr>
          <c:invertIfNegative val="0"/>
          <c:cat>
            <c:numRef>
              <c:f>Segments!$D$4:$I$4</c:f>
              <c:numCache>
                <c:formatCode>General</c:formatCode>
                <c:ptCount val="6"/>
                <c:pt idx="0">
                  <c:v>2022</c:v>
                </c:pt>
                <c:pt idx="1">
                  <c:v>2021</c:v>
                </c:pt>
                <c:pt idx="2">
                  <c:v>2020</c:v>
                </c:pt>
                <c:pt idx="3">
                  <c:v>2019</c:v>
                </c:pt>
                <c:pt idx="4">
                  <c:v>2018</c:v>
                </c:pt>
                <c:pt idx="5">
                  <c:v>2017</c:v>
                </c:pt>
              </c:numCache>
            </c:numRef>
          </c:cat>
          <c:val>
            <c:numRef>
              <c:f>Segments!$D$8:$I$8</c:f>
              <c:numCache>
                <c:formatCode>_-* #,##0.00\ [$CHF-100C]_-;\-* #,##0.00\ [$CHF-100C]_-;_-* "-"??\ [$CHF-100C]_-;_-@_-</c:formatCode>
                <c:ptCount val="6"/>
                <c:pt idx="0">
                  <c:v>1833</c:v>
                </c:pt>
                <c:pt idx="1">
                  <c:v>1535</c:v>
                </c:pt>
                <c:pt idx="2">
                  <c:v>1187</c:v>
                </c:pt>
                <c:pt idx="3">
                  <c:v>2108</c:v>
                </c:pt>
                <c:pt idx="4">
                  <c:v>2127</c:v>
                </c:pt>
                <c:pt idx="5">
                  <c:v>1937</c:v>
                </c:pt>
              </c:numCache>
            </c:numRef>
          </c:val>
          <c:extLst>
            <c:ext xmlns:c16="http://schemas.microsoft.com/office/drawing/2014/chart" uri="{C3380CC4-5D6E-409C-BE32-E72D297353CC}">
              <c16:uniqueId val="{00000022-EEA2-4A70-981E-9372126E0532}"/>
            </c:ext>
          </c:extLst>
        </c:ser>
        <c:ser>
          <c:idx val="3"/>
          <c:order val="2"/>
          <c:tx>
            <c:strRef>
              <c:f>Segments!$C$9</c:f>
              <c:strCache>
                <c:ptCount val="1"/>
                <c:pt idx="0">
                  <c:v>Americas</c:v>
                </c:pt>
              </c:strCache>
            </c:strRef>
          </c:tx>
          <c:spPr>
            <a:solidFill>
              <a:schemeClr val="accent4"/>
            </a:solidFill>
            <a:ln>
              <a:noFill/>
            </a:ln>
            <a:effectLst/>
          </c:spPr>
          <c:invertIfNegative val="0"/>
          <c:cat>
            <c:numRef>
              <c:f>Segments!$D$4:$I$4</c:f>
              <c:numCache>
                <c:formatCode>General</c:formatCode>
                <c:ptCount val="6"/>
                <c:pt idx="0">
                  <c:v>2022</c:v>
                </c:pt>
                <c:pt idx="1">
                  <c:v>2021</c:v>
                </c:pt>
                <c:pt idx="2">
                  <c:v>2020</c:v>
                </c:pt>
                <c:pt idx="3">
                  <c:v>2019</c:v>
                </c:pt>
                <c:pt idx="4">
                  <c:v>2018</c:v>
                </c:pt>
                <c:pt idx="5">
                  <c:v>2017</c:v>
                </c:pt>
              </c:numCache>
            </c:numRef>
          </c:cat>
          <c:val>
            <c:numRef>
              <c:f>Segments!$D$9:$I$9</c:f>
              <c:numCache>
                <c:formatCode>_-* #,##0.00\ [$CHF-100C]_-;\-* #,##0.00\ [$CHF-100C]_-;_-* "-"??\ [$CHF-100C]_-;_-@_-</c:formatCode>
                <c:ptCount val="6"/>
                <c:pt idx="0">
                  <c:v>1140</c:v>
                </c:pt>
                <c:pt idx="1">
                  <c:v>901</c:v>
                </c:pt>
                <c:pt idx="2">
                  <c:v>490</c:v>
                </c:pt>
                <c:pt idx="3">
                  <c:v>707</c:v>
                </c:pt>
                <c:pt idx="4">
                  <c:v>733</c:v>
                </c:pt>
                <c:pt idx="5">
                  <c:v>687</c:v>
                </c:pt>
              </c:numCache>
            </c:numRef>
          </c:val>
          <c:extLst>
            <c:ext xmlns:c16="http://schemas.microsoft.com/office/drawing/2014/chart" uri="{C3380CC4-5D6E-409C-BE32-E72D297353CC}">
              <c16:uniqueId val="{00000024-EEA2-4A70-981E-9372126E0532}"/>
            </c:ext>
          </c:extLst>
        </c:ser>
        <c:ser>
          <c:idx val="4"/>
          <c:order val="3"/>
          <c:tx>
            <c:strRef>
              <c:f>Segments!$C$10</c:f>
              <c:strCache>
                <c:ptCount val="1"/>
                <c:pt idx="0">
                  <c:v>Oceania &amp; Africa</c:v>
                </c:pt>
              </c:strCache>
            </c:strRef>
          </c:tx>
          <c:spPr>
            <a:solidFill>
              <a:schemeClr val="accent5"/>
            </a:solidFill>
            <a:ln>
              <a:noFill/>
            </a:ln>
            <a:effectLst/>
          </c:spPr>
          <c:invertIfNegative val="0"/>
          <c:cat>
            <c:numRef>
              <c:f>Segments!$D$4:$I$4</c:f>
              <c:numCache>
                <c:formatCode>General</c:formatCode>
                <c:ptCount val="6"/>
                <c:pt idx="0">
                  <c:v>2022</c:v>
                </c:pt>
                <c:pt idx="1">
                  <c:v>2021</c:v>
                </c:pt>
                <c:pt idx="2">
                  <c:v>2020</c:v>
                </c:pt>
                <c:pt idx="3">
                  <c:v>2019</c:v>
                </c:pt>
                <c:pt idx="4">
                  <c:v>2018</c:v>
                </c:pt>
                <c:pt idx="5">
                  <c:v>2017</c:v>
                </c:pt>
              </c:numCache>
            </c:numRef>
          </c:cat>
          <c:val>
            <c:numRef>
              <c:f>Segments!$D$10:$I$10</c:f>
              <c:numCache>
                <c:formatCode>_-* #,##0.00\ [$CHF-100C]_-;\-* #,##0.00\ [$CHF-100C]_-;_-* "-"??\ [$CHF-100C]_-;_-@_-</c:formatCode>
                <c:ptCount val="6"/>
                <c:pt idx="0">
                  <c:v>140</c:v>
                </c:pt>
                <c:pt idx="1">
                  <c:v>114</c:v>
                </c:pt>
                <c:pt idx="2">
                  <c:v>93</c:v>
                </c:pt>
                <c:pt idx="3">
                  <c:v>149</c:v>
                </c:pt>
                <c:pt idx="4">
                  <c:v>151</c:v>
                </c:pt>
                <c:pt idx="5">
                  <c:v>136</c:v>
                </c:pt>
              </c:numCache>
            </c:numRef>
          </c:val>
          <c:extLst>
            <c:ext xmlns:c16="http://schemas.microsoft.com/office/drawing/2014/chart" uri="{C3380CC4-5D6E-409C-BE32-E72D297353CC}">
              <c16:uniqueId val="{00000026-EEA2-4A70-981E-9372126E0532}"/>
            </c:ext>
          </c:extLst>
        </c:ser>
        <c:dLbls>
          <c:showLegendKey val="0"/>
          <c:showVal val="0"/>
          <c:showCatName val="0"/>
          <c:showSerName val="0"/>
          <c:showPercent val="0"/>
          <c:showBubbleSize val="0"/>
        </c:dLbls>
        <c:gapWidth val="219"/>
        <c:overlap val="-27"/>
        <c:axId val="1196373672"/>
        <c:axId val="1196380872"/>
      </c:barChart>
      <c:catAx>
        <c:axId val="119637367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380872"/>
        <c:crosses val="autoZero"/>
        <c:auto val="1"/>
        <c:lblAlgn val="ctr"/>
        <c:lblOffset val="100"/>
        <c:noMultiLvlLbl val="0"/>
      </c:catAx>
      <c:valAx>
        <c:axId val="119638087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 [$CHF-100C]_-;\-* #,##0.00\ [$CHF-100C]_-;_-* &quot;-&quot;??\ [$CHF-10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373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layout>
        <c:manualLayout>
          <c:xMode val="edge"/>
          <c:yMode val="edge"/>
          <c:x val="0.24938300622869902"/>
          <c:y val="2.5000000000000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Segments!$C$18</c:f>
              <c:strCache>
                <c:ptCount val="1"/>
                <c:pt idx="0">
                  <c:v>Watches &amp; Jewelry</c:v>
                </c:pt>
              </c:strCache>
            </c:strRef>
          </c:tx>
          <c:spPr>
            <a:solidFill>
              <a:schemeClr val="accent2"/>
            </a:solidFill>
            <a:ln>
              <a:noFill/>
            </a:ln>
            <a:effectLst/>
          </c:spPr>
          <c:invertIfNegative val="0"/>
          <c:cat>
            <c:numRef>
              <c:f>Segments!$D$17:$I$17</c:f>
              <c:numCache>
                <c:formatCode>General</c:formatCode>
                <c:ptCount val="6"/>
                <c:pt idx="0">
                  <c:v>2022</c:v>
                </c:pt>
                <c:pt idx="1">
                  <c:v>2021</c:v>
                </c:pt>
                <c:pt idx="2">
                  <c:v>2020</c:v>
                </c:pt>
                <c:pt idx="3">
                  <c:v>2019</c:v>
                </c:pt>
                <c:pt idx="4">
                  <c:v>2018</c:v>
                </c:pt>
                <c:pt idx="5">
                  <c:v>2017</c:v>
                </c:pt>
              </c:numCache>
            </c:numRef>
          </c:cat>
          <c:val>
            <c:numRef>
              <c:f>Segments!$D$18:$I$18</c:f>
              <c:numCache>
                <c:formatCode>_-* #,##0.00\ [$CHF-100C]_-;\-* #,##0.00\ [$CHF-100C]_-;_-* "-"??\ [$CHF-100C]_-;_-@_-</c:formatCode>
                <c:ptCount val="6"/>
                <c:pt idx="0">
                  <c:v>7141</c:v>
                </c:pt>
                <c:pt idx="1">
                  <c:v>7011</c:v>
                </c:pt>
                <c:pt idx="2">
                  <c:v>5335</c:v>
                </c:pt>
                <c:pt idx="3">
                  <c:v>7965</c:v>
                </c:pt>
                <c:pt idx="4">
                  <c:v>8213</c:v>
                </c:pt>
                <c:pt idx="5">
                  <c:v>7730</c:v>
                </c:pt>
              </c:numCache>
            </c:numRef>
          </c:val>
          <c:extLst>
            <c:ext xmlns:c16="http://schemas.microsoft.com/office/drawing/2014/chart" uri="{C3380CC4-5D6E-409C-BE32-E72D297353CC}">
              <c16:uniqueId val="{0000000C-D114-4C6D-A112-F29E803163CD}"/>
            </c:ext>
          </c:extLst>
        </c:ser>
        <c:ser>
          <c:idx val="2"/>
          <c:order val="1"/>
          <c:tx>
            <c:strRef>
              <c:f>Segments!$C$19</c:f>
              <c:strCache>
                <c:ptCount val="1"/>
                <c:pt idx="0">
                  <c:v>Electronic Systems</c:v>
                </c:pt>
              </c:strCache>
            </c:strRef>
          </c:tx>
          <c:spPr>
            <a:solidFill>
              <a:schemeClr val="accent3"/>
            </a:solidFill>
            <a:ln>
              <a:noFill/>
            </a:ln>
            <a:effectLst/>
          </c:spPr>
          <c:invertIfNegative val="0"/>
          <c:cat>
            <c:numRef>
              <c:f>Segments!$D$17:$I$17</c:f>
              <c:numCache>
                <c:formatCode>General</c:formatCode>
                <c:ptCount val="6"/>
                <c:pt idx="0">
                  <c:v>2022</c:v>
                </c:pt>
                <c:pt idx="1">
                  <c:v>2021</c:v>
                </c:pt>
                <c:pt idx="2">
                  <c:v>2020</c:v>
                </c:pt>
                <c:pt idx="3">
                  <c:v>2019</c:v>
                </c:pt>
                <c:pt idx="4">
                  <c:v>2018</c:v>
                </c:pt>
                <c:pt idx="5">
                  <c:v>2017</c:v>
                </c:pt>
              </c:numCache>
            </c:numRef>
          </c:cat>
          <c:val>
            <c:numRef>
              <c:f>Segments!$D$19:$I$19</c:f>
              <c:numCache>
                <c:formatCode>_-* #,##0.00\ [$CHF-100C]_-;\-* #,##0.00\ [$CHF-100C]_-;_-* "-"??\ [$CHF-100C]_-;_-@_-</c:formatCode>
                <c:ptCount val="6"/>
                <c:pt idx="0">
                  <c:v>353</c:v>
                </c:pt>
                <c:pt idx="1">
                  <c:v>297</c:v>
                </c:pt>
                <c:pt idx="2">
                  <c:v>256</c:v>
                </c:pt>
                <c:pt idx="3">
                  <c:v>273</c:v>
                </c:pt>
                <c:pt idx="4">
                  <c:v>257</c:v>
                </c:pt>
                <c:pt idx="5">
                  <c:v>254</c:v>
                </c:pt>
              </c:numCache>
            </c:numRef>
          </c:val>
          <c:extLst>
            <c:ext xmlns:c16="http://schemas.microsoft.com/office/drawing/2014/chart" uri="{C3380CC4-5D6E-409C-BE32-E72D297353CC}">
              <c16:uniqueId val="{0000000E-D114-4C6D-A112-F29E803163CD}"/>
            </c:ext>
          </c:extLst>
        </c:ser>
        <c:ser>
          <c:idx val="3"/>
          <c:order val="2"/>
          <c:tx>
            <c:strRef>
              <c:f>Segments!#REF!</c:f>
              <c:strCache>
                <c:ptCount val="1"/>
                <c:pt idx="0">
                  <c:v>#REF!</c:v>
                </c:pt>
              </c:strCache>
            </c:strRef>
          </c:tx>
          <c:spPr>
            <a:solidFill>
              <a:schemeClr val="accent4"/>
            </a:solidFill>
            <a:ln>
              <a:noFill/>
            </a:ln>
            <a:effectLst/>
          </c:spPr>
          <c:invertIfNegative val="0"/>
          <c:cat>
            <c:numRef>
              <c:f>Segments!$D$17:$I$17</c:f>
              <c:numCache>
                <c:formatCode>General</c:formatCode>
                <c:ptCount val="6"/>
                <c:pt idx="0">
                  <c:v>2022</c:v>
                </c:pt>
                <c:pt idx="1">
                  <c:v>2021</c:v>
                </c:pt>
                <c:pt idx="2">
                  <c:v>2020</c:v>
                </c:pt>
                <c:pt idx="3">
                  <c:v>2019</c:v>
                </c:pt>
                <c:pt idx="4">
                  <c:v>2018</c:v>
                </c:pt>
                <c:pt idx="5">
                  <c:v>2017</c:v>
                </c:pt>
              </c:numCache>
            </c:numRef>
          </c:cat>
          <c:val>
            <c:numRef>
              <c:f>Segments!#REF!</c:f>
              <c:numCache>
                <c:formatCode>_-* #,##0.00\ [$CHF-100C]_-;\-* #,##0.00\ [$CHF-100C]_-;_-* "-"??\ [$CHF-100C]_-;_-@_-</c:formatCode>
                <c:ptCount val="1"/>
                <c:pt idx="0">
                  <c:v>1</c:v>
                </c:pt>
              </c:numCache>
            </c:numRef>
          </c:val>
          <c:extLst>
            <c:ext xmlns:c16="http://schemas.microsoft.com/office/drawing/2014/chart" uri="{C3380CC4-5D6E-409C-BE32-E72D297353CC}">
              <c16:uniqueId val="{00000010-D114-4C6D-A112-F29E803163CD}"/>
            </c:ext>
          </c:extLst>
        </c:ser>
        <c:ser>
          <c:idx val="4"/>
          <c:order val="3"/>
          <c:tx>
            <c:strRef>
              <c:f>Segments!$C$20</c:f>
              <c:strCache>
                <c:ptCount val="1"/>
                <c:pt idx="0">
                  <c:v>Others</c:v>
                </c:pt>
              </c:strCache>
            </c:strRef>
          </c:tx>
          <c:spPr>
            <a:solidFill>
              <a:schemeClr val="accent5"/>
            </a:solidFill>
            <a:ln>
              <a:noFill/>
            </a:ln>
            <a:effectLst/>
          </c:spPr>
          <c:invertIfNegative val="0"/>
          <c:cat>
            <c:numRef>
              <c:f>Segments!$D$17:$I$17</c:f>
              <c:numCache>
                <c:formatCode>General</c:formatCode>
                <c:ptCount val="6"/>
                <c:pt idx="0">
                  <c:v>2022</c:v>
                </c:pt>
                <c:pt idx="1">
                  <c:v>2021</c:v>
                </c:pt>
                <c:pt idx="2">
                  <c:v>2020</c:v>
                </c:pt>
                <c:pt idx="3">
                  <c:v>2019</c:v>
                </c:pt>
                <c:pt idx="4">
                  <c:v>2018</c:v>
                </c:pt>
                <c:pt idx="5">
                  <c:v>2017</c:v>
                </c:pt>
              </c:numCache>
            </c:numRef>
          </c:cat>
          <c:val>
            <c:numRef>
              <c:f>Segments!$D$20:$I$20</c:f>
              <c:numCache>
                <c:formatCode>_-* #,##0.00\ [$CHF-100C]_-;\-* #,##0.00\ [$CHF-100C]_-;_-* "-"??\ [$CHF-100C]_-;_-@_-</c:formatCode>
                <c:ptCount val="6"/>
                <c:pt idx="0">
                  <c:v>5</c:v>
                </c:pt>
                <c:pt idx="1">
                  <c:v>5</c:v>
                </c:pt>
                <c:pt idx="2">
                  <c:v>4</c:v>
                </c:pt>
                <c:pt idx="3">
                  <c:v>5</c:v>
                </c:pt>
                <c:pt idx="4">
                  <c:v>5</c:v>
                </c:pt>
                <c:pt idx="5">
                  <c:v>5</c:v>
                </c:pt>
              </c:numCache>
            </c:numRef>
          </c:val>
          <c:extLst>
            <c:ext xmlns:c16="http://schemas.microsoft.com/office/drawing/2014/chart" uri="{C3380CC4-5D6E-409C-BE32-E72D297353CC}">
              <c16:uniqueId val="{00000012-D114-4C6D-A112-F29E803163CD}"/>
            </c:ext>
          </c:extLst>
        </c:ser>
        <c:dLbls>
          <c:showLegendKey val="0"/>
          <c:showVal val="0"/>
          <c:showCatName val="0"/>
          <c:showSerName val="0"/>
          <c:showPercent val="0"/>
          <c:showBubbleSize val="0"/>
        </c:dLbls>
        <c:gapWidth val="219"/>
        <c:overlap val="-27"/>
        <c:axId val="892719304"/>
        <c:axId val="892738024"/>
      </c:barChart>
      <c:catAx>
        <c:axId val="89271930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38024"/>
        <c:crosses val="autoZero"/>
        <c:auto val="1"/>
        <c:lblAlgn val="ctr"/>
        <c:lblOffset val="100"/>
        <c:noMultiLvlLbl val="0"/>
      </c:catAx>
      <c:valAx>
        <c:axId val="892738024"/>
        <c:scaling>
          <c:orientation val="minMax"/>
        </c:scaling>
        <c:delete val="0"/>
        <c:axPos val="r"/>
        <c:majorGridlines>
          <c:spPr>
            <a:ln w="9525" cap="flat" cmpd="sng" algn="ctr">
              <a:solidFill>
                <a:schemeClr val="tx1">
                  <a:lumMod val="15000"/>
                  <a:lumOff val="85000"/>
                </a:schemeClr>
              </a:solidFill>
              <a:round/>
            </a:ln>
            <a:effectLst/>
          </c:spPr>
        </c:majorGridlines>
        <c:numFmt formatCode="_-* #,##0.00\ [$CHF-100C]_-;\-* #,##0.00\ [$CHF-100C]_-;_-* &quot;-&quot;??\ [$CHF-10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719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chart" Target="../charts/chart4.xml"/><Relationship Id="rId4" Type="http://schemas.openxmlformats.org/officeDocument/2006/relationships/image" Target="../media/image5.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17</xdr:row>
      <xdr:rowOff>1772</xdr:rowOff>
    </xdr:to>
    <xdr:sp macro="" textlink="">
      <xdr:nvSpPr>
        <xdr:cNvPr id="2096" name="AutoShape 48" descr="Resultado de imagen para heidelbergcement">
          <a:extLst>
            <a:ext uri="{FF2B5EF4-FFF2-40B4-BE49-F238E27FC236}">
              <a16:creationId xmlns:a16="http://schemas.microsoft.com/office/drawing/2014/main" id="{00000000-0008-0000-0000-000030080000}"/>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1772</xdr:rowOff>
    </xdr:to>
    <xdr:sp macro="" textlink="">
      <xdr:nvSpPr>
        <xdr:cNvPr id="2097" name="AutoShape 49" descr="Resultado de imagen para heidelbergcement">
          <a:extLst>
            <a:ext uri="{FF2B5EF4-FFF2-40B4-BE49-F238E27FC236}">
              <a16:creationId xmlns:a16="http://schemas.microsoft.com/office/drawing/2014/main" id="{00000000-0008-0000-0000-000031080000}"/>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1772</xdr:rowOff>
    </xdr:to>
    <xdr:sp macro="" textlink="">
      <xdr:nvSpPr>
        <xdr:cNvPr id="9" name="AutoShape 48" descr="Resultado de imagen para heidelbergcement">
          <a:extLst>
            <a:ext uri="{FF2B5EF4-FFF2-40B4-BE49-F238E27FC236}">
              <a16:creationId xmlns:a16="http://schemas.microsoft.com/office/drawing/2014/main" id="{00000000-0008-0000-0000-00000900000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00000000-0008-0000-0000-00000B000000}"/>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00000000-0008-0000-0000-00000C000000}"/>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123825</xdr:colOff>
      <xdr:row>7</xdr:row>
      <xdr:rowOff>123825</xdr:rowOff>
    </xdr:from>
    <xdr:to>
      <xdr:col>2</xdr:col>
      <xdr:colOff>1162050</xdr:colOff>
      <xdr:row>9</xdr:row>
      <xdr:rowOff>180340</xdr:rowOff>
    </xdr:to>
    <xdr:pic>
      <xdr:nvPicPr>
        <xdr:cNvPr id="3" name="Imagem 2">
          <a:extLst>
            <a:ext uri="{FF2B5EF4-FFF2-40B4-BE49-F238E27FC236}">
              <a16:creationId xmlns:a16="http://schemas.microsoft.com/office/drawing/2014/main" id="{38854136-1E28-80B2-C8BA-11C0C9CC2928}"/>
            </a:ext>
            <a:ext uri="{147F2762-F138-4A5C-976F-8EAC2B608ADB}">
              <a16:predDERef xmlns:a16="http://schemas.microsoft.com/office/drawing/2014/main" pred="{00000000-0008-0000-0000-00000C000000}"/>
            </a:ext>
          </a:extLst>
        </xdr:cNvPr>
        <xdr:cNvPicPr>
          <a:picLocks noChangeAspect="1"/>
        </xdr:cNvPicPr>
      </xdr:nvPicPr>
      <xdr:blipFill>
        <a:blip xmlns:r="http://schemas.openxmlformats.org/officeDocument/2006/relationships" r:embed="rId1"/>
        <a:stretch>
          <a:fillRect/>
        </a:stretch>
      </xdr:blipFill>
      <xdr:spPr>
        <a:xfrm>
          <a:off x="152400" y="1581150"/>
          <a:ext cx="2695575" cy="399415"/>
        </a:xfrm>
        <a:prstGeom prst="rect">
          <a:avLst/>
        </a:prstGeom>
      </xdr:spPr>
    </xdr:pic>
    <xdr:clientData/>
  </xdr:twoCellAnchor>
  <xdr:twoCellAnchor editAs="oneCell">
    <xdr:from>
      <xdr:col>7</xdr:col>
      <xdr:colOff>542925</xdr:colOff>
      <xdr:row>83</xdr:row>
      <xdr:rowOff>95250</xdr:rowOff>
    </xdr:from>
    <xdr:to>
      <xdr:col>11</xdr:col>
      <xdr:colOff>1245870</xdr:colOff>
      <xdr:row>101</xdr:row>
      <xdr:rowOff>123825</xdr:rowOff>
    </xdr:to>
    <xdr:pic>
      <xdr:nvPicPr>
        <xdr:cNvPr id="14" name="Imagem 3">
          <a:extLst>
            <a:ext uri="{FF2B5EF4-FFF2-40B4-BE49-F238E27FC236}">
              <a16:creationId xmlns:a16="http://schemas.microsoft.com/office/drawing/2014/main" id="{129AE2D0-69AD-B220-4644-0A6EF7F8F482}"/>
            </a:ext>
            <a:ext uri="{147F2762-F138-4A5C-976F-8EAC2B608ADB}">
              <a16:predDERef xmlns:a16="http://schemas.microsoft.com/office/drawing/2014/main" pred="{38854136-1E28-80B2-C8BA-11C0C9CC2928}"/>
            </a:ext>
          </a:extLst>
        </xdr:cNvPr>
        <xdr:cNvPicPr>
          <a:picLocks noChangeAspect="1"/>
        </xdr:cNvPicPr>
      </xdr:nvPicPr>
      <xdr:blipFill>
        <a:blip xmlns:r="http://schemas.openxmlformats.org/officeDocument/2006/relationships" r:embed="rId2"/>
        <a:stretch>
          <a:fillRect/>
        </a:stretch>
      </xdr:blipFill>
      <xdr:spPr>
        <a:xfrm>
          <a:off x="9725025" y="15344775"/>
          <a:ext cx="5467350" cy="3143250"/>
        </a:xfrm>
        <a:prstGeom prst="rect">
          <a:avLst/>
        </a:prstGeom>
      </xdr:spPr>
    </xdr:pic>
    <xdr:clientData/>
  </xdr:twoCellAnchor>
  <xdr:twoCellAnchor editAs="oneCell">
    <xdr:from>
      <xdr:col>1</xdr:col>
      <xdr:colOff>47625</xdr:colOff>
      <xdr:row>89</xdr:row>
      <xdr:rowOff>0</xdr:rowOff>
    </xdr:from>
    <xdr:to>
      <xdr:col>5</xdr:col>
      <xdr:colOff>1000125</xdr:colOff>
      <xdr:row>99</xdr:row>
      <xdr:rowOff>38100</xdr:rowOff>
    </xdr:to>
    <xdr:pic>
      <xdr:nvPicPr>
        <xdr:cNvPr id="5" name="Imagem 6">
          <a:extLst>
            <a:ext uri="{FF2B5EF4-FFF2-40B4-BE49-F238E27FC236}">
              <a16:creationId xmlns:a16="http://schemas.microsoft.com/office/drawing/2014/main" id="{29C786A4-636F-362D-A34B-F2DC14946AA4}"/>
            </a:ext>
            <a:ext uri="{147F2762-F138-4A5C-976F-8EAC2B608ADB}">
              <a16:predDERef xmlns:a16="http://schemas.microsoft.com/office/drawing/2014/main" pred="{129AE2D0-69AD-B220-4644-0A6EF7F8F482}"/>
            </a:ext>
          </a:extLst>
        </xdr:cNvPr>
        <xdr:cNvPicPr>
          <a:picLocks noChangeAspect="1"/>
        </xdr:cNvPicPr>
      </xdr:nvPicPr>
      <xdr:blipFill>
        <a:blip xmlns:r="http://schemas.openxmlformats.org/officeDocument/2006/relationships" r:embed="rId3"/>
        <a:stretch>
          <a:fillRect/>
        </a:stretch>
      </xdr:blipFill>
      <xdr:spPr>
        <a:xfrm>
          <a:off x="76200" y="16402050"/>
          <a:ext cx="7667625" cy="1666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9525</xdr:colOff>
      <xdr:row>23</xdr:row>
      <xdr:rowOff>0</xdr:rowOff>
    </xdr:from>
    <xdr:to>
      <xdr:col>11</xdr:col>
      <xdr:colOff>657225</xdr:colOff>
      <xdr:row>28</xdr:row>
      <xdr:rowOff>695325</xdr:rowOff>
    </xdr:to>
    <xdr:graphicFrame macro="">
      <xdr:nvGraphicFramePr>
        <xdr:cNvPr id="5" name="Chart 4">
          <a:extLst>
            <a:ext uri="{FF2B5EF4-FFF2-40B4-BE49-F238E27FC236}">
              <a16:creationId xmlns:a16="http://schemas.microsoft.com/office/drawing/2014/main" id="{00000000-0008-0000-0100-000005000000}"/>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638175</xdr:colOff>
      <xdr:row>23</xdr:row>
      <xdr:rowOff>0</xdr:rowOff>
    </xdr:from>
    <xdr:to>
      <xdr:col>15</xdr:col>
      <xdr:colOff>752475</xdr:colOff>
      <xdr:row>28</xdr:row>
      <xdr:rowOff>695325</xdr:rowOff>
    </xdr:to>
    <xdr:graphicFrame macro="">
      <xdr:nvGraphicFramePr>
        <xdr:cNvPr id="6" name="Chart 5">
          <a:extLst>
            <a:ext uri="{FF2B5EF4-FFF2-40B4-BE49-F238E27FC236}">
              <a16:creationId xmlns:a16="http://schemas.microsoft.com/office/drawing/2014/main" id="{00000000-0008-0000-0100-000006000000}"/>
            </a:ext>
            <a:ext uri="{147F2762-F138-4A5C-976F-8EAC2B608ADB}">
              <a16:predDERef xmlns:a16="http://schemas.microsoft.com/office/drawing/2014/main" pre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638175</xdr:colOff>
      <xdr:row>22</xdr:row>
      <xdr:rowOff>247650</xdr:rowOff>
    </xdr:from>
    <xdr:to>
      <xdr:col>11</xdr:col>
      <xdr:colOff>647700</xdr:colOff>
      <xdr:row>29</xdr:row>
      <xdr:rowOff>0</xdr:rowOff>
    </xdr:to>
    <xdr:cxnSp macro="">
      <xdr:nvCxnSpPr>
        <xdr:cNvPr id="2" name="Straight Connector 1">
          <a:extLst>
            <a:ext uri="{FF2B5EF4-FFF2-40B4-BE49-F238E27FC236}">
              <a16:creationId xmlns:a16="http://schemas.microsoft.com/office/drawing/2014/main" id="{00000000-0008-0000-0100-000002000000}"/>
            </a:ext>
            <a:ext uri="{147F2762-F138-4A5C-976F-8EAC2B608ADB}">
              <a16:predDERef xmlns:a16="http://schemas.microsoft.com/office/drawing/2014/main" pred="{1471EB7D-83EE-43B1-6F3B-DAB93ADF05E3}"/>
            </a:ext>
          </a:extLst>
        </xdr:cNvPr>
        <xdr:cNvCxnSpPr>
          <a:cxnSpLocks/>
        </xdr:cNvCxnSpPr>
      </xdr:nvCxnSpPr>
      <xdr:spPr bwMode="auto">
        <a:xfrm>
          <a:off x="12077700" y="350520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476250</xdr:colOff>
      <xdr:row>42</xdr:row>
      <xdr:rowOff>85725</xdr:rowOff>
    </xdr:from>
    <xdr:to>
      <xdr:col>14</xdr:col>
      <xdr:colOff>238125</xdr:colOff>
      <xdr:row>45</xdr:row>
      <xdr:rowOff>9525</xdr:rowOff>
    </xdr:to>
    <xdr:sp macro="" textlink="">
      <xdr:nvSpPr>
        <xdr:cNvPr id="32" name="Rectangle 9">
          <a:extLst>
            <a:ext uri="{FF2B5EF4-FFF2-40B4-BE49-F238E27FC236}">
              <a16:creationId xmlns:a16="http://schemas.microsoft.com/office/drawing/2014/main" id="{00000000-0008-0000-0100-000020000000}"/>
            </a:ext>
            <a:ext uri="{147F2762-F138-4A5C-976F-8EAC2B608ADB}">
              <a16:predDERef xmlns:a16="http://schemas.microsoft.com/office/drawing/2014/main" pred="{9A7F258B-F9AD-6876-BB0C-F39E8E2CB6BB}"/>
            </a:ext>
          </a:extLst>
        </xdr:cNvPr>
        <xdr:cNvSpPr/>
      </xdr:nvSpPr>
      <xdr:spPr bwMode="auto">
        <a:xfrm>
          <a:off x="12677775" y="8486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35</xdr:col>
      <xdr:colOff>19050</xdr:colOff>
      <xdr:row>61</xdr:row>
      <xdr:rowOff>66675</xdr:rowOff>
    </xdr:from>
    <xdr:to>
      <xdr:col>36</xdr:col>
      <xdr:colOff>209550</xdr:colOff>
      <xdr:row>67</xdr:row>
      <xdr:rowOff>47625</xdr:rowOff>
    </xdr:to>
    <xdr:sp macro="" textlink="">
      <xdr:nvSpPr>
        <xdr:cNvPr id="4" name="Rectangle 17">
          <a:extLst>
            <a:ext uri="{FF2B5EF4-FFF2-40B4-BE49-F238E27FC236}">
              <a16:creationId xmlns:a16="http://schemas.microsoft.com/office/drawing/2014/main" id="{00000000-0008-0000-0100-000057000000}"/>
            </a:ext>
            <a:ext uri="{147F2762-F138-4A5C-976F-8EAC2B608ADB}">
              <a16:predDERef xmlns:a16="http://schemas.microsoft.com/office/drawing/2014/main" pred="{00000000-0008-0000-0100-000020000000}"/>
            </a:ext>
          </a:extLst>
        </xdr:cNvPr>
        <xdr:cNvSpPr/>
      </xdr:nvSpPr>
      <xdr:spPr bwMode="auto">
        <a:xfrm>
          <a:off x="30546675" y="121062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16</xdr:col>
      <xdr:colOff>19050</xdr:colOff>
      <xdr:row>21</xdr:row>
      <xdr:rowOff>0</xdr:rowOff>
    </xdr:from>
    <xdr:to>
      <xdr:col>19</xdr:col>
      <xdr:colOff>552450</xdr:colOff>
      <xdr:row>29</xdr:row>
      <xdr:rowOff>19050</xdr:rowOff>
    </xdr:to>
    <xdr:pic>
      <xdr:nvPicPr>
        <xdr:cNvPr id="13" name="Picture 7">
          <a:extLst>
            <a:ext uri="{FF2B5EF4-FFF2-40B4-BE49-F238E27FC236}">
              <a16:creationId xmlns:a16="http://schemas.microsoft.com/office/drawing/2014/main" id="{DC749471-FA62-999D-FDB6-145E8D9D6A0D}"/>
            </a:ext>
            <a:ext uri="{147F2762-F138-4A5C-976F-8EAC2B608ADB}">
              <a16:predDERef xmlns:a16="http://schemas.microsoft.com/office/drawing/2014/main" pred="{00000000-0008-0000-0100-000057000000}"/>
            </a:ext>
          </a:extLst>
        </xdr:cNvPr>
        <xdr:cNvPicPr>
          <a:picLocks noChangeAspect="1"/>
        </xdr:cNvPicPr>
      </xdr:nvPicPr>
      <xdr:blipFill>
        <a:blip xmlns:r="http://schemas.openxmlformats.org/officeDocument/2006/relationships" r:embed="rId3"/>
        <a:stretch>
          <a:fillRect/>
        </a:stretch>
      </xdr:blipFill>
      <xdr:spPr>
        <a:xfrm>
          <a:off x="15268575" y="3228975"/>
          <a:ext cx="3619500" cy="3086100"/>
        </a:xfrm>
        <a:prstGeom prst="rect">
          <a:avLst/>
        </a:prstGeom>
      </xdr:spPr>
    </xdr:pic>
    <xdr:clientData/>
  </xdr:twoCellAnchor>
  <xdr:twoCellAnchor editAs="oneCell">
    <xdr:from>
      <xdr:col>20</xdr:col>
      <xdr:colOff>9525</xdr:colOff>
      <xdr:row>2</xdr:row>
      <xdr:rowOff>38100</xdr:rowOff>
    </xdr:from>
    <xdr:to>
      <xdr:col>24</xdr:col>
      <xdr:colOff>723900</xdr:colOff>
      <xdr:row>22</xdr:row>
      <xdr:rowOff>136525</xdr:rowOff>
    </xdr:to>
    <xdr:pic>
      <xdr:nvPicPr>
        <xdr:cNvPr id="3" name="Picture 2">
          <a:extLst>
            <a:ext uri="{FF2B5EF4-FFF2-40B4-BE49-F238E27FC236}">
              <a16:creationId xmlns:a16="http://schemas.microsoft.com/office/drawing/2014/main" id="{B0279D5B-3B66-A127-9D63-7979379FC4F5}"/>
            </a:ext>
            <a:ext uri="{147F2762-F138-4A5C-976F-8EAC2B608ADB}">
              <a16:predDERef xmlns:a16="http://schemas.microsoft.com/office/drawing/2014/main" pred="{8C0E5A3C-4CDB-FDE1-BDF0-55B0D67F4D6C}"/>
            </a:ext>
          </a:extLst>
        </xdr:cNvPr>
        <xdr:cNvPicPr>
          <a:picLocks noChangeAspect="1"/>
        </xdr:cNvPicPr>
      </xdr:nvPicPr>
      <xdr:blipFill>
        <a:blip xmlns:r="http://schemas.openxmlformats.org/officeDocument/2006/relationships" r:embed="rId4"/>
        <a:stretch>
          <a:fillRect/>
        </a:stretch>
      </xdr:blipFill>
      <xdr:spPr>
        <a:xfrm>
          <a:off x="19107150" y="400050"/>
          <a:ext cx="3762375" cy="3295650"/>
        </a:xfrm>
        <a:prstGeom prst="rect">
          <a:avLst/>
        </a:prstGeom>
      </xdr:spPr>
    </xdr:pic>
    <xdr:clientData/>
  </xdr:twoCellAnchor>
  <xdr:twoCellAnchor editAs="oneCell">
    <xdr:from>
      <xdr:col>16</xdr:col>
      <xdr:colOff>19050</xdr:colOff>
      <xdr:row>2</xdr:row>
      <xdr:rowOff>0</xdr:rowOff>
    </xdr:from>
    <xdr:to>
      <xdr:col>19</xdr:col>
      <xdr:colOff>552450</xdr:colOff>
      <xdr:row>22</xdr:row>
      <xdr:rowOff>79375</xdr:rowOff>
    </xdr:to>
    <xdr:pic>
      <xdr:nvPicPr>
        <xdr:cNvPr id="7" name="Picture 3">
          <a:extLst>
            <a:ext uri="{FF2B5EF4-FFF2-40B4-BE49-F238E27FC236}">
              <a16:creationId xmlns:a16="http://schemas.microsoft.com/office/drawing/2014/main" id="{FB98DB7E-DBED-662F-3B4C-ACB122B6111F}"/>
            </a:ext>
            <a:ext uri="{147F2762-F138-4A5C-976F-8EAC2B608ADB}">
              <a16:predDERef xmlns:a16="http://schemas.microsoft.com/office/drawing/2014/main" pred="{B0279D5B-3B66-A127-9D63-7979379FC4F5}"/>
            </a:ext>
          </a:extLst>
        </xdr:cNvPr>
        <xdr:cNvPicPr>
          <a:picLocks noChangeAspect="1"/>
        </xdr:cNvPicPr>
      </xdr:nvPicPr>
      <xdr:blipFill>
        <a:blip xmlns:r="http://schemas.openxmlformats.org/officeDocument/2006/relationships" r:embed="rId5"/>
        <a:stretch>
          <a:fillRect/>
        </a:stretch>
      </xdr:blipFill>
      <xdr:spPr>
        <a:xfrm>
          <a:off x="15268575" y="352425"/>
          <a:ext cx="3619500" cy="3251200"/>
        </a:xfrm>
        <a:prstGeom prst="rect">
          <a:avLst/>
        </a:prstGeom>
      </xdr:spPr>
    </xdr:pic>
    <xdr:clientData/>
  </xdr:twoCellAnchor>
  <xdr:twoCellAnchor editAs="oneCell">
    <xdr:from>
      <xdr:col>19</xdr:col>
      <xdr:colOff>419100</xdr:colOff>
      <xdr:row>2</xdr:row>
      <xdr:rowOff>0</xdr:rowOff>
    </xdr:from>
    <xdr:to>
      <xdr:col>24</xdr:col>
      <xdr:colOff>733425</xdr:colOff>
      <xdr:row>22</xdr:row>
      <xdr:rowOff>146050</xdr:rowOff>
    </xdr:to>
    <xdr:pic>
      <xdr:nvPicPr>
        <xdr:cNvPr id="17" name="Picture 7">
          <a:extLst>
            <a:ext uri="{FF2B5EF4-FFF2-40B4-BE49-F238E27FC236}">
              <a16:creationId xmlns:a16="http://schemas.microsoft.com/office/drawing/2014/main" id="{54240534-1020-AE97-41ED-EDF32055A913}"/>
            </a:ext>
            <a:ext uri="{147F2762-F138-4A5C-976F-8EAC2B608ADB}">
              <a16:predDERef xmlns:a16="http://schemas.microsoft.com/office/drawing/2014/main" pred="{FB98DB7E-DBED-662F-3B4C-ACB122B6111F}"/>
            </a:ext>
          </a:extLst>
        </xdr:cNvPr>
        <xdr:cNvPicPr>
          <a:picLocks noChangeAspect="1"/>
        </xdr:cNvPicPr>
      </xdr:nvPicPr>
      <xdr:blipFill>
        <a:blip xmlns:r="http://schemas.openxmlformats.org/officeDocument/2006/relationships" r:embed="rId6"/>
        <a:stretch>
          <a:fillRect/>
        </a:stretch>
      </xdr:blipFill>
      <xdr:spPr>
        <a:xfrm>
          <a:off x="18754725" y="352425"/>
          <a:ext cx="4124325" cy="3317875"/>
        </a:xfrm>
        <a:prstGeom prst="rect">
          <a:avLst/>
        </a:prstGeom>
      </xdr:spPr>
    </xdr:pic>
    <xdr:clientData/>
  </xdr:twoCellAnchor>
  <xdr:twoCellAnchor editAs="oneCell">
    <xdr:from>
      <xdr:col>19</xdr:col>
      <xdr:colOff>419100</xdr:colOff>
      <xdr:row>21</xdr:row>
      <xdr:rowOff>19050</xdr:rowOff>
    </xdr:from>
    <xdr:to>
      <xdr:col>24</xdr:col>
      <xdr:colOff>733425</xdr:colOff>
      <xdr:row>29</xdr:row>
      <xdr:rowOff>19050</xdr:rowOff>
    </xdr:to>
    <xdr:pic>
      <xdr:nvPicPr>
        <xdr:cNvPr id="12" name="Picture 8">
          <a:extLst>
            <a:ext uri="{FF2B5EF4-FFF2-40B4-BE49-F238E27FC236}">
              <a16:creationId xmlns:a16="http://schemas.microsoft.com/office/drawing/2014/main" id="{BD6D3218-62FE-6ED1-8FE1-E500133C2EB6}"/>
            </a:ext>
            <a:ext uri="{147F2762-F138-4A5C-976F-8EAC2B608ADB}">
              <a16:predDERef xmlns:a16="http://schemas.microsoft.com/office/drawing/2014/main" pred="{54240534-1020-AE97-41ED-EDF32055A913}"/>
            </a:ext>
          </a:extLst>
        </xdr:cNvPr>
        <xdr:cNvPicPr>
          <a:picLocks noChangeAspect="1"/>
        </xdr:cNvPicPr>
      </xdr:nvPicPr>
      <xdr:blipFill>
        <a:blip xmlns:r="http://schemas.openxmlformats.org/officeDocument/2006/relationships" r:embed="rId7"/>
        <a:stretch>
          <a:fillRect/>
        </a:stretch>
      </xdr:blipFill>
      <xdr:spPr>
        <a:xfrm>
          <a:off x="18754725" y="3248025"/>
          <a:ext cx="4124325" cy="3067050"/>
        </a:xfrm>
        <a:prstGeom prst="rect">
          <a:avLst/>
        </a:prstGeom>
      </xdr:spPr>
    </xdr:pic>
    <xdr:clientData/>
  </xdr:twoCellAnchor>
  <xdr:twoCellAnchor editAs="oneCell">
    <xdr:from>
      <xdr:col>9</xdr:col>
      <xdr:colOff>152400</xdr:colOff>
      <xdr:row>33</xdr:row>
      <xdr:rowOff>428625</xdr:rowOff>
    </xdr:from>
    <xdr:to>
      <xdr:col>16</xdr:col>
      <xdr:colOff>1304925</xdr:colOff>
      <xdr:row>51</xdr:row>
      <xdr:rowOff>38100</xdr:rowOff>
    </xdr:to>
    <xdr:pic>
      <xdr:nvPicPr>
        <xdr:cNvPr id="19" name="Picture 7">
          <a:extLst>
            <a:ext uri="{FF2B5EF4-FFF2-40B4-BE49-F238E27FC236}">
              <a16:creationId xmlns:a16="http://schemas.microsoft.com/office/drawing/2014/main" id="{B8507E34-34FD-8890-C579-E90E7E15719B}"/>
            </a:ext>
            <a:ext uri="{147F2762-F138-4A5C-976F-8EAC2B608ADB}">
              <a16:predDERef xmlns:a16="http://schemas.microsoft.com/office/drawing/2014/main" pred="{BD6D3218-62FE-6ED1-8FE1-E500133C2EB6}"/>
            </a:ext>
          </a:extLst>
        </xdr:cNvPr>
        <xdr:cNvPicPr>
          <a:picLocks noChangeAspect="1"/>
        </xdr:cNvPicPr>
      </xdr:nvPicPr>
      <xdr:blipFill>
        <a:blip xmlns:r="http://schemas.openxmlformats.org/officeDocument/2006/relationships" r:embed="rId8"/>
        <a:stretch>
          <a:fillRect/>
        </a:stretch>
      </xdr:blipFill>
      <xdr:spPr>
        <a:xfrm>
          <a:off x="10067925" y="7820025"/>
          <a:ext cx="6486525" cy="3248025"/>
        </a:xfrm>
        <a:prstGeom prst="rect">
          <a:avLst/>
        </a:prstGeom>
      </xdr:spPr>
    </xdr:pic>
    <xdr:clientData/>
  </xdr:twoCellAnchor>
  <xdr:twoCellAnchor>
    <xdr:from>
      <xdr:col>11</xdr:col>
      <xdr:colOff>638175</xdr:colOff>
      <xdr:row>23</xdr:row>
      <xdr:rowOff>0</xdr:rowOff>
    </xdr:from>
    <xdr:to>
      <xdr:col>15</xdr:col>
      <xdr:colOff>742950</xdr:colOff>
      <xdr:row>28</xdr:row>
      <xdr:rowOff>695325</xdr:rowOff>
    </xdr:to>
    <xdr:graphicFrame macro="">
      <xdr:nvGraphicFramePr>
        <xdr:cNvPr id="8" name="Chart 7">
          <a:extLst>
            <a:ext uri="{FF2B5EF4-FFF2-40B4-BE49-F238E27FC236}">
              <a16:creationId xmlns:a16="http://schemas.microsoft.com/office/drawing/2014/main" id="{08A68904-7A5B-0CCD-8F12-100089DA1418}"/>
            </a:ext>
            <a:ext uri="{147F2762-F138-4A5C-976F-8EAC2B608ADB}">
              <a16:predDERef xmlns:a16="http://schemas.microsoft.com/office/drawing/2014/main" pred="{B8507E34-34FD-8890-C579-E90E7E157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19050</xdr:colOff>
      <xdr:row>23</xdr:row>
      <xdr:rowOff>9525</xdr:rowOff>
    </xdr:from>
    <xdr:to>
      <xdr:col>11</xdr:col>
      <xdr:colOff>657225</xdr:colOff>
      <xdr:row>28</xdr:row>
      <xdr:rowOff>695325</xdr:rowOff>
    </xdr:to>
    <xdr:graphicFrame macro="">
      <xdr:nvGraphicFramePr>
        <xdr:cNvPr id="20" name="Chart 10">
          <a:extLst>
            <a:ext uri="{FF2B5EF4-FFF2-40B4-BE49-F238E27FC236}">
              <a16:creationId xmlns:a16="http://schemas.microsoft.com/office/drawing/2014/main" id="{D66613CA-D3C6-3E9F-31C1-422DE2718235}"/>
            </a:ext>
            <a:ext uri="{147F2762-F138-4A5C-976F-8EAC2B608ADB}">
              <a16:predDERef xmlns:a16="http://schemas.microsoft.com/office/drawing/2014/main" pred="{08A68904-7A5B-0CCD-8F12-100089DA1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581025</xdr:colOff>
      <xdr:row>32</xdr:row>
      <xdr:rowOff>38100</xdr:rowOff>
    </xdr:from>
    <xdr:to>
      <xdr:col>16</xdr:col>
      <xdr:colOff>76200</xdr:colOff>
      <xdr:row>32</xdr:row>
      <xdr:rowOff>352425</xdr:rowOff>
    </xdr:to>
    <xdr:sp macro="" textlink="">
      <xdr:nvSpPr>
        <xdr:cNvPr id="11" name="TextBox 11">
          <a:extLst>
            <a:ext uri="{FF2B5EF4-FFF2-40B4-BE49-F238E27FC236}">
              <a16:creationId xmlns:a16="http://schemas.microsoft.com/office/drawing/2014/main" id="{1CBE3132-D3F5-EE1C-4E16-F13C9D58A0EE}"/>
            </a:ext>
            <a:ext uri="{147F2762-F138-4A5C-976F-8EAC2B608ADB}">
              <a16:predDERef xmlns:a16="http://schemas.microsoft.com/office/drawing/2014/main" pred="{D66613CA-D3C6-3E9F-31C1-422DE2718235}"/>
            </a:ext>
          </a:extLst>
        </xdr:cNvPr>
        <xdr:cNvSpPr txBox="1"/>
      </xdr:nvSpPr>
      <xdr:spPr>
        <a:xfrm>
          <a:off x="11258550" y="6810375"/>
          <a:ext cx="4067175" cy="3143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ctr"/>
          <a:r>
            <a:rPr lang="en-US" sz="1400" b="1" i="0" u="none" strike="noStrike">
              <a:solidFill>
                <a:schemeClr val="tx1">
                  <a:lumMod val="50000"/>
                  <a:lumOff val="50000"/>
                </a:schemeClr>
              </a:solidFill>
              <a:latin typeface="Calibri" panose="020F0502020204030204" pitchFamily="34" charset="0"/>
              <a:cs typeface="Calibri" panose="020F0502020204030204" pitchFamily="34" charset="0"/>
            </a:rPr>
            <a:t>Total Revenue of Luxury Watch Market</a:t>
          </a:r>
        </a:p>
      </xdr:txBody>
    </xdr:sp>
    <xdr:clientData/>
  </xdr:twoCellAnchor>
  <xdr:twoCellAnchor>
    <xdr:from>
      <xdr:col>16</xdr:col>
      <xdr:colOff>142875</xdr:colOff>
      <xdr:row>52</xdr:row>
      <xdr:rowOff>28575</xdr:rowOff>
    </xdr:from>
    <xdr:to>
      <xdr:col>16</xdr:col>
      <xdr:colOff>1371600</xdr:colOff>
      <xdr:row>52</xdr:row>
      <xdr:rowOff>219075</xdr:rowOff>
    </xdr:to>
    <xdr:sp macro="" textlink="">
      <xdr:nvSpPr>
        <xdr:cNvPr id="9" name="TextBox 8">
          <a:extLst>
            <a:ext uri="{FF2B5EF4-FFF2-40B4-BE49-F238E27FC236}">
              <a16:creationId xmlns:a16="http://schemas.microsoft.com/office/drawing/2014/main" id="{EDB382B0-96F3-4A2D-B3A4-D20E108C4170}"/>
            </a:ext>
            <a:ext uri="{147F2762-F138-4A5C-976F-8EAC2B608ADB}">
              <a16:predDERef xmlns:a16="http://schemas.microsoft.com/office/drawing/2014/main" pred="{1CBE3132-D3F5-EE1C-4E16-F13C9D58A0EE}"/>
            </a:ext>
          </a:extLst>
        </xdr:cNvPr>
        <xdr:cNvSpPr txBox="1"/>
      </xdr:nvSpPr>
      <xdr:spPr>
        <a:xfrm>
          <a:off x="15392400" y="11010900"/>
          <a:ext cx="1228725" cy="1905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200" b="0" i="0" u="none" strike="noStrike">
              <a:solidFill>
                <a:schemeClr val="tx1">
                  <a:lumMod val="50000"/>
                  <a:lumOff val="50000"/>
                </a:schemeClr>
              </a:solidFill>
              <a:latin typeface="Calibri" panose="020F0502020204030204" pitchFamily="34" charset="0"/>
              <a:cs typeface="Calibri" panose="020F0502020204030204" pitchFamily="34" charset="0"/>
            </a:rPr>
            <a:t>Source: Statista</a:t>
          </a:r>
        </a:p>
      </xdr:txBody>
    </xdr:sp>
    <xdr:clientData/>
  </xdr:twoCellAnchor>
  <xdr:twoCellAnchor>
    <xdr:from>
      <xdr:col>1</xdr:col>
      <xdr:colOff>180975</xdr:colOff>
      <xdr:row>32</xdr:row>
      <xdr:rowOff>28575</xdr:rowOff>
    </xdr:from>
    <xdr:to>
      <xdr:col>1</xdr:col>
      <xdr:colOff>514350</xdr:colOff>
      <xdr:row>32</xdr:row>
      <xdr:rowOff>371475</xdr:rowOff>
    </xdr:to>
    <xdr:sp macro="" textlink="">
      <xdr:nvSpPr>
        <xdr:cNvPr id="14" name="Plus 13">
          <a:extLst>
            <a:ext uri="{FF2B5EF4-FFF2-40B4-BE49-F238E27FC236}">
              <a16:creationId xmlns:a16="http://schemas.microsoft.com/office/drawing/2014/main" id="{85A480D3-E3AC-69FB-9ADF-32EFC982BD0A}"/>
            </a:ext>
            <a:ext uri="{147F2762-F138-4A5C-976F-8EAC2B608ADB}">
              <a16:predDERef xmlns:a16="http://schemas.microsoft.com/office/drawing/2014/main" pred="{EDB382B0-96F3-4A2D-B3A4-D20E108C4170}"/>
            </a:ext>
          </a:extLst>
        </xdr:cNvPr>
        <xdr:cNvSpPr/>
      </xdr:nvSpPr>
      <xdr:spPr bwMode="auto">
        <a:xfrm>
          <a:off x="323850" y="6800850"/>
          <a:ext cx="333375" cy="342900"/>
        </a:xfrm>
        <a:prstGeom prst="mathPlus">
          <a:avLst/>
        </a:prstGeom>
        <a:solidFill>
          <a:srgbClr val="CEF531"/>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1</xdr:col>
      <xdr:colOff>180975</xdr:colOff>
      <xdr:row>33</xdr:row>
      <xdr:rowOff>47625</xdr:rowOff>
    </xdr:from>
    <xdr:to>
      <xdr:col>1</xdr:col>
      <xdr:colOff>514350</xdr:colOff>
      <xdr:row>33</xdr:row>
      <xdr:rowOff>390525</xdr:rowOff>
    </xdr:to>
    <xdr:sp macro="" textlink="">
      <xdr:nvSpPr>
        <xdr:cNvPr id="15" name="Plus 14">
          <a:extLst>
            <a:ext uri="{FF2B5EF4-FFF2-40B4-BE49-F238E27FC236}">
              <a16:creationId xmlns:a16="http://schemas.microsoft.com/office/drawing/2014/main" id="{B0393880-729B-49DA-8D47-CC440DB21AB3}"/>
            </a:ext>
            <a:ext uri="{147F2762-F138-4A5C-976F-8EAC2B608ADB}">
              <a16:predDERef xmlns:a16="http://schemas.microsoft.com/office/drawing/2014/main" pred="{85A480D3-E3AC-69FB-9ADF-32EFC982BD0A}"/>
            </a:ext>
          </a:extLst>
        </xdr:cNvPr>
        <xdr:cNvSpPr/>
      </xdr:nvSpPr>
      <xdr:spPr bwMode="auto">
        <a:xfrm>
          <a:off x="323850" y="7277100"/>
          <a:ext cx="333375" cy="342900"/>
        </a:xfrm>
        <a:prstGeom prst="mathPlus">
          <a:avLst/>
        </a:prstGeom>
        <a:solidFill>
          <a:srgbClr val="CEF531"/>
        </a:solidFill>
        <a:ln w="9525" cap="flat" cmpd="sng" algn="ctr">
          <a:solidFill>
            <a:srgbClr val="000000"/>
          </a:solidFill>
          <a:prstDash val="solid"/>
          <a:round/>
          <a:headEnd type="none" w="med" len="med"/>
          <a:tailEnd type="none" w="med" len="med"/>
        </a:ln>
        <a:effectLst/>
      </xdr:spPr>
      <xdr:txBody>
        <a:bodyPr rot="0" spcFirstLastPara="0" vert="horz" wrap="square" lIns="18288" tIns="0" rIns="0" bIns="0" numCol="1" spcCol="0" rtlCol="0" fromWordArt="0" anchor="t" anchorCtr="0" forceAA="0" upright="1"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1</xdr:col>
      <xdr:colOff>200025</xdr:colOff>
      <xdr:row>34</xdr:row>
      <xdr:rowOff>19050</xdr:rowOff>
    </xdr:from>
    <xdr:to>
      <xdr:col>1</xdr:col>
      <xdr:colOff>523875</xdr:colOff>
      <xdr:row>34</xdr:row>
      <xdr:rowOff>333375</xdr:rowOff>
    </xdr:to>
    <xdr:sp macro="" textlink="">
      <xdr:nvSpPr>
        <xdr:cNvPr id="18" name="Minus 17">
          <a:extLst>
            <a:ext uri="{FF2B5EF4-FFF2-40B4-BE49-F238E27FC236}">
              <a16:creationId xmlns:a16="http://schemas.microsoft.com/office/drawing/2014/main" id="{948A5468-01DF-B4F5-F98C-6C1CD15E9B3D}"/>
            </a:ext>
            <a:ext uri="{147F2762-F138-4A5C-976F-8EAC2B608ADB}">
              <a16:predDERef xmlns:a16="http://schemas.microsoft.com/office/drawing/2014/main" pred="{B0393880-729B-49DA-8D47-CC440DB21AB3}"/>
            </a:ext>
          </a:extLst>
        </xdr:cNvPr>
        <xdr:cNvSpPr/>
      </xdr:nvSpPr>
      <xdr:spPr bwMode="auto">
        <a:xfrm>
          <a:off x="342900" y="7705725"/>
          <a:ext cx="323850" cy="314325"/>
        </a:xfrm>
        <a:prstGeom prst="mathMinus">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00000000-0008-0000-0300-000013000000}"/>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00000000-0008-0000-0300-000012000000}"/>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00000000-0008-0000-0300-000011000000}"/>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00000000-0008-0000-0300-000010000000}"/>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00000000-0008-0000-0300-00000F000000}"/>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00000000-0008-0000-0300-00000E000000}"/>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358588</xdr:colOff>
      <xdr:row>1</xdr:row>
      <xdr:rowOff>22752</xdr:rowOff>
    </xdr:from>
    <xdr:to>
      <xdr:col>1</xdr:col>
      <xdr:colOff>1957294</xdr:colOff>
      <xdr:row>1</xdr:row>
      <xdr:rowOff>1010023</xdr:rowOff>
    </xdr:to>
    <xdr:pic>
      <xdr:nvPicPr>
        <xdr:cNvPr id="2" name="Imagem 1">
          <a:extLst>
            <a:ext uri="{FF2B5EF4-FFF2-40B4-BE49-F238E27FC236}">
              <a16:creationId xmlns:a16="http://schemas.microsoft.com/office/drawing/2014/main" id="{649E5BAC-9D2B-337F-7EAF-A17BFA5357CC}"/>
            </a:ext>
          </a:extLst>
        </xdr:cNvPr>
        <xdr:cNvPicPr>
          <a:picLocks noChangeAspect="1"/>
        </xdr:cNvPicPr>
      </xdr:nvPicPr>
      <xdr:blipFill>
        <a:blip xmlns:r="http://schemas.openxmlformats.org/officeDocument/2006/relationships" r:embed="rId1"/>
        <a:stretch>
          <a:fillRect/>
        </a:stretch>
      </xdr:blipFill>
      <xdr:spPr>
        <a:xfrm>
          <a:off x="403412" y="202046"/>
          <a:ext cx="1598706" cy="987271"/>
        </a:xfrm>
        <a:prstGeom prst="rect">
          <a:avLst/>
        </a:prstGeom>
      </xdr:spPr>
    </xdr:pic>
    <xdr:clientData/>
  </xdr:twoCellAnchor>
  <xdr:twoCellAnchor editAs="oneCell">
    <xdr:from>
      <xdr:col>1</xdr:col>
      <xdr:colOff>433294</xdr:colOff>
      <xdr:row>2</xdr:row>
      <xdr:rowOff>104589</xdr:rowOff>
    </xdr:from>
    <xdr:to>
      <xdr:col>1</xdr:col>
      <xdr:colOff>1952809</xdr:colOff>
      <xdr:row>2</xdr:row>
      <xdr:rowOff>1001060</xdr:rowOff>
    </xdr:to>
    <xdr:pic>
      <xdr:nvPicPr>
        <xdr:cNvPr id="3" name="Imagem 2">
          <a:extLst>
            <a:ext uri="{FF2B5EF4-FFF2-40B4-BE49-F238E27FC236}">
              <a16:creationId xmlns:a16="http://schemas.microsoft.com/office/drawing/2014/main" id="{4CE941D2-D186-257E-837D-5181F336AAC8}"/>
            </a:ext>
          </a:extLst>
        </xdr:cNvPr>
        <xdr:cNvPicPr>
          <a:picLocks noChangeAspect="1"/>
        </xdr:cNvPicPr>
      </xdr:nvPicPr>
      <xdr:blipFill>
        <a:blip xmlns:r="http://schemas.openxmlformats.org/officeDocument/2006/relationships" r:embed="rId2"/>
        <a:stretch>
          <a:fillRect/>
        </a:stretch>
      </xdr:blipFill>
      <xdr:spPr>
        <a:xfrm>
          <a:off x="478118" y="1314824"/>
          <a:ext cx="1519515" cy="896471"/>
        </a:xfrm>
        <a:prstGeom prst="rect">
          <a:avLst/>
        </a:prstGeom>
      </xdr:spPr>
    </xdr:pic>
    <xdr:clientData/>
  </xdr:twoCellAnchor>
  <xdr:twoCellAnchor editAs="oneCell">
    <xdr:from>
      <xdr:col>1</xdr:col>
      <xdr:colOff>627530</xdr:colOff>
      <xdr:row>3</xdr:row>
      <xdr:rowOff>54209</xdr:rowOff>
    </xdr:from>
    <xdr:to>
      <xdr:col>1</xdr:col>
      <xdr:colOff>1763059</xdr:colOff>
      <xdr:row>3</xdr:row>
      <xdr:rowOff>1001663</xdr:rowOff>
    </xdr:to>
    <xdr:pic>
      <xdr:nvPicPr>
        <xdr:cNvPr id="4" name="Imagem 3">
          <a:extLst>
            <a:ext uri="{FF2B5EF4-FFF2-40B4-BE49-F238E27FC236}">
              <a16:creationId xmlns:a16="http://schemas.microsoft.com/office/drawing/2014/main" id="{59EBC63F-70FF-95FF-42EC-A989C2ED933E}"/>
            </a:ext>
          </a:extLst>
        </xdr:cNvPr>
        <xdr:cNvPicPr>
          <a:picLocks noChangeAspect="1"/>
        </xdr:cNvPicPr>
      </xdr:nvPicPr>
      <xdr:blipFill>
        <a:blip xmlns:r="http://schemas.openxmlformats.org/officeDocument/2006/relationships" r:embed="rId3"/>
        <a:stretch>
          <a:fillRect/>
        </a:stretch>
      </xdr:blipFill>
      <xdr:spPr>
        <a:xfrm>
          <a:off x="672354" y="2295385"/>
          <a:ext cx="1135529" cy="947454"/>
        </a:xfrm>
        <a:prstGeom prst="rect">
          <a:avLst/>
        </a:prstGeom>
      </xdr:spPr>
    </xdr:pic>
    <xdr:clientData/>
  </xdr:twoCellAnchor>
  <xdr:twoCellAnchor editAs="oneCell">
    <xdr:from>
      <xdr:col>1</xdr:col>
      <xdr:colOff>74706</xdr:colOff>
      <xdr:row>4</xdr:row>
      <xdr:rowOff>403731</xdr:rowOff>
    </xdr:from>
    <xdr:to>
      <xdr:col>2</xdr:col>
      <xdr:colOff>0</xdr:colOff>
      <xdr:row>4</xdr:row>
      <xdr:rowOff>605857</xdr:rowOff>
    </xdr:to>
    <xdr:pic>
      <xdr:nvPicPr>
        <xdr:cNvPr id="5" name="Imagem 4">
          <a:extLst>
            <a:ext uri="{FF2B5EF4-FFF2-40B4-BE49-F238E27FC236}">
              <a16:creationId xmlns:a16="http://schemas.microsoft.com/office/drawing/2014/main" id="{9EF65402-0B3B-CCF2-3436-690B9BF6C7A9}"/>
            </a:ext>
          </a:extLst>
        </xdr:cNvPr>
        <xdr:cNvPicPr>
          <a:picLocks noChangeAspect="1"/>
        </xdr:cNvPicPr>
      </xdr:nvPicPr>
      <xdr:blipFill>
        <a:blip xmlns:r="http://schemas.openxmlformats.org/officeDocument/2006/relationships" r:embed="rId4"/>
        <a:stretch>
          <a:fillRect/>
        </a:stretch>
      </xdr:blipFill>
      <xdr:spPr>
        <a:xfrm>
          <a:off x="119530" y="3675849"/>
          <a:ext cx="2211294" cy="202126"/>
        </a:xfrm>
        <a:prstGeom prst="rect">
          <a:avLst/>
        </a:prstGeom>
      </xdr:spPr>
    </xdr:pic>
    <xdr:clientData/>
  </xdr:twoCellAnchor>
  <xdr:twoCellAnchor editAs="oneCell">
    <xdr:from>
      <xdr:col>1</xdr:col>
      <xdr:colOff>119529</xdr:colOff>
      <xdr:row>5</xdr:row>
      <xdr:rowOff>350321</xdr:rowOff>
    </xdr:from>
    <xdr:to>
      <xdr:col>2</xdr:col>
      <xdr:colOff>4295</xdr:colOff>
      <xdr:row>5</xdr:row>
      <xdr:rowOff>742651</xdr:rowOff>
    </xdr:to>
    <xdr:pic>
      <xdr:nvPicPr>
        <xdr:cNvPr id="6" name="Imagem 5">
          <a:extLst>
            <a:ext uri="{FF2B5EF4-FFF2-40B4-BE49-F238E27FC236}">
              <a16:creationId xmlns:a16="http://schemas.microsoft.com/office/drawing/2014/main" id="{B269A632-D439-3BF6-0494-CE22A08BF8D7}"/>
            </a:ext>
          </a:extLst>
        </xdr:cNvPr>
        <xdr:cNvPicPr>
          <a:picLocks noChangeAspect="1"/>
        </xdr:cNvPicPr>
      </xdr:nvPicPr>
      <xdr:blipFill>
        <a:blip xmlns:r="http://schemas.openxmlformats.org/officeDocument/2006/relationships" r:embed="rId5"/>
        <a:stretch>
          <a:fillRect/>
        </a:stretch>
      </xdr:blipFill>
      <xdr:spPr>
        <a:xfrm>
          <a:off x="164353" y="4653380"/>
          <a:ext cx="2046941" cy="39233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DAVID TITA" id="{6D2C5BD9-1C3E-4972-9F97-1CA81A3CC14E}" userId="S::david.tita@aln.iseg.ulisboa.pt::2b554b1a-dfdf-4fc2-8414-05963e9f059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extLst>
        <x:ext xmlns:xlrvr="http://schemas.microsoft.com/office/spreadsheetml/2020/richvaluerefresh" uri="{6D21E516-79A1-49C6-A8DF-7D825B72F6C7}">
          <xlrvr:refreshIntervals>
            <xlrvr:refreshInterval resourceIdInt="268435456" interval="-1"/>
          </xlrvr:refreshIntervals>
        </x:ext>
      </extLst>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8">
  <rv s="0">
    <v>https://www.bing.com/financeapi/forcetrigger?t=an3qdm&amp;q=XSWX%3aUHRN&amp;form=skydnc</v>
    <v>Learn more on Bing</v>
  </rv>
  <rv s="1">
    <v>en-US</v>
    <v>an3qdm</v>
    <v>268435456</v>
    <v>1</v>
    <v>6</v>
    <v>Powered by Refinitiv</v>
    <v>0</v>
    <v>1</v>
    <v>The Swatch Group Ltd (XSWX:UHRN)</v>
    <v>3</v>
    <v>4</v>
    <v>Finance</v>
    <v>5</v>
    <v>62.95</v>
    <v>42.25</v>
    <v>1.0978000000000001</v>
    <v>-1.7</v>
    <v>-1.26E-2</v>
    <v>-3.7485999999999998E-2</v>
    <v>-0.55000000000000004</v>
    <v>CHF</v>
    <v>The Swatch Group SA is a Switzerland-based holding company engaged in the apparel and accessories industry. The Company’s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v>
    <v>32899</v>
    <v>SIX Swiss Exchange</v>
    <v>XSWX</v>
    <v>XSWX</v>
    <v>Seevorstadt 6, BIEL, BERN, 2501 CH</v>
    <v>44.75</v>
    <v>Textiles &amp; Apparel</v>
    <v>Stock</v>
    <v>45240.851620370369</v>
    <v>0</v>
    <v>43</v>
    <v>11686480000</v>
    <v>The Swatch Group Ltd</v>
    <v>The Swatch Group Ltd</v>
    <v>44.75</v>
    <v>11.9657</v>
    <v>45.35</v>
    <v>43.65</v>
    <v>43.1</v>
    <v>145855500</v>
    <v>UHRN</v>
    <v>The Swatch Group Ltd (XSWX:UHRN)</v>
    <v>90237</v>
    <v>89090</v>
    <v>1931</v>
  </rv>
  <rv s="2">
    <v>1</v>
  </rv>
  <rv s="0">
    <v>https://www.bing.com/financeapi/forcetrigger?t=b1lbar&amp;q=XSWX%3aUHR&amp;form=skydnc</v>
    <v>Learn more on Bing</v>
  </rv>
  <rv s="1">
    <v>en-US</v>
    <v>b1lbar</v>
    <v>268435456</v>
    <v>1</v>
    <v>6</v>
    <v>Powered by Refinitiv</v>
    <v>0</v>
    <v>1</v>
    <v>The Swatch Group Ltd (XSWX:UHR)</v>
    <v>3</v>
    <v>4</v>
    <v>Finance</v>
    <v>5</v>
    <v>342.7</v>
    <v>222.4</v>
    <v>1.0978000000000001</v>
    <v>-12.4</v>
    <v>-1.758E-3</v>
    <v>-5.1687999999999998E-2</v>
    <v>-0.4</v>
    <v>CHF</v>
    <v>The Swatch Group SA is a Switzerland-based holding company engaged in the apparel and accessories industry. The Company’s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v>
    <v>32899</v>
    <v>SIX Swiss Exchange</v>
    <v>XSWX</v>
    <v>XSWX</v>
    <v>Seevorstadt 6, BIEL, BERN, 2501 CH</v>
    <v>234.5</v>
    <v>Textiles &amp; Apparel</v>
    <v>Stock</v>
    <v>45240.697650462964</v>
    <v>3</v>
    <v>225.6</v>
    <v>11686480000</v>
    <v>The Swatch Group Ltd</v>
    <v>The Swatch Group Ltd</v>
    <v>228.8</v>
    <v>12.659599999999999</v>
    <v>239.9</v>
    <v>227.5</v>
    <v>227.1</v>
    <v>145855500</v>
    <v>UHR</v>
    <v>The Swatch Group Ltd (XSWX:UHR)</v>
    <v>222504</v>
    <v>89090</v>
    <v>1931</v>
  </rv>
  <rv s="2">
    <v>4</v>
  </rv>
  <rv s="0">
    <v>https://www.bing.com/financeapi/forcetrigger?t=a2ddar&amp;q=OTCM%3aCSIOY&amp;form=skydnc</v>
    <v>Learn more on Bing</v>
  </rv>
  <rv s="3">
    <v>en-GB</v>
    <v>a2ddar</v>
    <v>268435456</v>
    <v>1</v>
    <v>6</v>
    <v>Powered by Refinitiv</v>
    <v>6</v>
    <v>CASIO COMPUTER CO.,LTD. (OTCM:CSIOY)</v>
    <v>3</v>
    <v>7</v>
    <v>Finance</v>
    <v>8</v>
    <v>107</v>
    <v>79.826899999999995</v>
    <v>1.1835</v>
    <v>-2.76</v>
    <v>-3.1574999999999999E-2</v>
    <v>USD</v>
    <v>CASIO COMPUTER CO.,LTD. is a Japan-based company mainly engaged in the development, manufacture and sale of consumer and system products, as well as the provision of related services. The Company operates through three business segments. The Consumer segment is engaged in the provision of watches, clocks, electronic dictionaries, electronic calculators, electronic stationeries, electronic musical instruments and digital cameras. The Systems segment is engaged in the provision of handheld terminals, electronic cash registers, management support systems and data projectors. The Others segment is engaged in the provision of molded parts and molds.</v>
    <v>9732</v>
    <v>OTC Markets</v>
    <v>OTCM</v>
    <v>OTCM</v>
    <v>1-6-2, Hon-machi, SHIBUYA-KU, TOKYO-TO, 151-8543 JP</v>
    <v>87.23</v>
    <v>Computers, Phones &amp; Household Electronics</v>
    <v>Stock</v>
    <v>45128.818906110937</v>
    <v>6</v>
    <v>83.12</v>
    <v>296957400000</v>
    <v>CASIO COMPUTER CO.,LTD.</v>
    <v>CASIO COMPUTER CO.,LTD.</v>
    <v>87.23</v>
    <v>87.41</v>
    <v>84.65</v>
    <v>249020900</v>
    <v>CSIOY</v>
    <v>CASIO COMPUTER CO.,LTD. (OTCM:CSIOY)</v>
    <v>37</v>
    <v>1009540</v>
    <v>1957</v>
  </rv>
  <rv s="2">
    <v>7</v>
  </rv>
  <rv s="0">
    <v>https://www.bing.com/financeapi/forcetrigger?t=ayvmmw&amp;q=OTCM%3aCHCLY&amp;form=skydnc</v>
    <v>Learn more on Bing</v>
  </rv>
  <rv s="4">
    <v>pt-BR</v>
    <v>ayvmmw</v>
    <v>268435456</v>
    <v>1</v>
    <v>6</v>
    <v>Da plataforma Refinitiv</v>
    <v>9</v>
    <v>10</v>
    <v>Citizen (OTCM:CHCLY)</v>
    <v>3</v>
    <v>11</v>
    <v>Finance</v>
    <v>12</v>
    <v>31.25</v>
    <v>20.89</v>
    <v>OTCM</v>
    <v>246000000</v>
    <v>29.15</v>
    <v>1930</v>
    <v>29.15</v>
    <v>1.1825000000000001</v>
    <v>OTC Markets</v>
    <v>226380000000</v>
    <v>Citizen Watch Co., Ltd. mainly engages in watch business, machine tools business, device business, electronic machinery business and others. The Company operates in five business segments. The Watch segment manufactures and sells watches and movements. The Machine Tools segment manufactures and sells numerical control (NC) automatic lathes and others. The Device segment provides light-emitting diode (LED), crystal oscillators, micro displays, switches and automobile parts. The Electronic Machinery segment manufactures and sells printers, healthcare equipment and calculators, among others. The Others segment purchases and sells jewelry products and others. Brands include CITIZEN, LICENSE, Quality &amp; Quantity (Q&amp;Q), among others.</v>
    <v>OTCM</v>
    <v>29.15</v>
    <v>12256</v>
    <v>45058.601579745315</v>
    <v>9</v>
    <v>1400450</v>
    <v>USD</v>
    <v>Citizen</v>
    <v>Citizen</v>
    <v>29.15</v>
    <v>29.15</v>
    <v>6-1-12, Tanashi-cho, NISHITOKYO-SHI, TOKYO-TO, 188-8511 JP</v>
    <v>Textiles &amp; Apparel</v>
    <v>CHCLY</v>
    <v>Ações</v>
    <v>Citizen (OTCM:CHCLY)</v>
    <v>0</v>
    <v>0</v>
    <v>5</v>
  </rv>
  <rv s="2">
    <v>10</v>
  </rv>
  <rv s="0">
    <v>https://www.bing.com/financeapi/forcetrigger?t=b1lczr&amp;q=XSWX%3aCFR&amp;form=skydnc</v>
    <v>Learn more on Bing</v>
  </rv>
  <rv s="5">
    <v>pt-BR</v>
    <v>b1lczr</v>
    <v>268435456</v>
    <v>1</v>
    <v>6</v>
    <v>Da plataforma Refinitiv</v>
    <v>13</v>
    <v>14</v>
    <v>Cmpne Financiere (XSWX:CFR)</v>
    <v>3</v>
    <v>15</v>
    <v>Finance</v>
    <v>16</v>
    <v>161.1</v>
    <v>101.25</v>
    <v>XSWX</v>
    <v>522000000</v>
    <v>2.343E-3</v>
    <v>0.25</v>
    <v>109.5</v>
    <v>2002</v>
    <v>103.95</v>
    <v>1.5938000000000001</v>
    <v>SIX Swiss Exchange</v>
    <v>55775930000</v>
    <v>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v>
    <v>XSWX</v>
    <v>112.55</v>
    <v>33959</v>
    <v>45240.869456018518</v>
    <v>12</v>
    <v>1132500</v>
    <v>CHF</v>
    <v>Cmpne Financiere</v>
    <v>Cmpne Financiere</v>
    <v>0</v>
    <v>106.95</v>
    <v>106.7</v>
    <v>106.95</v>
    <v>Chemin de la Chenaie 50, BELLEVUE, GENEVE, 1293 CH</v>
    <v>Textiles &amp; Apparel</v>
    <v>CFR</v>
    <v>Ações</v>
    <v>Cmpne Financiere (XSWX:CFR)</v>
    <v>-5.85</v>
    <v>-5.1977000000000002E-2</v>
    <v>3129248</v>
  </rv>
  <rv s="2">
    <v>13</v>
  </rv>
  <rv s="0">
    <v>https://www.bing.com/financeapi/forcetrigger?t=ao6p1h&amp;q=XLON%3aBRBY&amp;form=skydnc</v>
    <v>Learn more on Bing</v>
  </rv>
  <rv s="6">
    <v>pt-BR</v>
    <v>ao6p1h</v>
    <v>268435456</v>
    <v>1</v>
    <v>6</v>
    <v>Da plataforma Refinitiv</v>
    <v>17</v>
    <v>18</v>
    <v>Burberry Group (XLON:BRBY)</v>
    <v>3</v>
    <v>19</v>
    <v>Finance</v>
    <v>20</v>
    <v>2656</v>
    <v>1600.5</v>
    <v>XLON</v>
    <v>376683500</v>
    <v>2243</v>
    <v>1997</v>
    <v>2174</v>
    <v>1.7018</v>
    <v>London Stock Exchange</v>
    <v>8452777000</v>
    <v>Burberry Group plc is a United Kingdom-based global luxury goods manufacturer, retailer, and wholesaler. The Company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department stores globally and multi-brand specialty accounts. The flow of global product between retail and wholesale channels and across its regions is monitored and optimized at a corporate level and implemented via the Company's inventory hubs situated in Europe, the United States, mainland China, Hong Kong, and Special Administrative Regions (S.A.R.) China. The Licensing segment includes royalties from global licensees of beauty products, eyewear and licenses relating to the use of non-Burberry trademarks in Japan.</v>
    <v>XLON</v>
    <v>2244</v>
    <v>9201</v>
    <v>45131.649465856251</v>
    <v>15</v>
    <v>1415170</v>
    <v>GBp</v>
    <v>Burberry Group</v>
    <v>Burberry Group</v>
    <v>17.613800000000001</v>
    <v>2224</v>
    <v>2182</v>
    <v>Horseferry House, Horseferry Road, Westminster, LONDON, UNITED KINGDOM-NA, SW1P 2AW GB</v>
    <v>Specialty Retailers</v>
    <v>BRBY</v>
    <v>Ações</v>
    <v>Burberry Group (XLON:BRBY)</v>
    <v>-62</v>
    <v>-2.7629000000000001E-2</v>
    <v>1071613</v>
  </rv>
  <rv s="2">
    <v>16</v>
  </rv>
</rvData>
</file>

<file path=xl/richData/rdrichvaluestructure.xml><?xml version="1.0" encoding="utf-8"?>
<rvStructures xmlns="http://schemas.microsoft.com/office/spreadsheetml/2017/richdata" count="7">
  <s t="_hyperlink">
    <k n="Address" t="s"/>
    <k n="Text" t="s"/>
  </s>
  <s t="_linkedentitycore">
    <k n="%EntityCulture" t="s"/>
    <k n="%EntityId" t="s"/>
    <k n="%EntityServiceId"/>
    <k n="%IsRefreshable" t="b"/>
    <k n="%OutdatedReason" t="i"/>
    <k n="%ProviderInfo" t="s"/>
    <k n="_CanonicalPropertyNames" t="spb"/>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OutdatedReason" t="i"/>
    <k n="%ProviderInfo" t="s"/>
    <k n="_CanonicalPropertyNames" t="spb"/>
    <k n="_Display" t="spb"/>
    <k n="_DisplayString" t="s"/>
    <k n="_Flags" t="spb"/>
    <k n="_Format" t="spb"/>
    <k n="_Icon" t="s"/>
    <k n="_SubLabel" t="spb"/>
    <k n="52 semanas de alta"/>
    <k n="52 semanas de baixa"/>
    <k n="Abreviatura do câmbio" t="s"/>
    <k n="Ações em circulação"/>
    <k n="Alto"/>
    <k n="Ano de incorporação"/>
    <k n="Baixo"/>
    <k n="Beta"/>
    <k n="Bolsa" t="s"/>
    <k n="Capitalização de mercado"/>
    <k n="Descrição" t="s"/>
    <k n="ExchangeID" t="s"/>
    <k n="Fechamento anterior"/>
    <k n="Funcionários"/>
    <k n="Hora da última transação"/>
    <k n="LearnMoreOnLink" t="r"/>
    <k n="Média de volume"/>
    <k n="Moeda" t="s"/>
    <k n="Nome" t="s"/>
    <k n="Nome oficial" t="s"/>
    <k n="Pendência"/>
    <k n="Preço"/>
    <k n="Sede" t="s"/>
    <k n="Setor" t="s"/>
    <k n="Símbolo do ticker" t="s"/>
    <k n="Tipo de instrumento" t="s"/>
    <k n="UniqueName" t="s"/>
    <k n="Variação"/>
    <k n="Variação (%)"/>
    <k n="Volume"/>
  </s>
  <s t="_linkedentitycore">
    <k n="%EntityCulture" t="s"/>
    <k n="%EntityId" t="s"/>
    <k n="%EntityServiceId"/>
    <k n="%IsRefreshable" t="b"/>
    <k n="%OutdatedReason" t="i"/>
    <k n="%ProviderInfo" t="s"/>
    <k n="_CanonicalPropertyNames" t="spb"/>
    <k n="_Display" t="spb"/>
    <k n="_DisplayString" t="s"/>
    <k n="_Flags" t="spb"/>
    <k n="_Format" t="spb"/>
    <k n="_Icon" t="s"/>
    <k n="_SubLabel" t="spb"/>
    <k n="52 semanas de alta"/>
    <k n="52 semanas de baixa"/>
    <k n="Abreviatura do câmbio" t="s"/>
    <k n="Ações em circulação"/>
    <k n="Alteração % (Horário prolongado)"/>
    <k n="Alteração (Horário prolongado)"/>
    <k n="Alto"/>
    <k n="Ano de incorporação"/>
    <k n="Baixo"/>
    <k n="Beta"/>
    <k n="Bolsa" t="s"/>
    <k n="Capitalização de mercado"/>
    <k n="Descrição" t="s"/>
    <k n="ExchangeID" t="s"/>
    <k n="Fechamento anterior"/>
    <k n="Funcionários"/>
    <k n="Hora da última transação"/>
    <k n="LearnMoreOnLink" t="r"/>
    <k n="Média de volume"/>
    <k n="Moeda" t="s"/>
    <k n="Nome" t="s"/>
    <k n="Nome oficial" t="s"/>
    <k n="P/E"/>
    <k n="Pendência"/>
    <k n="Preço"/>
    <k n="Preço (Horário prolongado)"/>
    <k n="Sede" t="s"/>
    <k n="Setor" t="s"/>
    <k n="Símbolo do ticker" t="s"/>
    <k n="Tipo de instrumento" t="s"/>
    <k n="UniqueName" t="s"/>
    <k n="Variação"/>
    <k n="Variação (%)"/>
    <k n="Volume"/>
  </s>
  <s t="_linkedentitycore">
    <k n="%EntityCulture" t="s"/>
    <k n="%EntityId" t="s"/>
    <k n="%EntityServiceId"/>
    <k n="%IsRefreshable" t="b"/>
    <k n="%OutdatedReason" t="i"/>
    <k n="%ProviderInfo" t="s"/>
    <k n="_CanonicalPropertyNames" t="spb"/>
    <k n="_Display" t="spb"/>
    <k n="_DisplayString" t="s"/>
    <k n="_Flags" t="spb"/>
    <k n="_Format" t="spb"/>
    <k n="_Icon" t="s"/>
    <k n="_SubLabel" t="spb"/>
    <k n="52 semanas de alta"/>
    <k n="52 semanas de baixa"/>
    <k n="Abreviatura do câmbio" t="s"/>
    <k n="Ações em circulação"/>
    <k n="Alto"/>
    <k n="Ano de incorporação"/>
    <k n="Baixo"/>
    <k n="Beta"/>
    <k n="Bolsa" t="s"/>
    <k n="Capitalização de mercado"/>
    <k n="Descrição" t="s"/>
    <k n="ExchangeID" t="s"/>
    <k n="Fechamento anterior"/>
    <k n="Funcionários"/>
    <k n="Hora da última transação"/>
    <k n="LearnMoreOnLink" t="r"/>
    <k n="Média de volume"/>
    <k n="Moeda" t="s"/>
    <k n="Nome" t="s"/>
    <k n="Nome oficial" t="s"/>
    <k n="P/E"/>
    <k n="Pendência"/>
    <k n="Preço"/>
    <k n="Sede" t="s"/>
    <k n="Setor" t="s"/>
    <k n="Símbolo do ticker" t="s"/>
    <k n="Tipo de instrumento" t="s"/>
    <k n="UniqueName" t="s"/>
    <k n="Variação"/>
    <k n="Variação (%)"/>
    <k n="Volume"/>
  </s>
</rvStructures>
</file>

<file path=xl/richData/rdsupportingpropertybag.xml><?xml version="1.0" encoding="utf-8"?>
<supportingPropertyBags xmlns="http://schemas.microsoft.com/office/spreadsheetml/2017/richdata2">
  <spbArrays count="5">
    <a count="47">
      <v t="s">%EntityServiceId</v>
      <v t="s">_Format</v>
      <v t="s">%IsRefreshable</v>
      <v t="s">_CanonicalPropertyNames</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_CanonicalPropertyNames</v>
      <v t="s">%EntityCulture</v>
      <v t="s">%EntityId</v>
      <v t="s">_Icon</v>
      <v t="s">_Display</v>
      <v t="s">Nome</v>
      <v t="s">_SubLabel</v>
      <v t="s">Preço</v>
      <v t="s">Bolsa</v>
      <v t="s">Nome oficial</v>
      <v t="s">Hora da última transação</v>
      <v t="s">Símbolo do ticker</v>
      <v t="s">Abreviatura do câmbio</v>
      <v t="s">Variação</v>
      <v t="s">Variação (%)</v>
      <v t="s">Moeda</v>
      <v t="s">Fechamento anterior</v>
      <v t="s">Pendência</v>
      <v t="s">Alto</v>
      <v t="s">Baixo</v>
      <v t="s">52 semanas de alta</v>
      <v t="s">52 semanas de baixa</v>
      <v t="s">Volume</v>
      <v t="s">Média de volume</v>
      <v t="s">Capitalização de mercado</v>
      <v t="s">Beta</v>
      <v t="s">Ações em circulação</v>
      <v t="s">Descrição</v>
      <v t="s">Funcionários</v>
      <v t="s">Sede</v>
      <v t="s">Setor</v>
      <v t="s">Tipo de instrumento</v>
      <v t="s">Ano de incorporação</v>
      <v t="s">_Flags</v>
      <v t="s">UniqueName</v>
      <v t="s">_DisplayString</v>
      <v t="s">LearnMoreOnLink</v>
      <v t="s">ExchangeID</v>
      <v t="s">%ProviderInfo</v>
      <v t="s">%OutdatedReason</v>
    </a>
    <a count="47">
      <v t="s">%EntityServiceId</v>
      <v t="s">_Format</v>
      <v t="s">%IsRefreshable</v>
      <v t="s">_CanonicalPropertyNames</v>
      <v t="s">%EntityCulture</v>
      <v t="s">%EntityId</v>
      <v t="s">_Icon</v>
      <v t="s">_Display</v>
      <v t="s">Nome</v>
      <v t="s">_SubLabel</v>
      <v t="s">Preço</v>
      <v t="s">Preço (Horário prolongado)</v>
      <v t="s">Bolsa</v>
      <v t="s">Nome oficial</v>
      <v t="s">Hora da última transação</v>
      <v t="s">Símbolo do ticker</v>
      <v t="s">Abreviatura do câmbio</v>
      <v t="s">Variação</v>
      <v t="s">Alteração (Horário prolongado)</v>
      <v t="s">Variação (%)</v>
      <v t="s">Alteração % (Horário prolongado)</v>
      <v t="s">Moeda</v>
      <v t="s">Fechamento anterior</v>
      <v t="s">Pendência</v>
      <v t="s">Alto</v>
      <v t="s">Baixo</v>
      <v t="s">52 semanas de alta</v>
      <v t="s">52 semanas de baixa</v>
      <v t="s">Volume</v>
      <v t="s">Média de volume</v>
      <v t="s">Capitalização de mercado</v>
      <v t="s">Beta</v>
      <v t="s">P/E</v>
      <v t="s">Ações em circulação</v>
      <v t="s">Descrição</v>
      <v t="s">Funcionários</v>
      <v t="s">Sede</v>
      <v t="s">Setor</v>
      <v t="s">Tipo de instrumento</v>
      <v t="s">Ano de incorporação</v>
      <v t="s">_Flags</v>
      <v t="s">UniqueName</v>
      <v t="s">_DisplayString</v>
      <v t="s">LearnMoreOnLink</v>
      <v t="s">ExchangeID</v>
      <v t="s">%ProviderInfo</v>
      <v t="s">%OutdatedReason</v>
    </a>
    <a count="44">
      <v t="s">%EntityServiceId</v>
      <v t="s">_Format</v>
      <v t="s">%IsRefreshable</v>
      <v t="s">_CanonicalPropertyNames</v>
      <v t="s">%EntityCulture</v>
      <v t="s">%EntityId</v>
      <v t="s">_Icon</v>
      <v t="s">_Display</v>
      <v t="s">Nome</v>
      <v t="s">_SubLabel</v>
      <v t="s">Preço</v>
      <v t="s">Bolsa</v>
      <v t="s">Nome oficial</v>
      <v t="s">Hora da última transação</v>
      <v t="s">Símbolo do ticker</v>
      <v t="s">Abreviatura do câmbio</v>
      <v t="s">Variação</v>
      <v t="s">Variação (%)</v>
      <v t="s">Moeda</v>
      <v t="s">Fechamento anterior</v>
      <v t="s">Pendência</v>
      <v t="s">Alto</v>
      <v t="s">Baixo</v>
      <v t="s">52 semanas de alta</v>
      <v t="s">52 semanas de baixa</v>
      <v t="s">Volume</v>
      <v t="s">Média de volume</v>
      <v t="s">Capitalização de mercado</v>
      <v t="s">Beta</v>
      <v t="s">P/E</v>
      <v t="s">Ações em circulação</v>
      <v t="s">Descrição</v>
      <v t="s">Funcionários</v>
      <v t="s">Sede</v>
      <v t="s">Setor</v>
      <v t="s">Tipo de instrumento</v>
      <v t="s">Ano de incorporação</v>
      <v t="s">_Flags</v>
      <v t="s">UniqueName</v>
      <v t="s">_DisplayString</v>
      <v t="s">LearnMoreOnLink</v>
      <v t="s">ExchangeID</v>
      <v t="s">%ProviderInfo</v>
      <v t="s">%OutdatedReason</v>
    </a>
  </spbArrays>
  <spbData count="21">
    <spb s="0">
      <v>Low</v>
      <v>P/E</v>
      <v>Beta</v>
      <v>High</v>
      <v>Name</v>
      <v>Open</v>
      <v>Price</v>
      <v>Change</v>
      <v>Volume</v>
      <v>Currency</v>
      <v>Exchange</v>
      <v>Industry</v>
      <v>Employees</v>
      <v>Change (%)</v>
      <v>ExchangeID</v>
      <v>Market cap</v>
      <v>UniqueName</v>
      <v>52 week low</v>
      <v>Description</v>
      <v>52 week high</v>
      <v>Headquarters</v>
      <v>%ProviderInfo</v>
      <v>Official name</v>
      <v>Ticker symbol</v>
      <v>Previous close</v>
      <v>Volume average</v>
      <v>Instrument type</v>
      <v>Last trade time</v>
      <v>LearnMoreOnLink</v>
      <v>Year incorporated</v>
      <v>Shares outstanding</v>
      <v>Exchange abbreviation</v>
      <v>Price (Extended hours)</v>
      <v>Change (Extended hours)</v>
      <v>Change % (Extended hours)</v>
    </spb>
    <spb s="1">
      <v>0</v>
      <v>Name</v>
      <v>LearnMoreOnLink</v>
    </spb>
    <spb s="2">
      <v>0</v>
      <v>0</v>
      <v>0</v>
    </spb>
    <spb s="3">
      <v>2</v>
      <v>2</v>
      <v>2</v>
      <v>2</v>
    </spb>
    <spb s="4">
      <v>1</v>
      <v>2</v>
      <v>2</v>
      <v>1</v>
      <v>3</v>
      <v>1</v>
      <v>1</v>
      <v>1</v>
      <v>4</v>
      <v>4</v>
      <v>5</v>
      <v>6</v>
      <v>1</v>
      <v>1</v>
      <v>1</v>
      <v>4</v>
      <v>7</v>
      <v>8</v>
      <v>9</v>
      <v>4</v>
      <v>1</v>
      <v>1</v>
      <v>5</v>
    </spb>
    <spb s="5">
      <v>at close</v>
      <v>from previous close</v>
      <v>from previous close</v>
      <v>GMT</v>
      <v>Delayed 15 minutes</v>
      <v>from close</v>
      <v>from close</v>
    </spb>
    <spb s="1">
      <v>1</v>
      <v>Name</v>
      <v>LearnMoreOnLink</v>
    </spb>
    <spb s="6">
      <v>10</v>
      <v>2</v>
      <v>10</v>
      <v>3</v>
      <v>10</v>
      <v>10</v>
      <v>10</v>
      <v>4</v>
      <v>4</v>
      <v>5</v>
      <v>11</v>
      <v>10</v>
      <v>10</v>
      <v>10</v>
      <v>4</v>
      <v>7</v>
      <v>8</v>
      <v>9</v>
      <v>4</v>
    </spb>
    <spb s="7">
      <v>Delayed 15 minutes</v>
      <v>from previous close</v>
      <v>from previous close</v>
      <v>GMT</v>
    </spb>
    <spb s="8">
      <v>High</v>
      <v>Beta</v>
      <v>Name</v>
      <v>Headquarters</v>
      <v>Low</v>
      <v>Exchange</v>
      <v>Currency</v>
      <v>Price</v>
      <v>Industry</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spb>
    <spb s="1">
      <v>2</v>
      <v>Name</v>
      <v>LearnMoreOnLink</v>
    </spb>
    <spb s="9">
      <v>10</v>
      <v>2</v>
      <v>3</v>
      <v>10</v>
      <v>10</v>
      <v>4</v>
      <v>10</v>
      <v>10</v>
      <v>4</v>
      <v>5</v>
      <v>4</v>
      <v>9</v>
      <v>10</v>
      <v>10</v>
      <v>8</v>
      <v>4</v>
      <v>10</v>
      <v>11</v>
      <v>7</v>
    </spb>
    <spb s="10">
      <v>Atraso de 15 minutos</v>
      <v xml:space="preserve">do fechamento anterior </v>
      <v xml:space="preserve">do fechamento anterior </v>
      <v>GMT</v>
    </spb>
    <spb s="11">
      <v>P/E</v>
      <v>High</v>
      <v>Beta</v>
      <v>Name</v>
      <v>Headquarters</v>
      <v>Low</v>
      <v>Exchange</v>
      <v>Currency</v>
      <v>Price</v>
      <v>Industry</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v>Price (Extended hours)</v>
      <v>Change (Extended hours)</v>
      <v>Change % (Extended hours)</v>
    </spb>
    <spb s="1">
      <v>3</v>
      <v>Name</v>
      <v>LearnMoreOnLink</v>
    </spb>
    <spb s="12">
      <v>2</v>
      <v>1</v>
      <v>2</v>
      <v>3</v>
      <v>1</v>
      <v>1</v>
      <v>4</v>
      <v>1</v>
      <v>1</v>
      <v>4</v>
      <v>5</v>
      <v>4</v>
      <v>9</v>
      <v>1</v>
      <v>1</v>
      <v>8</v>
      <v>4</v>
      <v>1</v>
      <v>6</v>
      <v>7</v>
      <v>1</v>
      <v>1</v>
      <v>5</v>
    </spb>
    <spb s="13">
      <v xml:space="preserve">no fechamento </v>
      <v xml:space="preserve">do fechamento anterior </v>
      <v xml:space="preserve">do fechamento anterior </v>
      <v>GMT</v>
      <v>Atraso de 15 minutos</v>
      <v xml:space="preserve">do fechamento </v>
      <v xml:space="preserve">do fechamento </v>
    </spb>
    <spb s="14">
      <v>P/E</v>
      <v>High</v>
      <v>Beta</v>
      <v>Name</v>
      <v>Headquarters</v>
      <v>Low</v>
      <v>Exchange</v>
      <v>Currency</v>
      <v>Price</v>
      <v>Industry</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spb>
    <spb s="1">
      <v>4</v>
      <v>Name</v>
      <v>LearnMoreOnLink</v>
    </spb>
    <spb s="15">
      <v>2</v>
      <v>12</v>
      <v>2</v>
      <v>3</v>
      <v>12</v>
      <v>12</v>
      <v>4</v>
      <v>12</v>
      <v>12</v>
      <v>4</v>
      <v>5</v>
      <v>4</v>
      <v>9</v>
      <v>12</v>
      <v>12</v>
      <v>8</v>
      <v>4</v>
      <v>12</v>
      <v>13</v>
      <v>7</v>
    </spb>
    <spb s="16">
      <v>Atraso de 15 minutos</v>
      <v xml:space="preserve">do fechamento anterior </v>
      <v>LSE</v>
      <v xml:space="preserve">do fechamento anterior </v>
      <v>GMT</v>
    </spb>
  </spbData>
</supportingPropertyBags>
</file>

<file path=xl/richData/rdsupportingpropertybagstructure.xml><?xml version="1.0" encoding="utf-8"?>
<spbStructures xmlns="http://schemas.microsoft.com/office/spreadsheetml/2017/richdata2" count="17">
  <s>
    <k n="Low" t="s"/>
    <k n="P/E" t="s"/>
    <k n="Beta" t="s"/>
    <k n="High" t="s"/>
    <k n="Name" t="s"/>
    <k n="Open" t="s"/>
    <k n="Price" t="s"/>
    <k n="Change" t="s"/>
    <k n="Volume" t="s"/>
    <k n="Currency" t="s"/>
    <k n="Exchange" t="s"/>
    <k n="Industry" t="s"/>
    <k n="Employees" t="s"/>
    <k n="Change (%)" t="s"/>
    <k n="ExchangeID" t="s"/>
    <k n="Market cap" t="s"/>
    <k n="UniqueName" t="s"/>
    <k n="52 week low" t="s"/>
    <k n="Description" t="s"/>
    <k n="52 week high" t="s"/>
    <k n="Headquarters" t="s"/>
    <k n="%ProviderInfo" t="s"/>
    <k n="Official name" t="s"/>
    <k n="Ticker symbol" t="s"/>
    <k n="Previous close" t="s"/>
    <k n="Volume average" t="s"/>
    <k n="Instrument type" t="s"/>
    <k n="Last trade time" t="s"/>
    <k n="LearnMoreOnLink" t="s"/>
    <k n="Year incorporated" t="s"/>
    <k n="Shares outstanding" t="s"/>
    <k n="Exchange abbreviation" t="s"/>
    <k n="Price (Extended hours)" t="s"/>
    <k n="Change (Extended hours)" t="s"/>
    <k n="Change % (Extended hours)" t="s"/>
  </s>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s>
  <s>
    <k n="Alto" t="i"/>
    <k n="Beta" t="i"/>
    <k n="Nome" t="i"/>
    <k n="Baixo" t="i"/>
    <k n="Preço"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s>
  <s>
    <k n="Preço" t="s"/>
    <k n="Variação" t="s"/>
    <k n="Variação (%)" t="s"/>
    <k n="Hora da última transação" t="s"/>
  </s>
  <s>
    <k n="P/E" t="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k n="Preço (Horário prolongado)" t="s"/>
    <k n="Alteração (Horário prolongado)" t="s"/>
    <k n="Alteração % (Horário prolongado)" t="s"/>
  </s>
  <s>
    <k n="P/E" t="i"/>
    <k n="Alto" t="i"/>
    <k n="Beta" t="i"/>
    <k n="Nome" t="i"/>
    <k n="Baixo" t="i"/>
    <k n="Preço"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k n="Preço (Horário prolongado)" t="i"/>
    <k n="Alteração (Horário prolongado)" t="i"/>
    <k n="Alteração % (Horário prolongado)" t="i"/>
  </s>
  <s>
    <k n="Preço" t="s"/>
    <k n="Variação" t="s"/>
    <k n="Variação (%)" t="s"/>
    <k n="Hora da última transação" t="s"/>
    <k n="Preço (Horário prolongado)" t="s"/>
    <k n="Alteração (Horário prolongado)" t="s"/>
    <k n="Alteração % (Horário prolongado)" t="s"/>
  </s>
  <s>
    <k n="P/E" t="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s>
  <s>
    <k n="P/E" t="i"/>
    <k n="Alto" t="i"/>
    <k n="Beta" t="i"/>
    <k n="Nome" t="i"/>
    <k n="Baixo" t="i"/>
    <k n="Preço"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s>
  <s>
    <k n="Preço" t="s"/>
    <k n="Variação" t="s"/>
    <k n="ExchangeID" t="s"/>
    <k n="Variação (%)" t="s"/>
    <k n="Hora da última transação"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4" formatCode="#,##0.00"/>
    </x:dxf>
    <x:dxf>
      <x:numFmt numFmtId="3" formatCode="#,##0"/>
    </x:dxf>
    <x:dxf>
      <x:numFmt numFmtId="14" formatCode="0.00%"/>
    </x:dxf>
    <x:dxf>
      <x:numFmt numFmtId="2" formatCode="0.00"/>
    </x:dxf>
    <x:dxf>
      <x:numFmt numFmtId="1" formatCode="0"/>
    </x:dxf>
    <x:dxf>
      <x:numFmt numFmtId="27" formatCode="yyyy/m/d\ h:mm"/>
    </x:dxf>
    <x:dxf>
      <x:numFmt numFmtId="0" formatCode="General"/>
    </x:dxf>
    <x:dxf>
      <x:numFmt numFmtId="35" formatCode="_ * #,##0.00_ ;_ * \-#,##0.00_ ;_ * &quot;-&quot;??_ ;_ @_ "/>
    </x:dxf>
  </dxfs>
  <richProperties>
    <rPr n="NumberFormat" t="s"/>
    <rPr n="IsTitleField" t="b"/>
  </richProperties>
  <richStyles>
    <rSty dxfid="6">
      <rpv i="0">_-* #,##0.00 [$CHF-fr-CH]_-;-* #,##0.00 [$CHF-fr-CH]_-;_-* "-"?? [$CHF-fr-CH]_-;_-@_-</rpv>
    </rSty>
    <rSty dxfid="0">
      <rpv i="0">#,##0.00</rpv>
    </rSty>
    <rSty>
      <rpv i="1">1</rpv>
    </rSty>
    <rSty dxfid="1">
      <rpv i="0">#,##0</rpv>
    </rSty>
    <rSty dxfid="2"/>
    <rSty dxfid="6">
      <rpv i="0">_-* #,##0 [$CHF-fr-CH]_-;-* #,##0 [$CHF-fr-CH]_-;_-* "-" [$CHF-fr-CH]_-;_-@_-</rpv>
    </rSty>
    <rSty dxfid="5"/>
    <rSty dxfid="4">
      <rpv i="0">0</rpv>
    </rSty>
    <rSty dxfid="3">
      <rpv i="0">0.00</rpv>
    </rSty>
    <rSty dxfid="6">
      <rpv i="0">_([$$-en-US]* #,##0.00_);_([$$-en-US]* (#,##0.00);_([$$-en-US]* "-"??_);_(@_)</rpv>
    </rSty>
    <rSty dxfid="6">
      <rpv i="0">_([$¥-ja-JP]* #,##0_);_([$¥-ja-JP]* (#,##0);_([$¥-ja-JP]* "-"_);_(@_)</rpv>
    </rSty>
    <rSty dxfid="7">
      <rpv i="0">_(* #,##0.00_);_(* (#,##0.00);_(* "-"??_);_(@_)</rpv>
    </rSty>
    <rSty dxfid="6">
      <rpv i="0">_([$£-en-GB]* #,##0_);_([$£-en-GB]* (#,##0);_([$£-en-GB]* "-"_);_(@_)</rpv>
    </rSty>
  </richStyles>
</richStyleShee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mordorintelligence.com/industry-reports/luxury-watch-market" TargetMode="External"/><Relationship Id="rId2" Type="http://schemas.openxmlformats.org/officeDocument/2006/relationships/hyperlink" Target="https://www.statista.com/outlook/cmo/luxury-goods/luxury-watches-jewelry/luxury-watches/worldwide" TargetMode="External"/><Relationship Id="rId1" Type="http://schemas.openxmlformats.org/officeDocument/2006/relationships/hyperlink" Target="https://www.globenewswire.com/news-release/2023/04/17/2648058/0/en/The-Global-Luxury-Watch-Market-is-forecast-to-grow-by-2910-23-mn-during-2022-2027-accelerating-at-a-CAGR-of-1-61-during-the-forecast-period.html" TargetMode="Externa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U102"/>
  <sheetViews>
    <sheetView showGridLines="0" topLeftCell="B1" zoomScale="75" zoomScaleNormal="100" workbookViewId="0">
      <selection activeCell="C20" sqref="C20"/>
    </sheetView>
  </sheetViews>
  <sheetFormatPr defaultColWidth="11.42578125" defaultRowHeight="12.75"/>
  <cols>
    <col min="1" max="1" width="0.42578125" customWidth="1"/>
    <col min="2" max="2" width="24.85546875" customWidth="1"/>
    <col min="3" max="3" width="23.42578125" customWidth="1"/>
    <col min="4" max="4" width="32" customWidth="1"/>
    <col min="5" max="5" width="20.42578125" bestFit="1" customWidth="1"/>
    <col min="6" max="6" width="17" bestFit="1" customWidth="1"/>
    <col min="7" max="7" width="20.42578125" customWidth="1"/>
    <col min="8" max="8" width="24.85546875" customWidth="1"/>
    <col min="9" max="9" width="17.140625" customWidth="1"/>
    <col min="10" max="10" width="10.42578125" customWidth="1"/>
    <col min="11" max="11" width="19.42578125" customWidth="1"/>
    <col min="12" max="12" width="20.85546875" bestFit="1" customWidth="1"/>
    <col min="13" max="13" width="33.140625" customWidth="1"/>
    <col min="16" max="16" width="35.5703125" bestFit="1" customWidth="1"/>
    <col min="17" max="17" width="23.5703125" customWidth="1"/>
    <col min="18" max="18" width="18" customWidth="1"/>
    <col min="19" max="19" width="25.85546875" customWidth="1"/>
    <col min="20" max="20" width="18.28515625" customWidth="1"/>
  </cols>
  <sheetData>
    <row r="1" spans="2:21" ht="3.75" customHeight="1" thickBot="1"/>
    <row r="2" spans="2:21" ht="22.5" customHeight="1">
      <c r="B2" s="289">
        <v>45229</v>
      </c>
      <c r="C2" s="253" t="s">
        <v>0</v>
      </c>
      <c r="D2" s="290" t="s">
        <v>1</v>
      </c>
      <c r="E2" s="1238" t="e" vm="1">
        <f>Inputs!H3</f>
        <v>#VALUE!</v>
      </c>
      <c r="F2" s="1239"/>
      <c r="G2" s="1239"/>
      <c r="H2" s="1239"/>
      <c r="I2" s="1239"/>
      <c r="J2" s="1239"/>
      <c r="K2" s="1240"/>
      <c r="L2" s="254" t="s">
        <v>2</v>
      </c>
      <c r="M2" s="328" t="s">
        <v>3</v>
      </c>
    </row>
    <row r="3" spans="2:21" ht="26.25" customHeight="1">
      <c r="B3" s="1257"/>
      <c r="C3" s="1258"/>
      <c r="D3" s="1246" t="s">
        <v>4</v>
      </c>
      <c r="E3" s="1246"/>
      <c r="F3" s="1246"/>
      <c r="G3" s="1246"/>
      <c r="H3" s="1246" t="s">
        <v>5</v>
      </c>
      <c r="I3" s="1246"/>
      <c r="J3" s="1246"/>
      <c r="K3" s="1246"/>
      <c r="L3" s="1246"/>
      <c r="M3" s="1247"/>
    </row>
    <row r="4" spans="2:21">
      <c r="B4" s="1257"/>
      <c r="C4" s="1258"/>
      <c r="D4" s="1290" t="str" cm="1">
        <f t="array" ref="D4">_FV(Inputs!H3,"Description")</f>
        <v>The Swatch Group SA is a Switzerland-based holding company engaged in the apparel and accessories industry. The Company’s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v>
      </c>
      <c r="E4" s="1290"/>
      <c r="F4" s="1290"/>
      <c r="G4" s="1290"/>
      <c r="H4" s="127" t="s">
        <v>6</v>
      </c>
      <c r="I4" s="128" t="s">
        <v>7</v>
      </c>
      <c r="J4" s="128" t="s">
        <v>8</v>
      </c>
      <c r="K4" s="128" t="s">
        <v>9</v>
      </c>
      <c r="L4" s="128" t="s">
        <v>10</v>
      </c>
      <c r="M4" s="129" t="s">
        <v>11</v>
      </c>
    </row>
    <row r="5" spans="2:21" ht="19.149999999999999" customHeight="1">
      <c r="B5" s="1257"/>
      <c r="C5" s="1258"/>
      <c r="D5" s="1290"/>
      <c r="E5" s="1290"/>
      <c r="F5" s="1290"/>
      <c r="G5" s="1290"/>
      <c r="H5" s="1244" t="s">
        <v>12</v>
      </c>
      <c r="I5" s="1241" t="s">
        <v>13</v>
      </c>
      <c r="J5" s="1241">
        <v>68</v>
      </c>
      <c r="K5" s="1241">
        <v>2003</v>
      </c>
      <c r="L5" s="1241" t="s">
        <v>14</v>
      </c>
      <c r="M5" s="1248" t="s">
        <v>15</v>
      </c>
      <c r="Q5" s="981"/>
      <c r="R5" s="706"/>
      <c r="S5" s="261"/>
    </row>
    <row r="6" spans="2:21" ht="13.9" customHeight="1">
      <c r="B6" s="1257"/>
      <c r="C6" s="1258"/>
      <c r="D6" s="1290"/>
      <c r="E6" s="1290"/>
      <c r="F6" s="1290"/>
      <c r="G6" s="1290"/>
      <c r="H6" s="1245"/>
      <c r="I6" s="1242"/>
      <c r="J6" s="1242"/>
      <c r="K6" s="1242"/>
      <c r="L6" s="1242"/>
      <c r="M6" s="1249"/>
      <c r="Q6" s="1352"/>
      <c r="R6" s="1353"/>
      <c r="S6" s="1353"/>
      <c r="T6" s="1353"/>
    </row>
    <row r="7" spans="2:21" ht="17.45" customHeight="1">
      <c r="B7" s="1257"/>
      <c r="C7" s="1258"/>
      <c r="D7" s="1290"/>
      <c r="E7" s="1290"/>
      <c r="F7" s="1290"/>
      <c r="G7" s="1290"/>
      <c r="H7" s="1244" t="s">
        <v>16</v>
      </c>
      <c r="I7" s="1241" t="s">
        <v>17</v>
      </c>
      <c r="J7" s="1241">
        <v>72</v>
      </c>
      <c r="K7" s="1241">
        <v>2010</v>
      </c>
      <c r="L7" s="1241" t="s">
        <v>14</v>
      </c>
      <c r="M7" s="1287" t="s">
        <v>18</v>
      </c>
      <c r="Q7" s="113"/>
      <c r="R7" s="113"/>
      <c r="S7" s="113"/>
      <c r="T7" s="113"/>
    </row>
    <row r="8" spans="2:21" ht="12" customHeight="1">
      <c r="B8" s="1257"/>
      <c r="C8" s="1258"/>
      <c r="D8" s="1290"/>
      <c r="E8" s="1290"/>
      <c r="F8" s="1290"/>
      <c r="G8" s="1290"/>
      <c r="H8" s="1245"/>
      <c r="I8" s="1242"/>
      <c r="J8" s="1242"/>
      <c r="K8" s="1242"/>
      <c r="L8" s="1242"/>
      <c r="M8" s="1288"/>
      <c r="Q8" s="1004"/>
      <c r="R8" s="1005"/>
      <c r="S8" s="1006"/>
      <c r="T8" s="1006"/>
    </row>
    <row r="9" spans="2:21" ht="15" customHeight="1">
      <c r="B9" s="1257"/>
      <c r="C9" s="1258"/>
      <c r="D9" s="1290"/>
      <c r="E9" s="1290"/>
      <c r="F9" s="1290"/>
      <c r="G9" s="1290"/>
      <c r="H9" s="1244" t="s">
        <v>19</v>
      </c>
      <c r="I9" s="1241" t="s">
        <v>13</v>
      </c>
      <c r="J9" s="1241">
        <v>77</v>
      </c>
      <c r="K9" s="1241">
        <v>2011</v>
      </c>
      <c r="L9" s="1241" t="s">
        <v>14</v>
      </c>
      <c r="M9" s="1287" t="s">
        <v>20</v>
      </c>
    </row>
    <row r="10" spans="2:21" ht="16.149999999999999" customHeight="1">
      <c r="B10" s="1257"/>
      <c r="C10" s="1258"/>
      <c r="D10" s="1290"/>
      <c r="E10" s="1290"/>
      <c r="F10" s="1290"/>
      <c r="G10" s="1290"/>
      <c r="H10" s="1245"/>
      <c r="I10" s="1242"/>
      <c r="J10" s="1242"/>
      <c r="K10" s="1242"/>
      <c r="L10" s="1242"/>
      <c r="M10" s="1288"/>
      <c r="Q10" s="982"/>
      <c r="R10" s="261"/>
      <c r="S10" s="981"/>
    </row>
    <row r="11" spans="2:21">
      <c r="B11" s="1257"/>
      <c r="C11" s="1258"/>
      <c r="D11" s="1290"/>
      <c r="E11" s="1290"/>
      <c r="F11" s="1290"/>
      <c r="G11" s="1290"/>
      <c r="H11" s="1241" t="s">
        <v>21</v>
      </c>
      <c r="I11" s="1241" t="s">
        <v>17</v>
      </c>
      <c r="J11" s="1241" t="s">
        <v>22</v>
      </c>
      <c r="K11" s="1241">
        <v>2016</v>
      </c>
      <c r="L11" s="1241" t="s">
        <v>23</v>
      </c>
      <c r="M11" s="1255" t="s">
        <v>24</v>
      </c>
      <c r="R11" s="261"/>
      <c r="S11" s="982"/>
    </row>
    <row r="12" spans="2:21">
      <c r="B12" s="1257"/>
      <c r="C12" s="1258"/>
      <c r="D12" s="1290"/>
      <c r="E12" s="1290"/>
      <c r="F12" s="1290"/>
      <c r="G12" s="1290"/>
      <c r="H12" s="1242"/>
      <c r="I12" s="1242"/>
      <c r="J12" s="1242"/>
      <c r="K12" s="1242"/>
      <c r="L12" s="1242"/>
      <c r="M12" s="1256"/>
      <c r="P12" s="1354" t="s">
        <v>25</v>
      </c>
      <c r="Q12" s="1355"/>
      <c r="R12" s="1191" t="s">
        <v>26</v>
      </c>
      <c r="S12" s="1191" t="s">
        <v>27</v>
      </c>
      <c r="T12" s="1192" t="s">
        <v>28</v>
      </c>
    </row>
    <row r="13" spans="2:21">
      <c r="B13" s="1257"/>
      <c r="C13" s="1258"/>
      <c r="D13" s="1290"/>
      <c r="E13" s="1290"/>
      <c r="F13" s="1290"/>
      <c r="G13" s="1290"/>
      <c r="H13" s="1241" t="s">
        <v>29</v>
      </c>
      <c r="I13" s="1241" t="s">
        <v>13</v>
      </c>
      <c r="J13" s="1241">
        <v>78</v>
      </c>
      <c r="K13" s="1241">
        <v>2005</v>
      </c>
      <c r="L13" s="1241" t="s">
        <v>23</v>
      </c>
      <c r="M13" s="1255" t="s">
        <v>24</v>
      </c>
      <c r="P13" s="1011" t="e" vm="2">
        <v>#VALUE!</v>
      </c>
      <c r="Q13" s="1020" t="s">
        <v>30</v>
      </c>
      <c r="R13" s="1010">
        <v>28890</v>
      </c>
      <c r="S13" s="1009" cm="1">
        <f t="array" ref="S13">_FV(P13,"Price")</f>
        <v>227.5</v>
      </c>
      <c r="T13" s="1014">
        <f>S13*R13/1000</f>
        <v>6572.4750000000004</v>
      </c>
    </row>
    <row r="14" spans="2:21" ht="15" customHeight="1">
      <c r="B14" s="1257"/>
      <c r="C14" s="1258"/>
      <c r="D14" s="1290"/>
      <c r="E14" s="1290"/>
      <c r="F14" s="1290"/>
      <c r="G14" s="1290"/>
      <c r="H14" s="1242"/>
      <c r="I14" s="1242"/>
      <c r="J14" s="1242"/>
      <c r="K14" s="1242"/>
      <c r="L14" s="1242"/>
      <c r="M14" s="1256"/>
      <c r="P14" s="1008" t="e" vm="1">
        <v>#VALUE!</v>
      </c>
      <c r="Q14" s="1021" t="s">
        <v>31</v>
      </c>
      <c r="R14" s="1012">
        <v>114750</v>
      </c>
      <c r="S14" s="1013" cm="1">
        <f t="array" ref="S14">_FV(P14,"Price")</f>
        <v>43.65</v>
      </c>
      <c r="T14" s="1015">
        <f>S14*R14/1000</f>
        <v>5008.8374999999996</v>
      </c>
    </row>
    <row r="15" spans="2:21" ht="18" customHeight="1">
      <c r="B15" s="1257"/>
      <c r="C15" s="1258"/>
      <c r="D15" s="1290"/>
      <c r="E15" s="1290"/>
      <c r="F15" s="1290"/>
      <c r="G15" s="1290"/>
      <c r="H15" s="1241" t="s">
        <v>32</v>
      </c>
      <c r="I15" s="1241" t="s">
        <v>13</v>
      </c>
      <c r="J15" s="1241">
        <v>77</v>
      </c>
      <c r="K15" s="1241">
        <v>2010</v>
      </c>
      <c r="L15" s="1241" t="s">
        <v>23</v>
      </c>
      <c r="M15" s="1255" t="s">
        <v>24</v>
      </c>
      <c r="Q15" s="113"/>
      <c r="R15" s="1005"/>
      <c r="S15" s="1007"/>
      <c r="T15" s="1016">
        <f>SUM(T13:T14)</f>
        <v>11581.3125</v>
      </c>
      <c r="U15" t="s">
        <v>33</v>
      </c>
    </row>
    <row r="16" spans="2:21">
      <c r="B16" s="1257"/>
      <c r="C16" s="1258"/>
      <c r="D16" s="1290"/>
      <c r="E16" s="1290"/>
      <c r="F16" s="1290"/>
      <c r="G16" s="1290"/>
      <c r="H16" s="1243"/>
      <c r="I16" s="1243"/>
      <c r="J16" s="1243"/>
      <c r="K16" s="1243"/>
      <c r="L16" s="1243"/>
      <c r="M16" s="1289"/>
      <c r="T16" s="981" cm="1">
        <f t="array" ref="T16">_FV(P13,"Market cap",TRUE)/1000000</f>
        <v>11686.48</v>
      </c>
    </row>
    <row r="17" spans="2:17">
      <c r="B17" s="1236" t="s">
        <v>34</v>
      </c>
      <c r="C17" s="1237"/>
      <c r="D17" s="1290"/>
      <c r="E17" s="1290"/>
      <c r="F17" s="1290"/>
      <c r="G17" s="1290"/>
      <c r="H17" s="1242"/>
      <c r="I17" s="1242"/>
      <c r="J17" s="1242"/>
      <c r="K17" s="1242"/>
      <c r="L17" s="1242"/>
      <c r="M17" s="1256"/>
    </row>
    <row r="18" spans="2:17" ht="18">
      <c r="B18" s="1292" t="s">
        <v>35</v>
      </c>
      <c r="C18" s="1293"/>
      <c r="D18" s="1293"/>
      <c r="E18" s="1293"/>
      <c r="F18" s="1293"/>
      <c r="G18" s="1293"/>
      <c r="H18" s="1293"/>
      <c r="I18" s="1293"/>
      <c r="J18" s="1293"/>
      <c r="K18" s="1293"/>
      <c r="L18" s="1293"/>
      <c r="M18" s="1294"/>
      <c r="P18" s="704"/>
    </row>
    <row r="19" spans="2:17" ht="15.75">
      <c r="B19" s="1259" t="s">
        <v>36</v>
      </c>
      <c r="C19" s="1260"/>
      <c r="D19" s="1283" t="s">
        <v>37</v>
      </c>
      <c r="E19" s="1291"/>
      <c r="F19" s="1295" t="s">
        <v>38</v>
      </c>
      <c r="G19" s="1296"/>
      <c r="H19" s="1297"/>
      <c r="I19" s="1283" t="s">
        <v>39</v>
      </c>
      <c r="J19" s="1298"/>
      <c r="K19" s="1291"/>
      <c r="L19" s="1283" t="s">
        <v>40</v>
      </c>
      <c r="M19" s="1284"/>
      <c r="P19" s="261"/>
      <c r="Q19" s="706"/>
    </row>
    <row r="20" spans="2:17">
      <c r="B20" s="327" t="s">
        <v>41</v>
      </c>
      <c r="C20" s="719" cm="1">
        <f t="array" ref="C20">_FV(E2,"Price")</f>
        <v>43.65</v>
      </c>
      <c r="D20" s="13" t="s">
        <v>42</v>
      </c>
      <c r="E20" s="717">
        <f>_xlfn.XLOOKUP(D20,'Fin. Data'!A:A,'Fin. Data'!B:B,,0)</f>
        <v>13893</v>
      </c>
      <c r="F20" s="1261" t="s">
        <v>43</v>
      </c>
      <c r="G20" s="1262"/>
      <c r="H20" s="119" t="s">
        <v>44</v>
      </c>
      <c r="I20" t="s">
        <v>45</v>
      </c>
      <c r="J20" s="1285">
        <v>2022</v>
      </c>
      <c r="K20" s="1286"/>
      <c r="L20" s="12" t="s">
        <v>46</v>
      </c>
      <c r="M20" s="325">
        <f>38420000/C21</f>
        <v>0.26341139004014247</v>
      </c>
      <c r="P20" s="705"/>
      <c r="Q20" s="706"/>
    </row>
    <row r="21" spans="2:17" ht="12.75" customHeight="1">
      <c r="B21" s="327" t="s">
        <v>47</v>
      </c>
      <c r="C21" s="983" cm="1">
        <f t="array" ref="C21">_FV(E2,"Shares outstanding",TRUE)</f>
        <v>145855500</v>
      </c>
      <c r="D21" s="12" t="s">
        <v>48</v>
      </c>
      <c r="E21" s="717">
        <f>_xlfn.XLOOKUP(D21,'Fin. Data'!A:A,'Fin. Data'!B:B,,0)</f>
        <v>1908</v>
      </c>
      <c r="F21" s="1252" t="str">
        <f>Segments!C5</f>
        <v>Switzerland</v>
      </c>
      <c r="G21" s="1253"/>
      <c r="H21" s="17">
        <f>Segments!B5</f>
        <v>6.2941725563408449E-2</v>
      </c>
      <c r="I21" s="12" t="s">
        <v>49</v>
      </c>
      <c r="J21" s="1263" t="s">
        <v>50</v>
      </c>
      <c r="K21" s="1264"/>
      <c r="L21" s="12" t="s">
        <v>51</v>
      </c>
      <c r="M21" s="325">
        <v>0.53239999999999998</v>
      </c>
      <c r="N21" s="357"/>
      <c r="P21" s="706"/>
    </row>
    <row r="22" spans="2:17" ht="12.75" customHeight="1">
      <c r="B22" s="327" t="s">
        <v>52</v>
      </c>
      <c r="C22" s="716" cm="1">
        <f t="array" ref="C22">_FV(E2,"Market cap",TRUE)/1000000</f>
        <v>11686.48</v>
      </c>
      <c r="D22" s="12" t="s">
        <v>53</v>
      </c>
      <c r="E22" s="717">
        <f>_xlfn.XLOOKUP("Cash &amp; Eq.",'Fin. Data'!A:A,'Fin. Data'!B:B,,0)*1000000/C21</f>
        <v>7.9256524436857028</v>
      </c>
      <c r="F22" s="1252" t="str">
        <f>Segments!C6</f>
        <v>Rest of Europe</v>
      </c>
      <c r="G22" s="1253"/>
      <c r="H22" s="17">
        <f>Segments!B6</f>
        <v>0.20589411921589545</v>
      </c>
      <c r="I22" s="1250" t="s">
        <v>54</v>
      </c>
      <c r="J22" s="1250"/>
      <c r="K22" s="710">
        <f>_xlfn.XLOOKUP(I22,'Fin. Data'!A:A,'Fin. Data'!B:B,,0)</f>
        <v>1601</v>
      </c>
      <c r="L22" s="8" t="s">
        <v>55</v>
      </c>
      <c r="M22" s="326">
        <v>0.97</v>
      </c>
      <c r="N22" s="718"/>
    </row>
    <row r="23" spans="2:17" ht="12.75" customHeight="1">
      <c r="B23" s="324" t="s">
        <v>56</v>
      </c>
      <c r="C23" s="716">
        <f>'Fin. Data'!B59</f>
        <v>8</v>
      </c>
      <c r="D23" s="12" t="s">
        <v>57</v>
      </c>
      <c r="E23" s="271">
        <f>'Fin. Data (Common Size)'!B19/(-'Fin. Data (Common Size)'!B14)</f>
        <v>39.048780487804876</v>
      </c>
      <c r="F23" s="1252" t="str">
        <f>Segments!C7</f>
        <v>Greater China (inc. Macau, HK)</v>
      </c>
      <c r="G23" s="1253"/>
      <c r="H23" s="17">
        <f>Segments!B7</f>
        <v>0.31604213895186023</v>
      </c>
      <c r="I23" s="1251" t="s">
        <v>58</v>
      </c>
      <c r="J23" s="1251"/>
      <c r="K23" s="710">
        <f>_xlfn.XLOOKUP(I23,'Fin. Data'!A:A,'Fin. Data'!B:B,,0)</f>
        <v>406</v>
      </c>
      <c r="L23" s="12" t="s">
        <v>59</v>
      </c>
      <c r="M23" s="323" t="s">
        <v>22</v>
      </c>
    </row>
    <row r="24" spans="2:17" ht="12.75" customHeight="1">
      <c r="B24" s="324" t="s">
        <v>60</v>
      </c>
      <c r="C24" s="716">
        <f>'Fin. Data'!B40</f>
        <v>1156</v>
      </c>
      <c r="D24" s="12" t="s">
        <v>61</v>
      </c>
      <c r="E24" s="271">
        <f>_xlfn.XLOOKUP("Total Debt",'Fin. Data'!A:A,'Fin. Data'!B:B,,0)/_xlfn.XLOOKUP("EBITDA",'Fin. Data'!A:A,'Fin. Data'!B:B,,0)</f>
        <v>4.996876951905059E-3</v>
      </c>
      <c r="F24" s="1252" t="str">
        <f>Segments!C8</f>
        <v>Rest of Asia</v>
      </c>
      <c r="G24" s="1253"/>
      <c r="H24" s="17">
        <f>Segments!B8</f>
        <v>0.24443259101213496</v>
      </c>
      <c r="I24" s="1251" t="s">
        <v>62</v>
      </c>
      <c r="J24" s="1251"/>
      <c r="K24" s="710">
        <f>_xlfn.XLOOKUP(I24,'Fin. Data'!A:A,'Fin. Data'!B:B,,0)</f>
        <v>1195</v>
      </c>
      <c r="L24" s="12" t="s">
        <v>63</v>
      </c>
      <c r="M24" s="322">
        <f>IFERROR((C20*C21/(E20-E21))/1000000,"")</f>
        <v>0.53121339799749689</v>
      </c>
    </row>
    <row r="25" spans="2:17" ht="12.75" customHeight="1">
      <c r="B25" s="324" t="s">
        <v>64</v>
      </c>
      <c r="C25" s="716">
        <f>C22+C23-C24</f>
        <v>10538.48</v>
      </c>
      <c r="D25" s="12" t="s">
        <v>65</v>
      </c>
      <c r="E25" s="271">
        <f>_xlfn.XLOOKUP("Other Assets",'Fin. Data'!A:A,'Fin. Data'!B:B,,0)/_xlfn.XLOOKUP("Total Assets",'Fin. Data'!A:A,'Fin. Data'!B:B,,0)</f>
        <v>0.20132440797523932</v>
      </c>
      <c r="F25" s="1252" t="str">
        <f>Segments!C9</f>
        <v>Americas</v>
      </c>
      <c r="G25" s="1253"/>
      <c r="H25" s="17">
        <f>Segments!B9</f>
        <v>0.15202026936924923</v>
      </c>
      <c r="I25" s="1250" t="s">
        <v>66</v>
      </c>
      <c r="J25" s="1250"/>
      <c r="K25" s="710">
        <f>_xlfn.XLOOKUP(I25,'Fin. Data'!A:A,'Fin. Data'!B:B,,0)</f>
        <v>807</v>
      </c>
      <c r="L25" s="12" t="s">
        <v>67</v>
      </c>
      <c r="M25" s="321">
        <f>IFERROR(K31/E20,"")</f>
        <v>3.6493198013388038E-2</v>
      </c>
    </row>
    <row r="26" spans="2:17" ht="12.75" customHeight="1">
      <c r="B26" s="324" t="s">
        <v>68</v>
      </c>
      <c r="C26" s="141" t="s">
        <v>69</v>
      </c>
      <c r="D26" s="12" t="s">
        <v>70</v>
      </c>
      <c r="E26" s="271">
        <f>_xlfn.XLOOKUP(D26,'Fin. Data'!A:A,'Fin. Data'!B:B,,0)</f>
        <v>5.7582955445188223E-4</v>
      </c>
      <c r="F26" s="1252" t="str">
        <f>Segments!C10</f>
        <v>Oceania &amp; Africa</v>
      </c>
      <c r="G26" s="1253"/>
      <c r="H26" s="17">
        <f>Segments!B10</f>
        <v>1.8669155887451661E-2</v>
      </c>
      <c r="I26" s="1250" t="s">
        <v>71</v>
      </c>
      <c r="J26" s="1250"/>
      <c r="K26" s="710">
        <f>1000000*K25/C21</f>
        <v>5.5328732889743613</v>
      </c>
      <c r="L26" s="12" t="s">
        <v>72</v>
      </c>
      <c r="M26" s="320">
        <f>IFERROR(C22/K30,"")</f>
        <v>23.050256410256409</v>
      </c>
    </row>
    <row r="27" spans="2:17" ht="12.75" customHeight="1">
      <c r="B27" s="327" t="s">
        <v>73</v>
      </c>
      <c r="C27" s="142" t="s">
        <v>69</v>
      </c>
      <c r="D27" s="12" t="s">
        <v>74</v>
      </c>
      <c r="E27" s="140">
        <f>AVERAGE(_xlfn.XLOOKUP("EBITDA Margin",'Fin. Data'!A:A,'Fin. Data'!B:D,,0))</f>
        <v>0.16960126805630552</v>
      </c>
      <c r="F27" s="1252"/>
      <c r="G27" s="1253"/>
      <c r="H27" s="17"/>
      <c r="I27" s="1250" t="s">
        <v>75</v>
      </c>
      <c r="J27" s="1250"/>
      <c r="K27" s="81">
        <f>K25/E20</f>
        <v>5.8086806305333624E-2</v>
      </c>
      <c r="L27" s="12" t="s">
        <v>76</v>
      </c>
      <c r="M27" s="319">
        <f>IFERROR(C25/E20,"")</f>
        <v>0.75854603037500901</v>
      </c>
    </row>
    <row r="28" spans="2:17" ht="12.75" customHeight="1">
      <c r="B28" s="327" t="s">
        <v>77</v>
      </c>
      <c r="C28" s="1178"/>
      <c r="D28" s="12" t="s">
        <v>78</v>
      </c>
      <c r="E28" s="140">
        <f>AVERAGE(_xlfn.XLOOKUP("Operating Margin",'Fin. Data'!A:A,'Fin. Data'!B:D,,0))</f>
        <v>0.10110966242142183</v>
      </c>
      <c r="F28" s="1071" t="s">
        <v>79</v>
      </c>
      <c r="G28" s="1072"/>
      <c r="H28" s="120" t="s">
        <v>44</v>
      </c>
      <c r="I28" s="1250" t="s">
        <v>80</v>
      </c>
      <c r="J28" s="1250"/>
      <c r="K28" s="81">
        <f>K25/(E20-(E21-C23))</f>
        <v>6.7289252063703828E-2</v>
      </c>
      <c r="L28" s="12" t="s">
        <v>81</v>
      </c>
      <c r="M28" s="319">
        <f>IFERROR(C25/K29,"")</f>
        <v>8.7820666666666671</v>
      </c>
    </row>
    <row r="29" spans="2:17" ht="15.75">
      <c r="B29" s="1259" t="s">
        <v>82</v>
      </c>
      <c r="C29" s="1260"/>
      <c r="D29" s="12" t="s">
        <v>83</v>
      </c>
      <c r="E29" s="140">
        <f>AVERAGE(_xlfn.XLOOKUP("Net Income Margin",'Fin. Data'!A:A,'Fin. Data'!B:D,,0))</f>
        <v>6.7702432998078863E-2</v>
      </c>
      <c r="F29" s="1252" t="str">
        <f>Segments!C18</f>
        <v>Watches &amp; Jewelry</v>
      </c>
      <c r="G29" s="1253"/>
      <c r="H29" s="17">
        <f>Segments!B18</f>
        <v>0.95226030137351647</v>
      </c>
      <c r="I29" s="1250" t="s">
        <v>84</v>
      </c>
      <c r="J29" s="1250"/>
      <c r="K29" s="710">
        <f>AVERAGE(_xlfn.XLOOKUP("EBITDA",'Fin. Data'!A:A,'Fin. Data'!B:D,,0))</f>
        <v>1200</v>
      </c>
      <c r="L29" s="12" t="s">
        <v>85</v>
      </c>
      <c r="M29" s="320">
        <f>IFERROR(C22/K31,"")</f>
        <v>23.050256410256409</v>
      </c>
    </row>
    <row r="30" spans="2:17" ht="12.75" customHeight="1">
      <c r="B30" s="9" t="s">
        <v>86</v>
      </c>
      <c r="C30" s="404"/>
      <c r="D30" s="295"/>
      <c r="E30" s="145"/>
      <c r="F30" s="1252" t="str">
        <f>Segments!C19</f>
        <v>Electronic Systems</v>
      </c>
      <c r="G30" s="1253"/>
      <c r="H30" s="17">
        <f>Segments!B19</f>
        <v>4.7072943059074543E-2</v>
      </c>
      <c r="I30" s="1250" t="s">
        <v>87</v>
      </c>
      <c r="J30" s="1250"/>
      <c r="K30" s="710">
        <f>AVERAGE(_xlfn.XLOOKUP("Net Income",'Fin. Data'!A:A,'Fin. Data'!B:D,,0))</f>
        <v>507</v>
      </c>
      <c r="L30" s="12" t="s">
        <v>88</v>
      </c>
      <c r="M30" s="318" t="s">
        <v>69</v>
      </c>
    </row>
    <row r="31" spans="2:17" ht="12.75" customHeight="1">
      <c r="B31" s="9" t="s">
        <v>89</v>
      </c>
      <c r="C31" s="703"/>
      <c r="D31" s="12" t="s">
        <v>90</v>
      </c>
      <c r="E31" s="343">
        <f>-_xlfn.XLOOKUP("Net Financial Cost",'Fin. Data'!A:A,'Fin. Data'!B:B,,0)/AVERAGE(_xlfn.XLOOKUP("Net Debt",'Fin. Data'!A:A,'Fin. Data'!B:D,,0))</f>
        <v>-5.5405405405405408E-2</v>
      </c>
      <c r="F31" s="1252" t="str">
        <f>Segments!C20</f>
        <v>Others</v>
      </c>
      <c r="G31" s="1253"/>
      <c r="H31" s="17">
        <f>Segments!B20</f>
        <v>6.6675556740898785E-4</v>
      </c>
      <c r="I31" s="1250" t="s">
        <v>91</v>
      </c>
      <c r="J31" s="1250"/>
      <c r="K31" s="710">
        <f>AVERAGE(_xlfn.XLOOKUP("Net Income",'Fin. Data'!A:A,'Fin. Data'!B:D,,0))</f>
        <v>507</v>
      </c>
      <c r="L31" s="12" t="s">
        <v>92</v>
      </c>
      <c r="M31" s="317">
        <f>-IFERROR(SUM(E53:E55)/(3*C22),"")</f>
        <v>2.2961005652115379E-2</v>
      </c>
    </row>
    <row r="32" spans="2:17" ht="12.6" customHeight="1">
      <c r="B32" s="564" t="s">
        <v>93</v>
      </c>
      <c r="C32" s="565"/>
      <c r="D32" s="566"/>
      <c r="E32" s="567"/>
      <c r="F32" s="1299"/>
      <c r="G32" s="1300"/>
      <c r="H32" s="568"/>
      <c r="I32" s="566"/>
      <c r="J32" s="569"/>
      <c r="K32" s="569"/>
      <c r="L32" s="570" t="s">
        <v>94</v>
      </c>
      <c r="M32" s="571">
        <f>-IFERROR(L54/C22,"")</f>
        <v>2.5670689548948872E-2</v>
      </c>
    </row>
    <row r="33" spans="1:19" ht="18">
      <c r="B33" s="1254" t="s">
        <v>95</v>
      </c>
      <c r="C33" s="1254"/>
      <c r="D33" s="1254"/>
      <c r="E33" s="1254"/>
      <c r="F33" s="1254"/>
      <c r="G33" s="1254"/>
      <c r="H33" s="1254"/>
      <c r="I33" s="1254"/>
      <c r="J33" s="1254"/>
      <c r="K33" s="1254"/>
      <c r="L33" s="1254"/>
      <c r="M33" s="1254"/>
    </row>
    <row r="34" spans="1:19" ht="15.75" customHeight="1">
      <c r="B34" s="1342" t="s">
        <v>96</v>
      </c>
      <c r="C34" s="1342"/>
      <c r="D34" s="1342"/>
      <c r="E34" s="1342"/>
      <c r="F34" s="1342"/>
      <c r="G34" s="1342"/>
      <c r="H34" s="1320" t="s">
        <v>97</v>
      </c>
      <c r="I34" s="1321"/>
      <c r="J34" s="1321"/>
      <c r="K34" s="1321"/>
      <c r="L34" s="1321"/>
      <c r="M34" s="1322"/>
      <c r="N34" s="11"/>
      <c r="O34" s="941"/>
    </row>
    <row r="35" spans="1:19" ht="13.35" customHeight="1">
      <c r="A35" s="11"/>
      <c r="B35" s="572" t="s">
        <v>98</v>
      </c>
      <c r="C35" s="1343" t="s">
        <v>99</v>
      </c>
      <c r="D35" s="1343"/>
      <c r="E35" s="1343"/>
      <c r="F35" s="1343"/>
      <c r="G35" s="1343"/>
      <c r="H35" s="1311" t="s">
        <v>100</v>
      </c>
      <c r="I35" s="1312"/>
      <c r="J35" s="1312"/>
      <c r="K35" s="1312"/>
      <c r="L35" s="1312"/>
      <c r="M35" s="1313"/>
    </row>
    <row r="36" spans="1:19" ht="24.6" customHeight="1">
      <c r="A36" s="11"/>
      <c r="B36" s="1079" t="s">
        <v>101</v>
      </c>
      <c r="C36" s="1325" t="s">
        <v>102</v>
      </c>
      <c r="D36" s="1326"/>
      <c r="E36" s="1326"/>
      <c r="F36" s="1326"/>
      <c r="G36" s="1326"/>
      <c r="H36" s="1314"/>
      <c r="I36" s="1315"/>
      <c r="J36" s="1315"/>
      <c r="K36" s="1315"/>
      <c r="L36" s="1315"/>
      <c r="M36" s="1316"/>
    </row>
    <row r="37" spans="1:19" ht="24.6" customHeight="1">
      <c r="A37" s="11"/>
      <c r="B37" s="1080" t="s">
        <v>103</v>
      </c>
      <c r="C37" s="1325" t="s">
        <v>104</v>
      </c>
      <c r="D37" s="1340"/>
      <c r="E37" s="1340"/>
      <c r="F37" s="1340"/>
      <c r="G37" s="1340"/>
      <c r="H37" s="1314"/>
      <c r="I37" s="1315"/>
      <c r="J37" s="1315"/>
      <c r="K37" s="1315"/>
      <c r="L37" s="1315"/>
      <c r="M37" s="1316"/>
    </row>
    <row r="38" spans="1:19" ht="24.6" customHeight="1">
      <c r="B38" s="1079" t="s">
        <v>105</v>
      </c>
      <c r="C38" s="1325" t="s">
        <v>106</v>
      </c>
      <c r="D38" s="1325"/>
      <c r="E38" s="1325"/>
      <c r="F38" s="1325"/>
      <c r="G38" s="1325"/>
      <c r="H38" s="1317"/>
      <c r="I38" s="1318"/>
      <c r="J38" s="1318"/>
      <c r="K38" s="1318"/>
      <c r="L38" s="1318"/>
      <c r="M38" s="1319"/>
    </row>
    <row r="39" spans="1:19" ht="15.75">
      <c r="B39" s="1342" t="s">
        <v>107</v>
      </c>
      <c r="C39" s="1327"/>
      <c r="D39" s="1327"/>
      <c r="E39" s="1327"/>
      <c r="F39" s="1327"/>
      <c r="G39" s="1327"/>
      <c r="H39" s="622" t="s">
        <v>108</v>
      </c>
      <c r="I39" s="1327" t="s">
        <v>109</v>
      </c>
      <c r="J39" s="1327"/>
      <c r="K39" s="1327"/>
      <c r="L39" s="1327"/>
      <c r="M39" s="1327"/>
    </row>
    <row r="40" spans="1:19" ht="13.35" customHeight="1">
      <c r="B40" s="623" t="s">
        <v>110</v>
      </c>
      <c r="C40" s="1336" t="s">
        <v>99</v>
      </c>
      <c r="D40" s="1337"/>
      <c r="E40" s="1337"/>
      <c r="F40" s="1337"/>
      <c r="G40" s="1338"/>
      <c r="H40" s="1265">
        <f>DCF!J58</f>
        <v>50.237189823297207</v>
      </c>
      <c r="I40" s="1268" t="s">
        <v>111</v>
      </c>
      <c r="J40" s="1271">
        <f>DCF!E50</f>
        <v>8.3839606646320786E-2</v>
      </c>
      <c r="K40" s="1272"/>
      <c r="L40" s="1277" t="s">
        <v>112</v>
      </c>
      <c r="M40" s="1280">
        <f>DCF!J57</f>
        <v>0.15090927430234147</v>
      </c>
    </row>
    <row r="41" spans="1:19" ht="13.35" customHeight="1">
      <c r="B41" s="624" t="s">
        <v>113</v>
      </c>
      <c r="C41" s="1339" t="s">
        <v>114</v>
      </c>
      <c r="D41" s="1340"/>
      <c r="E41" s="1340"/>
      <c r="F41" s="1340"/>
      <c r="G41" s="1341"/>
      <c r="H41" s="1266"/>
      <c r="I41" s="1269"/>
      <c r="J41" s="1273"/>
      <c r="K41" s="1274"/>
      <c r="L41" s="1278"/>
      <c r="M41" s="1281"/>
    </row>
    <row r="42" spans="1:19" ht="13.35" customHeight="1">
      <c r="B42" s="626" t="s">
        <v>115</v>
      </c>
      <c r="C42" s="1333" t="s">
        <v>116</v>
      </c>
      <c r="D42" s="1334"/>
      <c r="E42" s="1334"/>
      <c r="F42" s="1334"/>
      <c r="G42" s="1335"/>
      <c r="H42" s="1266"/>
      <c r="I42" s="1269"/>
      <c r="J42" s="1273"/>
      <c r="K42" s="1274"/>
      <c r="L42" s="1278"/>
      <c r="M42" s="1281"/>
    </row>
    <row r="43" spans="1:19" ht="12.75" customHeight="1">
      <c r="B43" s="627" t="s">
        <v>117</v>
      </c>
      <c r="C43" s="1308" t="s">
        <v>118</v>
      </c>
      <c r="D43" s="1309"/>
      <c r="E43" s="1309"/>
      <c r="F43" s="1309"/>
      <c r="G43" s="1310"/>
      <c r="H43" s="1266"/>
      <c r="I43" s="1269"/>
      <c r="J43" s="1273"/>
      <c r="K43" s="1274"/>
      <c r="L43" s="1278"/>
      <c r="M43" s="1281"/>
      <c r="Q43" s="18"/>
      <c r="R43" s="18"/>
      <c r="S43" s="18"/>
    </row>
    <row r="44" spans="1:19" ht="24.75" customHeight="1">
      <c r="B44" s="625" t="s">
        <v>119</v>
      </c>
      <c r="C44" s="1330" t="s">
        <v>120</v>
      </c>
      <c r="D44" s="1331"/>
      <c r="E44" s="1331"/>
      <c r="F44" s="1331"/>
      <c r="G44" s="1332"/>
      <c r="H44" s="1267"/>
      <c r="I44" s="1270"/>
      <c r="J44" s="1275"/>
      <c r="K44" s="1276"/>
      <c r="L44" s="1279"/>
      <c r="M44" s="1282"/>
      <c r="P44" s="19"/>
      <c r="Q44" s="18">
        <f t="shared" ref="Q44:Q50" si="0">F49/F48-1</f>
        <v>-2.8461538461538463</v>
      </c>
      <c r="R44" s="18">
        <f t="shared" ref="R44:S50" si="1">H49/H48-1</f>
        <v>8.9775561097256817E-2</v>
      </c>
      <c r="S44" s="18">
        <f t="shared" si="1"/>
        <v>-0.35843373493975905</v>
      </c>
    </row>
    <row r="45" spans="1:19" ht="18">
      <c r="B45" s="1292" t="s">
        <v>121</v>
      </c>
      <c r="C45" s="1293"/>
      <c r="D45" s="1293"/>
      <c r="E45" s="1293"/>
      <c r="F45" s="1293"/>
      <c r="G45" s="1293"/>
      <c r="H45" s="1293"/>
      <c r="I45" s="1293"/>
      <c r="J45" s="1293"/>
      <c r="K45" s="1293"/>
      <c r="L45" s="1293"/>
      <c r="M45" s="1294"/>
      <c r="P45" s="19"/>
      <c r="Q45" s="18">
        <f t="shared" si="0"/>
        <v>-2.0763888888888888</v>
      </c>
      <c r="R45" s="18">
        <f t="shared" si="1"/>
        <v>8.9244851258581281E-2</v>
      </c>
      <c r="S45" s="18">
        <f t="shared" si="1"/>
        <v>-9.8591549295774628E-2</v>
      </c>
    </row>
    <row r="46" spans="1:19">
      <c r="B46" s="130" t="s">
        <v>122</v>
      </c>
      <c r="C46" s="131" t="s">
        <v>123</v>
      </c>
      <c r="D46" s="131" t="s">
        <v>124</v>
      </c>
      <c r="E46" s="147" t="s">
        <v>125</v>
      </c>
      <c r="F46" s="131" t="s">
        <v>126</v>
      </c>
      <c r="G46" s="131" t="s">
        <v>70</v>
      </c>
      <c r="H46" s="146" t="s">
        <v>58</v>
      </c>
      <c r="I46" s="146" t="s">
        <v>127</v>
      </c>
      <c r="J46" s="1323" t="s">
        <v>128</v>
      </c>
      <c r="K46" s="1323"/>
      <c r="L46" s="1323"/>
      <c r="M46" s="1324"/>
      <c r="P46" s="19"/>
      <c r="Q46" s="18">
        <f t="shared" si="0"/>
        <v>-3.5096774193548388</v>
      </c>
      <c r="R46" s="18">
        <f t="shared" si="1"/>
        <v>1.0504201680672232E-2</v>
      </c>
      <c r="S46" s="18">
        <f t="shared" si="1"/>
        <v>0.35416666666666674</v>
      </c>
    </row>
    <row r="47" spans="1:19">
      <c r="B47" s="121">
        <f t="shared" ref="B47:B53" si="2">B48-1</f>
        <v>2014</v>
      </c>
      <c r="C47" s="711" cm="1">
        <f t="array" ref="C47:C55">_xlfn.SORTBY(TRANSPOSE(_xlfn.XLOOKUP(C$46,'Fin. Data'!$A:$A,'Fin. Data'!$B:$J,,0)),$B$47:$B$55,-1)</f>
        <v>8709</v>
      </c>
      <c r="D47" s="123" cm="1">
        <f t="array" ref="D47:D55">_xlfn.SORTBY(TRANSPOSE(_xlfn.XLOOKUP(D$46,'Fin. Data'!$A:$A,'Fin. Data'!$B:$J,,0)),$B$47:$B$55,-1)</f>
        <v>0.2011712022046159</v>
      </c>
      <c r="E47" s="711" cm="1">
        <f t="array" ref="E47:E55">_xlfn.SORTBY(TRANSPOSE(_xlfn.XLOOKUP(E$46,'Fin. Data'!$A:$A,'Fin. Data'!$B:$J,,0)),$B$47:$B$55,-1)</f>
        <v>-528</v>
      </c>
      <c r="F47" s="715">
        <f>Inputs!J78</f>
        <v>294</v>
      </c>
      <c r="G47" s="123" cm="1">
        <f t="array" ref="G47:G55">_xlfn.SORTBY(TRANSPOSE(_xlfn.XLOOKUP(G$46,'Fin. Data'!$A:$A,'Fin. Data'!$B:$J,,0)),$B$47:$B$55,-1)</f>
        <v>3.4517925786459558E-3</v>
      </c>
      <c r="H47" s="711" cm="1">
        <f t="array" ref="H47:H55">_xlfn.SORTBY(TRANSPOSE(_xlfn.XLOOKUP(H$46,'Fin. Data'!$A:$A,'Fin. Data'!$B:$J,,0)),$B$47:$B$55,-1)</f>
        <v>358</v>
      </c>
      <c r="I47" s="711" cm="1">
        <f t="array" ref="I47:I55">_xlfn.SORTBY(TRANSPOSE(_xlfn.XLOOKUP(I$46,'Fin. Data'!$A:$A,'Fin. Data'!$B:$J,,0)),$B$47:$B$55,-1)</f>
        <v>-1390</v>
      </c>
      <c r="J47" s="294"/>
      <c r="K47" s="144"/>
      <c r="L47" s="124">
        <f>J20</f>
        <v>2022</v>
      </c>
      <c r="M47" s="296">
        <f>L47-1</f>
        <v>2021</v>
      </c>
      <c r="P47" s="19"/>
      <c r="Q47" s="18">
        <f t="shared" si="0"/>
        <v>-1.6323907455012854</v>
      </c>
      <c r="R47" s="18">
        <f t="shared" si="1"/>
        <v>0</v>
      </c>
      <c r="S47" s="18">
        <f t="shared" si="1"/>
        <v>-0.33461538461538465</v>
      </c>
    </row>
    <row r="48" spans="1:19">
      <c r="B48" s="121">
        <f t="shared" si="2"/>
        <v>2015</v>
      </c>
      <c r="C48" s="711">
        <v>8451</v>
      </c>
      <c r="D48" s="122">
        <v>0.17169565731866052</v>
      </c>
      <c r="E48" s="711">
        <v>-460</v>
      </c>
      <c r="F48" s="715">
        <f>Inputs!I78</f>
        <v>78</v>
      </c>
      <c r="G48" s="123">
        <v>3.0143180105501131E-3</v>
      </c>
      <c r="H48" s="711">
        <v>401</v>
      </c>
      <c r="I48" s="711">
        <v>-996</v>
      </c>
      <c r="J48" s="1301" t="s">
        <v>66</v>
      </c>
      <c r="K48" s="1302"/>
      <c r="L48" s="710">
        <f>_xlfn.XLOOKUP($J48,'Fin. Data'!$A:$A,'Fin. Data'!B:B,,0)</f>
        <v>807</v>
      </c>
      <c r="M48" s="712">
        <f>_xlfn.XLOOKUP($J48,'Fin. Data'!$A:$A,'Fin. Data'!C:C,,0)</f>
        <v>765</v>
      </c>
      <c r="N48" s="20">
        <f>(C48/C47)-1</f>
        <v>-2.9624526352049596E-2</v>
      </c>
      <c r="O48" s="20">
        <f t="shared" ref="O48:O56" si="3">(D48/D47)-1</f>
        <v>-0.14651970343138443</v>
      </c>
      <c r="P48" s="19"/>
      <c r="Q48" s="18">
        <f t="shared" si="0"/>
        <v>0.5934959349593496</v>
      </c>
      <c r="R48" s="18">
        <f t="shared" si="1"/>
        <v>-3.7422037422037424E-2</v>
      </c>
      <c r="S48" s="18">
        <f t="shared" si="1"/>
        <v>-0.25818882466281312</v>
      </c>
    </row>
    <row r="49" spans="2:19">
      <c r="B49" s="121">
        <f t="shared" si="2"/>
        <v>2016</v>
      </c>
      <c r="C49" s="711">
        <v>7553</v>
      </c>
      <c r="D49" s="122">
        <v>0.10658016682113068</v>
      </c>
      <c r="E49" s="711">
        <v>-771</v>
      </c>
      <c r="F49" s="715">
        <f>Inputs!H78</f>
        <v>-144</v>
      </c>
      <c r="G49" s="123">
        <v>1.0987334045475354E-2</v>
      </c>
      <c r="H49" s="711">
        <v>437</v>
      </c>
      <c r="I49" s="711">
        <v>-639</v>
      </c>
      <c r="J49" s="1301" t="s">
        <v>129</v>
      </c>
      <c r="K49" s="1302"/>
      <c r="L49" s="710">
        <f>_xlfn.XLOOKUP($J49,'Fin. Data'!$A:$A,'Fin. Data'!B:B,,0)</f>
        <v>724</v>
      </c>
      <c r="M49" s="712">
        <f>_xlfn.XLOOKUP($J49,'Fin. Data'!$A:$A,'Fin. Data'!C:C,,0)</f>
        <v>1298</v>
      </c>
      <c r="N49" s="20">
        <f t="shared" ref="N49:N56" si="4">(C49/C48)-1</f>
        <v>-0.10625961424683472</v>
      </c>
      <c r="O49" s="20">
        <f t="shared" si="3"/>
        <v>-0.37924949014102316</v>
      </c>
      <c r="P49" s="19"/>
      <c r="Q49" s="18">
        <f t="shared" si="0"/>
        <v>-0.11479591836734693</v>
      </c>
      <c r="R49" s="18">
        <f t="shared" si="1"/>
        <v>-5.6155507559395246E-2</v>
      </c>
      <c r="S49" s="18">
        <f t="shared" si="1"/>
        <v>1.1558441558441559</v>
      </c>
    </row>
    <row r="50" spans="2:19" ht="13.35" customHeight="1">
      <c r="B50" s="121">
        <f t="shared" si="2"/>
        <v>2017</v>
      </c>
      <c r="C50" s="711">
        <v>7989</v>
      </c>
      <c r="D50" s="122">
        <v>0.12542245587683065</v>
      </c>
      <c r="E50" s="711">
        <v>-578</v>
      </c>
      <c r="F50" s="715">
        <f>Inputs!G78</f>
        <v>155</v>
      </c>
      <c r="G50" s="123">
        <v>2.74501075747459E-3</v>
      </c>
      <c r="H50" s="711">
        <v>476</v>
      </c>
      <c r="I50" s="711">
        <v>-576</v>
      </c>
      <c r="J50" s="1301" t="s">
        <v>130</v>
      </c>
      <c r="K50" s="1351"/>
      <c r="L50" s="710">
        <f>_xlfn.XLOOKUP($J50,'Fin. Data'!$A:$A,'Fin. Data'!B:B,,0)</f>
        <v>-114</v>
      </c>
      <c r="M50" s="712">
        <f>_xlfn.XLOOKUP($J50,'Fin. Data'!$A:$A,'Fin. Data'!C:C,,0)</f>
        <v>-727</v>
      </c>
      <c r="N50" s="20">
        <f t="shared" si="4"/>
        <v>5.7725407122997563E-2</v>
      </c>
      <c r="O50" s="20">
        <f t="shared" si="3"/>
        <v>0.17678982514000241</v>
      </c>
      <c r="P50" s="19"/>
      <c r="Q50" s="18">
        <f t="shared" si="0"/>
        <v>-0.16714697406340062</v>
      </c>
      <c r="R50" s="18">
        <f t="shared" si="1"/>
        <v>-7.0938215102974822E-2</v>
      </c>
      <c r="S50" s="18">
        <f t="shared" si="1"/>
        <v>1.4746987951807231</v>
      </c>
    </row>
    <row r="51" spans="2:19">
      <c r="B51" s="121">
        <f t="shared" si="2"/>
        <v>2018</v>
      </c>
      <c r="C51" s="711">
        <v>8475</v>
      </c>
      <c r="D51" s="122">
        <v>0.13616519174041297</v>
      </c>
      <c r="E51" s="711">
        <v>-804</v>
      </c>
      <c r="F51" s="715">
        <f>Inputs!F78</f>
        <v>-389</v>
      </c>
      <c r="G51" s="123">
        <v>1.3322597174438181E-2</v>
      </c>
      <c r="H51" s="711">
        <v>481</v>
      </c>
      <c r="I51" s="711">
        <v>-780</v>
      </c>
      <c r="J51" s="1304" t="s">
        <v>131</v>
      </c>
      <c r="K51" s="1305"/>
      <c r="L51" s="710">
        <f>_xlfn.XLOOKUP($J51,'Fin. Data'!$A:$A,'Fin. Data'!B:B,,0)</f>
        <v>-339</v>
      </c>
      <c r="M51" s="712">
        <f>_xlfn.XLOOKUP($J51,'Fin. Data'!$A:$A,'Fin. Data'!C:C,,0)</f>
        <v>-251</v>
      </c>
      <c r="N51" s="20">
        <f t="shared" si="4"/>
        <v>6.083364626361254E-2</v>
      </c>
      <c r="O51" s="20">
        <f t="shared" si="3"/>
        <v>8.5652411990178701E-2</v>
      </c>
      <c r="P51" s="19"/>
      <c r="Q51" s="18"/>
      <c r="R51" s="18"/>
      <c r="S51" s="18"/>
    </row>
    <row r="52" spans="2:19">
      <c r="B52" s="121">
        <f t="shared" si="2"/>
        <v>2019</v>
      </c>
      <c r="C52" s="711">
        <v>8243</v>
      </c>
      <c r="D52" s="122">
        <v>0.12410530146791217</v>
      </c>
      <c r="E52" s="711">
        <v>-465</v>
      </c>
      <c r="F52" s="715">
        <f>Inputs!E78</f>
        <v>246</v>
      </c>
      <c r="G52" s="123">
        <v>2.1910604732690623E-3</v>
      </c>
      <c r="H52" s="711">
        <v>481</v>
      </c>
      <c r="I52" s="711">
        <v>-519</v>
      </c>
      <c r="J52" s="1304" t="s">
        <v>132</v>
      </c>
      <c r="K52" s="1305"/>
      <c r="L52" s="710">
        <f>_xlfn.XLOOKUP($J52,'Fin. Data'!$A:$A,'Fin. Data'!B:B,,0)</f>
        <v>-1715</v>
      </c>
      <c r="M52" s="712">
        <f>_xlfn.XLOOKUP($J52,'Fin. Data'!$A:$A,'Fin. Data'!C:C,,0)</f>
        <v>-579</v>
      </c>
      <c r="N52" s="20">
        <f>(C52/C51)-1</f>
        <v>-2.7374631268436533E-2</v>
      </c>
      <c r="O52" s="20">
        <f t="shared" si="3"/>
        <v>-8.8568084973521977E-2</v>
      </c>
      <c r="P52" s="19"/>
    </row>
    <row r="53" spans="2:19">
      <c r="B53" s="121">
        <f t="shared" si="2"/>
        <v>2020</v>
      </c>
      <c r="C53" s="711">
        <v>5595</v>
      </c>
      <c r="D53" s="122">
        <v>9.2940125111706882E-3</v>
      </c>
      <c r="E53" s="711">
        <v>-295</v>
      </c>
      <c r="F53" s="715">
        <f>Inputs!D78</f>
        <v>392</v>
      </c>
      <c r="G53" s="123">
        <v>3.5667209428549276E-3</v>
      </c>
      <c r="H53" s="711">
        <v>463</v>
      </c>
      <c r="I53" s="711">
        <v>-385</v>
      </c>
      <c r="J53" s="1301" t="s">
        <v>133</v>
      </c>
      <c r="K53" s="1302"/>
      <c r="L53" s="710">
        <f>_xlfn.XLOOKUP($J53,'Fin. Data'!$A:$A,'Fin. Data'!B:B,,0)</f>
        <v>-300</v>
      </c>
      <c r="M53" s="712">
        <f>_xlfn.XLOOKUP($J53,'Fin. Data'!$A:$A,'Fin. Data'!C:C,,0)</f>
        <v>-234</v>
      </c>
      <c r="N53" s="20">
        <f>(C53/C52)-1</f>
        <v>-0.32124226616523111</v>
      </c>
      <c r="O53" s="20">
        <f t="shared" si="3"/>
        <v>-0.92511188159376345</v>
      </c>
    </row>
    <row r="54" spans="2:19">
      <c r="B54" s="121">
        <f>B55-1</f>
        <v>2021</v>
      </c>
      <c r="C54" s="711">
        <v>7313</v>
      </c>
      <c r="D54" s="122">
        <v>0.13961438534117326</v>
      </c>
      <c r="E54" s="711">
        <v>-208</v>
      </c>
      <c r="F54" s="715">
        <f>Inputs!C$78</f>
        <v>347</v>
      </c>
      <c r="G54" s="123">
        <v>5.1177072671443195E-4</v>
      </c>
      <c r="H54" s="711">
        <v>437</v>
      </c>
      <c r="I54" s="711">
        <v>-830</v>
      </c>
      <c r="J54" s="1304" t="s">
        <v>134</v>
      </c>
      <c r="K54" s="1305"/>
      <c r="L54" s="710">
        <f>_xlfn.XLOOKUP($J54,'Fin. Data'!$A:$A,'Fin. Data'!B:B,,0)</f>
        <v>-300</v>
      </c>
      <c r="M54" s="712">
        <f>_xlfn.XLOOKUP($J54,'Fin. Data'!$A:$A,'Fin. Data'!C:C,,0)</f>
        <v>-196</v>
      </c>
      <c r="N54" s="20">
        <f t="shared" si="4"/>
        <v>0.30705987488829312</v>
      </c>
      <c r="O54" s="20">
        <f t="shared" si="3"/>
        <v>14.021970884305084</v>
      </c>
    </row>
    <row r="55" spans="2:19">
      <c r="B55" s="121">
        <f>J20</f>
        <v>2022</v>
      </c>
      <c r="C55" s="711">
        <v>7499</v>
      </c>
      <c r="D55" s="122">
        <v>0.15442058941192158</v>
      </c>
      <c r="E55" s="711">
        <v>-302</v>
      </c>
      <c r="F55" s="715">
        <f>Inputs!B78</f>
        <v>289</v>
      </c>
      <c r="G55" s="123">
        <v>5.7582955445188223E-4</v>
      </c>
      <c r="H55" s="711">
        <v>406</v>
      </c>
      <c r="I55" s="711">
        <v>-2054</v>
      </c>
      <c r="J55" s="1304" t="s">
        <v>135</v>
      </c>
      <c r="K55" s="1305"/>
      <c r="L55" s="710">
        <f>_xlfn.XLOOKUP($J55,'Fin. Data'!$A:$A,'Fin. Data'!B:B,,0)</f>
        <v>-2</v>
      </c>
      <c r="M55" s="712">
        <f>_xlfn.XLOOKUP($J55,'Fin. Data'!$A:$A,'Fin. Data'!C:C,,0)</f>
        <v>-12</v>
      </c>
      <c r="N55" s="20">
        <f t="shared" si="4"/>
        <v>2.5434158348147218E-2</v>
      </c>
      <c r="O55" s="20">
        <f t="shared" si="3"/>
        <v>0.10605070555277418</v>
      </c>
    </row>
    <row r="56" spans="2:19">
      <c r="B56" s="126" t="s">
        <v>136</v>
      </c>
      <c r="C56" s="125">
        <f>IFERROR((C55/C47)^(1/8)-1,"")</f>
        <v>-1.8524681134793664E-2</v>
      </c>
      <c r="D56" s="125">
        <f>IFERROR((D55/D47)^(1/8)-1,"")</f>
        <v>-3.251904569662134E-2</v>
      </c>
      <c r="E56" s="143"/>
      <c r="F56" s="125">
        <f>IFERROR((F55/F47)^(1/8)-1,"")</f>
        <v>-2.1418378880362354E-3</v>
      </c>
      <c r="G56" s="143"/>
      <c r="H56" s="125">
        <f>IFERROR((H55/H47)^(1/8)-1,"")</f>
        <v>1.5851850056171291E-2</v>
      </c>
      <c r="I56" s="143"/>
      <c r="J56" s="1301" t="s">
        <v>137</v>
      </c>
      <c r="K56" s="1302"/>
      <c r="L56" s="710">
        <f>_xlfn.XLOOKUP($J56,'Fin. Data'!$A:$A,'Fin. Data'!B:B,,0)</f>
        <v>-21</v>
      </c>
      <c r="M56" s="712">
        <f>_xlfn.XLOOKUP($J56,'Fin. Data'!$A:$A,'Fin. Data'!C:C,,0)</f>
        <v>10</v>
      </c>
      <c r="N56" s="20">
        <f t="shared" si="4"/>
        <v>-1.0000024702868562</v>
      </c>
      <c r="O56" s="20">
        <f t="shared" si="3"/>
        <v>-1.2105874988592085</v>
      </c>
    </row>
    <row r="57" spans="2:19">
      <c r="B57" s="126" t="s">
        <v>138</v>
      </c>
      <c r="C57" s="125">
        <f>IFERROR(AVERAGE(N48:N55),"")</f>
        <v>-4.1809939261876899E-3</v>
      </c>
      <c r="D57" s="125">
        <f>IFERROR(AVERAGE(O48:O55),"")</f>
        <v>1.6063768333560433</v>
      </c>
      <c r="E57" s="143"/>
      <c r="F57" s="125">
        <f>IFERROR(AVERAGE(Q43:Q50),"")</f>
        <v>-1.3932939796243224</v>
      </c>
      <c r="G57" s="143"/>
      <c r="H57" s="125">
        <f>IFERROR(AVERAGE(S43:S50),"")</f>
        <v>0.27641144631111636</v>
      </c>
      <c r="I57" s="143"/>
      <c r="J57" s="1328" t="s">
        <v>139</v>
      </c>
      <c r="K57" s="1329"/>
      <c r="L57" s="713">
        <f>L49-L50+L53-L54-L55</f>
        <v>840</v>
      </c>
      <c r="M57" s="714">
        <f>M49-M50+M53-M54-M55</f>
        <v>1999</v>
      </c>
    </row>
    <row r="58" spans="2:19">
      <c r="B58" s="126" t="s">
        <v>140</v>
      </c>
      <c r="C58" s="125">
        <f>IFERROR(STDEV(C48:C55)/AVERAGE(C48:C55),"")</f>
        <v>0.12275746951779534</v>
      </c>
      <c r="D58" s="125">
        <f>IFERROR(STDEV(D47:D55)/AVERAGE(D47:D55),"")</f>
        <v>0.41033326573540091</v>
      </c>
      <c r="E58" s="143"/>
      <c r="F58" s="125">
        <f>IFERROR(STDEV(F47:F55)/AVERAGE(F47:F55),"")</f>
        <v>1.8235677727540771</v>
      </c>
      <c r="G58" s="143"/>
      <c r="H58" s="125">
        <f>IFERROR(STDEV(H47:H55)/AVERAGE(H47:H55),"")</f>
        <v>9.7455236524668087E-2</v>
      </c>
      <c r="I58" s="143"/>
      <c r="J58" s="1346" t="s">
        <v>141</v>
      </c>
      <c r="K58" s="1347"/>
      <c r="L58" s="292">
        <f>IFERROR(SUM(I52:I55)/(C55-C51),"")</f>
        <v>3.8811475409836067</v>
      </c>
      <c r="M58" s="316">
        <f>IFERROR((SUM(I52:I55)-SUM(H52:H55))/(C55-C51),"")</f>
        <v>5.7120901639344259</v>
      </c>
    </row>
    <row r="59" spans="2:19">
      <c r="B59" s="126" t="s">
        <v>142</v>
      </c>
      <c r="C59" s="125">
        <f>IFERROR(C55/C54-1,"")</f>
        <v>2.5434158348147218E-2</v>
      </c>
      <c r="D59" s="125">
        <f>IFERROR(1-(D55/D54),"")</f>
        <v>-0.10605070555277418</v>
      </c>
      <c r="E59" s="143"/>
      <c r="F59" s="125">
        <f>IFERROR(1-(F55/F54),"")</f>
        <v>0.16714697406340062</v>
      </c>
      <c r="G59" s="143"/>
      <c r="H59" s="125">
        <f>IFERROR(1-(H55/H54),"")</f>
        <v>7.0938215102974822E-2</v>
      </c>
      <c r="I59" s="143"/>
      <c r="J59" s="1348" t="s">
        <v>143</v>
      </c>
      <c r="K59" s="1349"/>
      <c r="L59" s="293">
        <f>IFERROR(L58/E27,"")</f>
        <v>22.883953554492965</v>
      </c>
      <c r="M59" s="297">
        <f>IFERROR(M58/E27,"")</f>
        <v>33.679525096699649</v>
      </c>
    </row>
    <row r="60" spans="2:19" ht="18">
      <c r="B60" s="1303" t="s">
        <v>144</v>
      </c>
      <c r="C60" s="1293"/>
      <c r="D60" s="1293"/>
      <c r="E60" s="1293"/>
      <c r="F60" s="1293"/>
      <c r="G60" s="1293"/>
      <c r="H60" s="1293"/>
      <c r="I60" s="1293"/>
      <c r="J60" s="1293"/>
      <c r="K60" s="1293"/>
      <c r="L60" s="1293"/>
      <c r="M60" s="1294"/>
    </row>
    <row r="61" spans="2:19" ht="15.75">
      <c r="B61" s="1350" t="s">
        <v>145</v>
      </c>
      <c r="C61" s="1306"/>
      <c r="D61" s="1306"/>
      <c r="E61" s="1306"/>
      <c r="F61" s="1306"/>
      <c r="G61" s="1306"/>
      <c r="H61" s="1306"/>
      <c r="I61" s="1306"/>
      <c r="J61" s="1306" t="s">
        <v>146</v>
      </c>
      <c r="K61" s="1306"/>
      <c r="L61" s="1306"/>
      <c r="M61" s="1307"/>
    </row>
    <row r="62" spans="2:19">
      <c r="B62" s="1378" t="s">
        <v>147</v>
      </c>
      <c r="C62" s="1377"/>
      <c r="D62" s="1377"/>
      <c r="E62" s="1377" t="s">
        <v>148</v>
      </c>
      <c r="F62" s="1377"/>
      <c r="G62" s="1377"/>
      <c r="H62" s="1377"/>
      <c r="I62" s="1377"/>
      <c r="J62" s="1377" t="s">
        <v>6</v>
      </c>
      <c r="K62" s="1377"/>
      <c r="L62" s="1377"/>
      <c r="M62" s="1017" t="s">
        <v>149</v>
      </c>
    </row>
    <row r="63" spans="2:19" ht="15" customHeight="1">
      <c r="B63" s="1390" t="s">
        <v>150</v>
      </c>
      <c r="C63" s="1391"/>
      <c r="D63" s="1391"/>
      <c r="E63" s="1344" t="s">
        <v>151</v>
      </c>
      <c r="F63" s="1345"/>
      <c r="G63" s="1345"/>
      <c r="H63" s="1345"/>
      <c r="I63" s="1345"/>
      <c r="J63" s="1356" t="s">
        <v>152</v>
      </c>
      <c r="K63" s="1356"/>
      <c r="L63" s="1356"/>
      <c r="M63" s="1358">
        <v>0.433</v>
      </c>
    </row>
    <row r="64" spans="2:19" ht="15" customHeight="1">
      <c r="B64" s="1392"/>
      <c r="C64" s="1391"/>
      <c r="D64" s="1391"/>
      <c r="E64" s="1345"/>
      <c r="F64" s="1345"/>
      <c r="G64" s="1345"/>
      <c r="H64" s="1345"/>
      <c r="I64" s="1345"/>
      <c r="J64" s="1356"/>
      <c r="K64" s="1356"/>
      <c r="L64" s="1356"/>
      <c r="M64" s="1358"/>
    </row>
    <row r="65" spans="2:20" ht="15" customHeight="1">
      <c r="B65" s="1392"/>
      <c r="C65" s="1391"/>
      <c r="D65" s="1391"/>
      <c r="E65" s="1345"/>
      <c r="F65" s="1345"/>
      <c r="G65" s="1345"/>
      <c r="H65" s="1345"/>
      <c r="I65" s="1345"/>
      <c r="J65" s="1356"/>
      <c r="K65" s="1356"/>
      <c r="L65" s="1356"/>
      <c r="M65" s="1358"/>
    </row>
    <row r="66" spans="2:20" ht="15" customHeight="1">
      <c r="B66" s="1387" t="s">
        <v>153</v>
      </c>
      <c r="C66" s="1393"/>
      <c r="D66" s="1393"/>
      <c r="E66" s="1344" t="s">
        <v>154</v>
      </c>
      <c r="F66" s="1345"/>
      <c r="G66" s="1345"/>
      <c r="H66" s="1345"/>
      <c r="I66" s="1345"/>
      <c r="J66" s="1356"/>
      <c r="K66" s="1356"/>
      <c r="L66" s="1356"/>
      <c r="M66" s="1358"/>
    </row>
    <row r="67" spans="2:20" ht="13.35" customHeight="1">
      <c r="B67" s="1394"/>
      <c r="C67" s="1393"/>
      <c r="D67" s="1393"/>
      <c r="E67" s="1345"/>
      <c r="F67" s="1345"/>
      <c r="G67" s="1345"/>
      <c r="H67" s="1345"/>
      <c r="I67" s="1345"/>
      <c r="J67" s="1356"/>
      <c r="K67" s="1356"/>
      <c r="L67" s="1356"/>
      <c r="M67" s="1358"/>
    </row>
    <row r="68" spans="2:20" ht="13.35" customHeight="1">
      <c r="B68" s="1394"/>
      <c r="C68" s="1393"/>
      <c r="D68" s="1393"/>
      <c r="E68" s="1345"/>
      <c r="F68" s="1345"/>
      <c r="G68" s="1345"/>
      <c r="H68" s="1345"/>
      <c r="I68" s="1345"/>
      <c r="J68" s="1356"/>
      <c r="K68" s="1356"/>
      <c r="L68" s="1356"/>
      <c r="M68" s="1358"/>
    </row>
    <row r="69" spans="2:20" ht="13.35" customHeight="1">
      <c r="B69" s="1394"/>
      <c r="C69" s="1393"/>
      <c r="D69" s="1393"/>
      <c r="E69" s="1345"/>
      <c r="F69" s="1345"/>
      <c r="G69" s="1345"/>
      <c r="H69" s="1345"/>
      <c r="I69" s="1345"/>
      <c r="J69" s="1356"/>
      <c r="K69" s="1356"/>
      <c r="L69" s="1356"/>
      <c r="M69" s="1358"/>
    </row>
    <row r="70" spans="2:20" ht="13.35" customHeight="1">
      <c r="B70" s="1382" t="s">
        <v>155</v>
      </c>
      <c r="C70" s="1383"/>
      <c r="D70" s="1383"/>
      <c r="E70" s="1345"/>
      <c r="F70" s="1345"/>
      <c r="G70" s="1345"/>
      <c r="H70" s="1345"/>
      <c r="I70" s="1345"/>
      <c r="J70" s="1356"/>
      <c r="K70" s="1356"/>
      <c r="L70" s="1356"/>
      <c r="M70" s="1358"/>
    </row>
    <row r="71" spans="2:20" ht="13.35" customHeight="1">
      <c r="B71" s="1384"/>
      <c r="C71" s="1383"/>
      <c r="D71" s="1383"/>
      <c r="E71" s="1345"/>
      <c r="F71" s="1345"/>
      <c r="G71" s="1345"/>
      <c r="H71" s="1345"/>
      <c r="I71" s="1345"/>
      <c r="J71" s="1356"/>
      <c r="K71" s="1356"/>
      <c r="L71" s="1356"/>
      <c r="M71" s="1358"/>
    </row>
    <row r="72" spans="2:20" ht="13.35" customHeight="1">
      <c r="B72" s="1384"/>
      <c r="C72" s="1383"/>
      <c r="D72" s="1383"/>
      <c r="E72" s="1345"/>
      <c r="F72" s="1345"/>
      <c r="G72" s="1345"/>
      <c r="H72" s="1345"/>
      <c r="I72" s="1345"/>
      <c r="J72" s="1356"/>
      <c r="K72" s="1356"/>
      <c r="L72" s="1356"/>
      <c r="M72" s="1358"/>
    </row>
    <row r="73" spans="2:20">
      <c r="B73" s="1378" t="s">
        <v>156</v>
      </c>
      <c r="C73" s="1377"/>
      <c r="D73" s="1377"/>
      <c r="E73" s="1377" t="s">
        <v>157</v>
      </c>
      <c r="F73" s="1377"/>
      <c r="G73" s="1377"/>
      <c r="H73" s="1377"/>
      <c r="I73" s="1377"/>
      <c r="J73" s="1356"/>
      <c r="K73" s="1356"/>
      <c r="L73" s="1356"/>
      <c r="M73" s="1358"/>
    </row>
    <row r="74" spans="2:20" ht="15" customHeight="1">
      <c r="B74" s="1387" t="s">
        <v>158</v>
      </c>
      <c r="C74" s="1383"/>
      <c r="D74" s="1383"/>
      <c r="E74" s="1344" t="s">
        <v>159</v>
      </c>
      <c r="F74" s="1345"/>
      <c r="G74" s="1345"/>
      <c r="H74" s="1345"/>
      <c r="I74" s="1345"/>
      <c r="J74" s="1356"/>
      <c r="K74" s="1356"/>
      <c r="L74" s="1356"/>
      <c r="M74" s="1358"/>
    </row>
    <row r="75" spans="2:20" ht="15" customHeight="1">
      <c r="B75" s="1388"/>
      <c r="C75" s="1383"/>
      <c r="D75" s="1383"/>
      <c r="E75" s="1345"/>
      <c r="F75" s="1345"/>
      <c r="G75" s="1345"/>
      <c r="H75" s="1345"/>
      <c r="I75" s="1345"/>
      <c r="J75" s="1356"/>
      <c r="K75" s="1356"/>
      <c r="L75" s="1356"/>
      <c r="M75" s="1358"/>
    </row>
    <row r="76" spans="2:20" ht="15" customHeight="1">
      <c r="B76" s="1388"/>
      <c r="C76" s="1383"/>
      <c r="D76" s="1383"/>
      <c r="E76" s="1345"/>
      <c r="F76" s="1345"/>
      <c r="G76" s="1345"/>
      <c r="H76" s="1345"/>
      <c r="I76" s="1345"/>
      <c r="J76" s="1356"/>
      <c r="K76" s="1356"/>
      <c r="L76" s="1356"/>
      <c r="M76" s="1358"/>
    </row>
    <row r="77" spans="2:20" ht="15" customHeight="1">
      <c r="B77" s="1388"/>
      <c r="C77" s="1383"/>
      <c r="D77" s="1383"/>
      <c r="E77" s="1345"/>
      <c r="F77" s="1345"/>
      <c r="G77" s="1345"/>
      <c r="H77" s="1345"/>
      <c r="I77" s="1345"/>
      <c r="J77" s="1356"/>
      <c r="K77" s="1356"/>
      <c r="L77" s="1356"/>
      <c r="M77" s="1358"/>
    </row>
    <row r="78" spans="2:20" ht="13.35" customHeight="1">
      <c r="B78" s="1382" t="s">
        <v>160</v>
      </c>
      <c r="C78" s="1383"/>
      <c r="D78" s="1383"/>
      <c r="E78" s="1344" t="s">
        <v>161</v>
      </c>
      <c r="F78" s="1383"/>
      <c r="G78" s="1383"/>
      <c r="H78" s="1383"/>
      <c r="I78" s="1383"/>
      <c r="J78" s="1356"/>
      <c r="K78" s="1356"/>
      <c r="L78" s="1356"/>
      <c r="M78" s="1358"/>
    </row>
    <row r="79" spans="2:20" ht="13.35" customHeight="1">
      <c r="B79" s="1384"/>
      <c r="C79" s="1383"/>
      <c r="D79" s="1383"/>
      <c r="E79" s="1383"/>
      <c r="F79" s="1383"/>
      <c r="G79" s="1383"/>
      <c r="H79" s="1383"/>
      <c r="I79" s="1383"/>
      <c r="J79" s="1356"/>
      <c r="K79" s="1356"/>
      <c r="L79" s="1356"/>
      <c r="M79" s="1358"/>
      <c r="Q79" s="11"/>
      <c r="R79" s="11"/>
      <c r="S79" s="11"/>
      <c r="T79" s="11"/>
    </row>
    <row r="80" spans="2:20" ht="13.35" customHeight="1">
      <c r="B80" s="1384"/>
      <c r="C80" s="1383"/>
      <c r="D80" s="1383"/>
      <c r="E80" s="1383"/>
      <c r="F80" s="1383"/>
      <c r="G80" s="1383"/>
      <c r="H80" s="1383"/>
      <c r="I80" s="1383"/>
      <c r="J80" s="1356"/>
      <c r="K80" s="1356"/>
      <c r="L80" s="1356"/>
      <c r="M80" s="1358"/>
      <c r="P80" s="11"/>
    </row>
    <row r="81" spans="2:21" ht="13.35" customHeight="1">
      <c r="B81" s="1384"/>
      <c r="C81" s="1383"/>
      <c r="D81" s="1383"/>
      <c r="E81" s="1383"/>
      <c r="F81" s="1383"/>
      <c r="G81" s="1383"/>
      <c r="H81" s="1383"/>
      <c r="I81" s="1383"/>
      <c r="J81" s="1356"/>
      <c r="K81" s="1356"/>
      <c r="L81" s="1356"/>
      <c r="M81" s="1358"/>
    </row>
    <row r="82" spans="2:21" ht="13.35" customHeight="1">
      <c r="B82" s="1385"/>
      <c r="C82" s="1386"/>
      <c r="D82" s="1386"/>
      <c r="E82" s="1389"/>
      <c r="F82" s="1389"/>
      <c r="G82" s="1389"/>
      <c r="H82" s="1389"/>
      <c r="I82" s="1389"/>
      <c r="J82" s="1357"/>
      <c r="K82" s="1357"/>
      <c r="L82" s="1357"/>
      <c r="M82" s="1359"/>
    </row>
    <row r="83" spans="2:21" ht="15.75">
      <c r="B83" s="1379" t="s">
        <v>162</v>
      </c>
      <c r="C83" s="1380"/>
      <c r="D83" s="1380"/>
      <c r="E83" s="1381"/>
      <c r="F83" s="1381"/>
      <c r="G83" s="1375" t="s">
        <v>163</v>
      </c>
      <c r="H83" s="1375"/>
      <c r="I83" s="1375"/>
      <c r="J83" s="1375"/>
      <c r="K83" s="1375"/>
      <c r="L83" s="1375"/>
      <c r="M83" s="1376"/>
    </row>
    <row r="84" spans="2:21" s="11" customFormat="1" ht="12.75" customHeight="1">
      <c r="B84" s="1366" t="s">
        <v>164</v>
      </c>
      <c r="C84" s="1367"/>
      <c r="D84" s="1367"/>
      <c r="E84" s="1367"/>
      <c r="F84" s="1368"/>
      <c r="G84" s="1360"/>
      <c r="H84" s="1360"/>
      <c r="I84" s="1360"/>
      <c r="J84" s="1360"/>
      <c r="K84" s="1360"/>
      <c r="L84" s="1360"/>
      <c r="M84" s="1361"/>
      <c r="P84"/>
      <c r="Q84"/>
      <c r="R84"/>
      <c r="S84"/>
      <c r="T84"/>
      <c r="U84"/>
    </row>
    <row r="85" spans="2:21">
      <c r="B85" s="1369"/>
      <c r="C85" s="1370"/>
      <c r="D85" s="1370"/>
      <c r="E85" s="1370"/>
      <c r="F85" s="1371"/>
      <c r="G85" s="1362"/>
      <c r="H85" s="1362"/>
      <c r="I85" s="1362"/>
      <c r="J85" s="1362"/>
      <c r="K85" s="1362"/>
      <c r="L85" s="1362"/>
      <c r="M85" s="1363"/>
      <c r="U85" s="11"/>
    </row>
    <row r="86" spans="2:21">
      <c r="B86" s="629"/>
      <c r="C86" s="628"/>
      <c r="D86" s="628"/>
      <c r="E86" s="628"/>
      <c r="F86" s="630"/>
      <c r="G86" s="1362"/>
      <c r="H86" s="1362"/>
      <c r="I86" s="1362"/>
      <c r="J86" s="1362"/>
      <c r="K86" s="1362"/>
      <c r="L86" s="1362"/>
      <c r="M86" s="1363"/>
    </row>
    <row r="87" spans="2:21" ht="27" customHeight="1">
      <c r="B87" s="1369" t="s">
        <v>165</v>
      </c>
      <c r="C87" s="1370"/>
      <c r="D87" s="1370"/>
      <c r="E87" s="1370"/>
      <c r="F87" s="1371"/>
      <c r="G87" s="1362"/>
      <c r="H87" s="1362"/>
      <c r="I87" s="1362"/>
      <c r="J87" s="1362"/>
      <c r="K87" s="1362"/>
      <c r="L87" s="1362"/>
      <c r="M87" s="1363"/>
    </row>
    <row r="88" spans="2:21">
      <c r="B88" s="634"/>
      <c r="C88" s="628"/>
      <c r="D88" s="628"/>
      <c r="E88" s="628"/>
      <c r="F88" s="630"/>
      <c r="G88" s="1362"/>
      <c r="H88" s="1362"/>
      <c r="I88" s="1362"/>
      <c r="J88" s="1362"/>
      <c r="K88" s="1362"/>
      <c r="L88" s="1362"/>
      <c r="M88" s="1363"/>
    </row>
    <row r="89" spans="2:21">
      <c r="B89" s="725" t="s">
        <v>146</v>
      </c>
      <c r="C89" s="628"/>
      <c r="D89" s="628"/>
      <c r="E89" s="628"/>
      <c r="F89" s="630"/>
      <c r="G89" s="1362"/>
      <c r="H89" s="1362"/>
      <c r="I89" s="1362"/>
      <c r="J89" s="1362"/>
      <c r="K89" s="1362"/>
      <c r="L89" s="1362"/>
      <c r="M89" s="1363"/>
    </row>
    <row r="90" spans="2:21">
      <c r="B90" s="629"/>
      <c r="C90" s="628"/>
      <c r="D90" s="628"/>
      <c r="E90" s="628"/>
      <c r="F90" s="630"/>
      <c r="G90" s="1362"/>
      <c r="H90" s="1362"/>
      <c r="I90" s="1362"/>
      <c r="J90" s="1362"/>
      <c r="K90" s="1362"/>
      <c r="L90" s="1362"/>
      <c r="M90" s="1363"/>
    </row>
    <row r="91" spans="2:21">
      <c r="B91" s="629"/>
      <c r="C91" s="628"/>
      <c r="D91" s="628"/>
      <c r="E91" s="628"/>
      <c r="F91" s="630"/>
      <c r="G91" s="1362"/>
      <c r="H91" s="1362"/>
      <c r="I91" s="1362"/>
      <c r="J91" s="1362"/>
      <c r="K91" s="1362"/>
      <c r="L91" s="1362"/>
      <c r="M91" s="1363"/>
    </row>
    <row r="92" spans="2:21">
      <c r="B92" s="629"/>
      <c r="C92" s="628"/>
      <c r="D92" s="628"/>
      <c r="E92" s="628"/>
      <c r="F92" s="630"/>
      <c r="G92" s="1362"/>
      <c r="H92" s="1362"/>
      <c r="I92" s="1362"/>
      <c r="J92" s="1362"/>
      <c r="K92" s="1362"/>
      <c r="L92" s="1362"/>
      <c r="M92" s="1363"/>
    </row>
    <row r="93" spans="2:21">
      <c r="B93" s="629"/>
      <c r="C93" s="628"/>
      <c r="D93" s="628"/>
      <c r="E93" s="628"/>
      <c r="F93" s="630"/>
      <c r="G93" s="1362"/>
      <c r="H93" s="1362"/>
      <c r="I93" s="1362"/>
      <c r="J93" s="1362"/>
      <c r="K93" s="1362"/>
      <c r="L93" s="1362"/>
      <c r="M93" s="1363"/>
    </row>
    <row r="94" spans="2:21">
      <c r="B94" s="629"/>
      <c r="C94" s="628"/>
      <c r="D94" s="628"/>
      <c r="E94" s="628"/>
      <c r="F94" s="630"/>
      <c r="G94" s="1362"/>
      <c r="H94" s="1362"/>
      <c r="I94" s="1362"/>
      <c r="J94" s="1362"/>
      <c r="K94" s="1362"/>
      <c r="L94" s="1362"/>
      <c r="M94" s="1363"/>
    </row>
    <row r="95" spans="2:21" ht="13.5" customHeight="1">
      <c r="B95" s="1369"/>
      <c r="C95" s="1370"/>
      <c r="D95" s="1370"/>
      <c r="E95" s="1370"/>
      <c r="F95" s="1371"/>
      <c r="G95" s="1362"/>
      <c r="H95" s="1362"/>
      <c r="I95" s="1362"/>
      <c r="J95" s="1362"/>
      <c r="K95" s="1362"/>
      <c r="L95" s="1362"/>
      <c r="M95" s="1363"/>
    </row>
    <row r="96" spans="2:21">
      <c r="B96" s="629"/>
      <c r="C96" s="628"/>
      <c r="D96" s="628"/>
      <c r="E96" s="628"/>
      <c r="F96" s="630"/>
      <c r="G96" s="1362"/>
      <c r="H96" s="1362"/>
      <c r="I96" s="1362"/>
      <c r="J96" s="1362"/>
      <c r="K96" s="1362"/>
      <c r="L96" s="1362"/>
      <c r="M96" s="1363"/>
    </row>
    <row r="97" spans="2:13">
      <c r="B97" s="629"/>
      <c r="C97" s="628"/>
      <c r="D97" s="628"/>
      <c r="E97" s="628"/>
      <c r="F97" s="630"/>
      <c r="G97" s="1362"/>
      <c r="H97" s="1362"/>
      <c r="I97" s="1362"/>
      <c r="J97" s="1362"/>
      <c r="K97" s="1362"/>
      <c r="L97" s="1362"/>
      <c r="M97" s="1363"/>
    </row>
    <row r="98" spans="2:13">
      <c r="B98" s="629"/>
      <c r="C98" s="628"/>
      <c r="D98" s="628"/>
      <c r="E98" s="628"/>
      <c r="F98" s="630"/>
      <c r="G98" s="1362"/>
      <c r="H98" s="1362"/>
      <c r="I98" s="1362"/>
      <c r="J98" s="1362"/>
      <c r="K98" s="1362"/>
      <c r="L98" s="1362"/>
      <c r="M98" s="1363"/>
    </row>
    <row r="99" spans="2:13">
      <c r="B99" s="629"/>
      <c r="C99" s="628"/>
      <c r="D99" s="628"/>
      <c r="E99" s="628"/>
      <c r="F99" s="630"/>
      <c r="G99" s="1362"/>
      <c r="H99" s="1362"/>
      <c r="I99" s="1362"/>
      <c r="J99" s="1362"/>
      <c r="K99" s="1362"/>
      <c r="L99" s="1362"/>
      <c r="M99" s="1363"/>
    </row>
    <row r="100" spans="2:13">
      <c r="B100" s="629"/>
      <c r="C100" s="628"/>
      <c r="D100" s="628"/>
      <c r="E100" s="628"/>
      <c r="F100" s="630"/>
      <c r="G100" s="1362"/>
      <c r="H100" s="1362"/>
      <c r="I100" s="1362"/>
      <c r="J100" s="1362"/>
      <c r="K100" s="1362"/>
      <c r="L100" s="1362"/>
      <c r="M100" s="1363"/>
    </row>
    <row r="101" spans="2:13" ht="13.5" customHeight="1">
      <c r="B101" s="1372" t="s">
        <v>166</v>
      </c>
      <c r="C101" s="1373"/>
      <c r="D101" s="1373"/>
      <c r="E101" s="1373"/>
      <c r="F101" s="1374"/>
      <c r="G101" s="1362"/>
      <c r="H101" s="1362"/>
      <c r="I101" s="1362"/>
      <c r="J101" s="1362"/>
      <c r="K101" s="1362"/>
      <c r="L101" s="1362"/>
      <c r="M101" s="1363"/>
    </row>
    <row r="102" spans="2:13" ht="13.5" customHeight="1">
      <c r="B102" s="631"/>
      <c r="C102" s="632"/>
      <c r="D102" s="632"/>
      <c r="E102" s="632"/>
      <c r="F102" s="633"/>
      <c r="G102" s="1364"/>
      <c r="H102" s="1364"/>
      <c r="I102" s="1364"/>
      <c r="J102" s="1364"/>
      <c r="K102" s="1364"/>
      <c r="L102" s="1364"/>
      <c r="M102" s="1365"/>
    </row>
  </sheetData>
  <mergeCells count="136">
    <mergeCell ref="Q6:T6"/>
    <mergeCell ref="P12:Q12"/>
    <mergeCell ref="J63:L82"/>
    <mergeCell ref="M63:M82"/>
    <mergeCell ref="G84:M102"/>
    <mergeCell ref="B84:F85"/>
    <mergeCell ref="B87:F87"/>
    <mergeCell ref="B95:F95"/>
    <mergeCell ref="B101:F101"/>
    <mergeCell ref="G83:M83"/>
    <mergeCell ref="J62:L62"/>
    <mergeCell ref="E73:I73"/>
    <mergeCell ref="E62:I62"/>
    <mergeCell ref="B62:D62"/>
    <mergeCell ref="B73:D73"/>
    <mergeCell ref="B83:F83"/>
    <mergeCell ref="E70:I72"/>
    <mergeCell ref="B78:D82"/>
    <mergeCell ref="B74:D77"/>
    <mergeCell ref="E74:I77"/>
    <mergeCell ref="E78:I82"/>
    <mergeCell ref="B63:D65"/>
    <mergeCell ref="B66:D69"/>
    <mergeCell ref="B70:D72"/>
    <mergeCell ref="E63:I65"/>
    <mergeCell ref="E66:I69"/>
    <mergeCell ref="J58:K58"/>
    <mergeCell ref="J59:K59"/>
    <mergeCell ref="B61:I61"/>
    <mergeCell ref="J51:K51"/>
    <mergeCell ref="J52:K52"/>
    <mergeCell ref="J53:K53"/>
    <mergeCell ref="J50:K50"/>
    <mergeCell ref="J49:K49"/>
    <mergeCell ref="B60:M60"/>
    <mergeCell ref="J54:K54"/>
    <mergeCell ref="J55:K55"/>
    <mergeCell ref="J61:M61"/>
    <mergeCell ref="J56:K56"/>
    <mergeCell ref="C43:G43"/>
    <mergeCell ref="H35:M38"/>
    <mergeCell ref="H34:M34"/>
    <mergeCell ref="J46:M46"/>
    <mergeCell ref="B45:M45"/>
    <mergeCell ref="J48:K48"/>
    <mergeCell ref="C36:G36"/>
    <mergeCell ref="I39:M39"/>
    <mergeCell ref="J57:K57"/>
    <mergeCell ref="C38:G38"/>
    <mergeCell ref="C44:G44"/>
    <mergeCell ref="C42:G42"/>
    <mergeCell ref="C40:G40"/>
    <mergeCell ref="C41:G41"/>
    <mergeCell ref="B39:G39"/>
    <mergeCell ref="C35:G35"/>
    <mergeCell ref="C37:G37"/>
    <mergeCell ref="B34:G34"/>
    <mergeCell ref="H40:H44"/>
    <mergeCell ref="I40:I44"/>
    <mergeCell ref="J40:K44"/>
    <mergeCell ref="L40:L44"/>
    <mergeCell ref="M40:M44"/>
    <mergeCell ref="L19:M19"/>
    <mergeCell ref="J20:K20"/>
    <mergeCell ref="F22:G22"/>
    <mergeCell ref="M7:M8"/>
    <mergeCell ref="L7:L8"/>
    <mergeCell ref="K7:K8"/>
    <mergeCell ref="M15:M17"/>
    <mergeCell ref="L15:L17"/>
    <mergeCell ref="D4:G17"/>
    <mergeCell ref="I9:I10"/>
    <mergeCell ref="I7:I8"/>
    <mergeCell ref="M9:M10"/>
    <mergeCell ref="M13:M14"/>
    <mergeCell ref="K13:K14"/>
    <mergeCell ref="D19:E19"/>
    <mergeCell ref="B18:M18"/>
    <mergeCell ref="F19:H19"/>
    <mergeCell ref="I19:K19"/>
    <mergeCell ref="F32:G32"/>
    <mergeCell ref="B33:M33"/>
    <mergeCell ref="F30:G30"/>
    <mergeCell ref="I28:J28"/>
    <mergeCell ref="F21:G21"/>
    <mergeCell ref="M11:M12"/>
    <mergeCell ref="I24:J24"/>
    <mergeCell ref="I25:J25"/>
    <mergeCell ref="I26:J26"/>
    <mergeCell ref="B3:C16"/>
    <mergeCell ref="B19:C19"/>
    <mergeCell ref="B29:C29"/>
    <mergeCell ref="F29:G29"/>
    <mergeCell ref="I29:J29"/>
    <mergeCell ref="J7:J8"/>
    <mergeCell ref="J13:J14"/>
    <mergeCell ref="F20:G20"/>
    <mergeCell ref="J21:K21"/>
    <mergeCell ref="I22:J22"/>
    <mergeCell ref="L5:L6"/>
    <mergeCell ref="H15:H17"/>
    <mergeCell ref="H13:H14"/>
    <mergeCell ref="L11:L12"/>
    <mergeCell ref="F31:G31"/>
    <mergeCell ref="I30:J30"/>
    <mergeCell ref="I31:J31"/>
    <mergeCell ref="I23:J23"/>
    <mergeCell ref="F23:G23"/>
    <mergeCell ref="F25:G25"/>
    <mergeCell ref="K9:K10"/>
    <mergeCell ref="F24:G24"/>
    <mergeCell ref="I27:J27"/>
    <mergeCell ref="F26:G26"/>
    <mergeCell ref="F27:G27"/>
    <mergeCell ref="B17:C17"/>
    <mergeCell ref="E2:K2"/>
    <mergeCell ref="J11:J12"/>
    <mergeCell ref="I15:I17"/>
    <mergeCell ref="I13:I14"/>
    <mergeCell ref="I11:I12"/>
    <mergeCell ref="H5:H6"/>
    <mergeCell ref="I5:I6"/>
    <mergeCell ref="D3:G3"/>
    <mergeCell ref="H3:M3"/>
    <mergeCell ref="M5:M6"/>
    <mergeCell ref="K5:K6"/>
    <mergeCell ref="J5:J6"/>
    <mergeCell ref="L9:L10"/>
    <mergeCell ref="K15:K17"/>
    <mergeCell ref="J15:J17"/>
    <mergeCell ref="L13:L14"/>
    <mergeCell ref="K11:K12"/>
    <mergeCell ref="H11:H12"/>
    <mergeCell ref="H9:H10"/>
    <mergeCell ref="H7:H8"/>
    <mergeCell ref="J9:J10"/>
  </mergeCells>
  <phoneticPr fontId="0" type="noConversion"/>
  <conditionalFormatting sqref="C47:C55 D47:E47">
    <cfRule type="dataBar" priority="9">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7:D55">
    <cfRule type="dataBar" priority="8">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8:D55">
    <cfRule type="dataBar" priority="15">
      <dataBar>
        <cfvo type="min"/>
        <cfvo type="max"/>
        <color rgb="FF638EC6"/>
      </dataBar>
      <extLst>
        <ext xmlns:x14="http://schemas.microsoft.com/office/spreadsheetml/2009/9/main" uri="{B025F937-C7B1-47D3-B67F-A62EFF666E3E}">
          <x14:id>{8F05AC94-FB75-41DC-A030-BD50695363B2}</x14:id>
        </ext>
      </extLst>
    </cfRule>
    <cfRule type="dataBar" priority="17">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7:E55">
    <cfRule type="dataBar" priority="7">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8:E55">
    <cfRule type="dataBar" priority="10">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6:E59 G56:G59 I56:I59">
    <cfRule type="dataBar" priority="12">
      <dataBar>
        <cfvo type="min"/>
        <cfvo type="max"/>
        <color rgb="FF638EC6"/>
      </dataBar>
      <extLst>
        <ext xmlns:x14="http://schemas.microsoft.com/office/spreadsheetml/2009/9/main" uri="{B025F937-C7B1-47D3-B67F-A62EFF666E3E}">
          <x14:id>{4382A5A4-8938-4754-913D-04C8EB3E9944}</x14:id>
        </ext>
      </extLst>
    </cfRule>
    <cfRule type="dataBar" priority="13">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7:F55">
    <cfRule type="dataBar" priority="14">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7:G55">
    <cfRule type="dataBar" priority="16">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6">
    <cfRule type="dataBar" priority="2">
      <dataBar>
        <cfvo type="min"/>
        <cfvo type="max"/>
        <color rgb="FF638EC6"/>
      </dataBar>
      <extLst>
        <ext xmlns:x14="http://schemas.microsoft.com/office/spreadsheetml/2009/9/main" uri="{B025F937-C7B1-47D3-B67F-A62EFF666E3E}">
          <x14:id>{F5795ECA-DE70-4A48-8699-F59A2D2ECDAF}</x14:id>
        </ext>
      </extLst>
    </cfRule>
    <cfRule type="dataBar" priority="6">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
    <cfRule type="dataBar" priority="1">
      <dataBar>
        <cfvo type="min"/>
        <cfvo type="max"/>
        <color rgb="FF638EC6"/>
      </dataBar>
      <extLst>
        <ext xmlns:x14="http://schemas.microsoft.com/office/spreadsheetml/2009/9/main" uri="{B025F937-C7B1-47D3-B67F-A62EFF666E3E}">
          <x14:id>{8F445BD2-5734-48F1-951D-051D3DED05A1}</x14:id>
        </ext>
      </extLst>
    </cfRule>
  </conditionalFormatting>
  <conditionalFormatting sqref="H29:H31">
    <cfRule type="dataBar" priority="173">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7:H55">
    <cfRule type="dataBar" priority="19">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7:I55">
    <cfRule type="dataBar" priority="11">
      <dataBar>
        <cfvo type="min"/>
        <cfvo type="max"/>
        <color rgb="FF63C384"/>
      </dataBar>
      <extLst>
        <ext xmlns:x14="http://schemas.microsoft.com/office/spreadsheetml/2009/9/main" uri="{B025F937-C7B1-47D3-B67F-A62EFF666E3E}">
          <x14:id>{60823727-C433-4BFE-A422-F2DB16A0B39B}</x14:id>
        </ext>
      </extLst>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Q43:S53 N48:O58 P44:P54"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C47:C55 D47:E47</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D47:D55</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D48:D55</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E47:E55</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E48:E55</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E56:E59 G56:G59 I56:I59</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F47:F55</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G47:G55</xm:sqref>
        </x14:conditionalFormatting>
        <x14:conditionalFormatting xmlns:xm="http://schemas.microsoft.com/office/excel/2006/main">
          <x14:cfRule type="dataBar" id="{F5795ECA-DE70-4A48-8699-F59A2D2ECDAF}">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H21:H26</xm:sqref>
        </x14:conditionalFormatting>
        <x14:conditionalFormatting xmlns:xm="http://schemas.microsoft.com/office/excel/2006/main">
          <x14:cfRule type="dataBar" id="{8F445BD2-5734-48F1-951D-051D3DED05A1}">
            <x14:dataBar minLength="0" maxLength="100" border="1" negativeBarBorderColorSameAsPositive="0">
              <x14:cfvo type="autoMin"/>
              <x14:cfvo type="autoMax"/>
              <x14:borderColor rgb="FF638EC6"/>
              <x14:negativeFillColor rgb="FFFF0000"/>
              <x14:negativeBorderColor rgb="FFFF0000"/>
              <x14:axisColor rgb="FF000000"/>
            </x14:dataBar>
          </x14:cfRule>
          <xm:sqref>H27</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H29:H31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H47:H55</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I47:I55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
  <sheetViews>
    <sheetView workbookViewId="0"/>
  </sheetViews>
  <sheetFormatPr defaultColWidth="11.42578125" defaultRowHeight="12.75"/>
  <cols>
    <col min="1" max="1" width="27.140625" bestFit="1" customWidth="1"/>
  </cols>
  <sheetData>
    <row r="1" spans="1:1">
      <c r="A1" t="s">
        <v>167</v>
      </c>
    </row>
    <row r="2" spans="1:1">
      <c r="A2" t="s">
        <v>168</v>
      </c>
    </row>
    <row r="3" spans="1:1">
      <c r="A3" t="s">
        <v>169</v>
      </c>
    </row>
    <row r="4" spans="1:1">
      <c r="A4" t="s">
        <v>170</v>
      </c>
    </row>
    <row r="5" spans="1:1">
      <c r="A5" t="s">
        <v>171</v>
      </c>
    </row>
    <row r="6" spans="1:1">
      <c r="A6" s="11" t="s">
        <v>172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69"/>
  <sheetViews>
    <sheetView showGridLines="0" topLeftCell="A31" workbookViewId="0">
      <selection activeCell="B38" sqref="B38:C38"/>
    </sheetView>
  </sheetViews>
  <sheetFormatPr defaultColWidth="11.42578125" defaultRowHeight="12.75"/>
  <cols>
    <col min="1" max="1" width="2.140625" customWidth="1"/>
    <col min="2" max="2" width="11.140625" customWidth="1"/>
    <col min="3" max="3" width="42.85546875" customWidth="1"/>
    <col min="4" max="4" width="15.42578125" style="2" customWidth="1"/>
    <col min="5" max="9" width="15.42578125" customWidth="1"/>
    <col min="10" max="11" width="11.42578125" bestFit="1" customWidth="1"/>
    <col min="17" max="17" width="23.42578125" customWidth="1"/>
  </cols>
  <sheetData>
    <row r="1" spans="2:25" ht="7.5" customHeight="1"/>
    <row r="2" spans="2:25" ht="20.25">
      <c r="B2" s="1426" t="str">
        <f>"Regions "&amp;"("&amp;OP!$J$20&amp;")"</f>
        <v>Regions (2022)</v>
      </c>
      <c r="C2" s="1427"/>
      <c r="D2" s="1427"/>
      <c r="E2" s="1427"/>
      <c r="F2" s="1427"/>
      <c r="G2" s="1427"/>
      <c r="H2" s="1427"/>
      <c r="I2" s="1427"/>
      <c r="J2" s="1427"/>
      <c r="K2" s="1427"/>
      <c r="L2" s="1427"/>
      <c r="M2" s="1427"/>
      <c r="N2" s="1427"/>
      <c r="O2" s="1428"/>
      <c r="P2" s="15"/>
      <c r="Q2" s="1415" t="s">
        <v>173</v>
      </c>
      <c r="R2" s="1416"/>
      <c r="S2" s="1416"/>
      <c r="T2" s="1416"/>
      <c r="U2" s="1416"/>
      <c r="V2" s="1416"/>
      <c r="W2" s="1416"/>
      <c r="X2" s="1416"/>
      <c r="Y2" s="1417"/>
    </row>
    <row r="3" spans="2:25" ht="18">
      <c r="B3" s="490"/>
      <c r="C3" s="491"/>
      <c r="D3" s="1421" t="s">
        <v>174</v>
      </c>
      <c r="E3" s="1421"/>
      <c r="F3" s="1421"/>
      <c r="G3" s="1421"/>
      <c r="H3" s="1421"/>
      <c r="I3" s="1422"/>
      <c r="J3" s="485"/>
      <c r="K3" s="1423" t="s">
        <v>175</v>
      </c>
      <c r="L3" s="1424"/>
      <c r="M3" s="1424"/>
      <c r="N3" s="1424"/>
      <c r="O3" s="1425"/>
      <c r="P3" s="15"/>
      <c r="Q3" s="149"/>
      <c r="Y3" s="167"/>
    </row>
    <row r="4" spans="2:25">
      <c r="B4" s="159" t="s">
        <v>176</v>
      </c>
      <c r="C4" s="160" t="s">
        <v>177</v>
      </c>
      <c r="D4" s="161">
        <f>OP!J20</f>
        <v>2022</v>
      </c>
      <c r="E4" s="161">
        <f>D4-1</f>
        <v>2021</v>
      </c>
      <c r="F4" s="161">
        <f>E4-1</f>
        <v>2020</v>
      </c>
      <c r="G4" s="161">
        <f>F4-1</f>
        <v>2019</v>
      </c>
      <c r="H4" s="161">
        <f>G4-1</f>
        <v>2018</v>
      </c>
      <c r="I4" s="161">
        <f>H4-1</f>
        <v>2017</v>
      </c>
      <c r="J4" s="156"/>
      <c r="K4" s="478">
        <f>OP!J20</f>
        <v>2022</v>
      </c>
      <c r="L4" s="478">
        <f t="shared" ref="L4:O4" si="0">K4-1</f>
        <v>2021</v>
      </c>
      <c r="M4" s="478">
        <f t="shared" si="0"/>
        <v>2020</v>
      </c>
      <c r="N4" s="1138">
        <f t="shared" si="0"/>
        <v>2019</v>
      </c>
      <c r="O4" s="478">
        <f t="shared" si="0"/>
        <v>2018</v>
      </c>
      <c r="P4" s="15"/>
      <c r="Q4" s="149"/>
      <c r="Y4" s="167"/>
    </row>
    <row r="5" spans="2:25">
      <c r="B5" s="158">
        <f>IFERROR(D5/$D$13,"")</f>
        <v>6.2941725563408449E-2</v>
      </c>
      <c r="C5" s="472" t="s">
        <v>178</v>
      </c>
      <c r="D5" s="721">
        <v>472</v>
      </c>
      <c r="E5" s="721">
        <v>386</v>
      </c>
      <c r="F5" s="721">
        <v>340</v>
      </c>
      <c r="G5" s="721">
        <v>753</v>
      </c>
      <c r="H5" s="721">
        <v>748</v>
      </c>
      <c r="I5" s="721">
        <v>748</v>
      </c>
      <c r="J5" s="157"/>
      <c r="K5" s="1022">
        <f t="shared" ref="K5:O10" si="1">(D5-E5)/E5</f>
        <v>0.22279792746113988</v>
      </c>
      <c r="L5" s="1022">
        <f t="shared" si="1"/>
        <v>0.13529411764705881</v>
      </c>
      <c r="M5" s="1137">
        <f t="shared" si="1"/>
        <v>-0.54847277556440899</v>
      </c>
      <c r="N5" s="258">
        <f t="shared" si="1"/>
        <v>6.6844919786096255E-3</v>
      </c>
      <c r="O5" s="258">
        <f t="shared" si="1"/>
        <v>0</v>
      </c>
      <c r="P5" s="15"/>
      <c r="Q5" s="149"/>
      <c r="Y5" s="167"/>
    </row>
    <row r="6" spans="2:25">
      <c r="B6" s="158">
        <f t="shared" ref="B6" si="2">IFERROR(D6/$D$13,"")</f>
        <v>0.20589411921589545</v>
      </c>
      <c r="C6" s="472" t="s">
        <v>179</v>
      </c>
      <c r="D6" s="721">
        <v>1544</v>
      </c>
      <c r="E6" s="721">
        <v>1297</v>
      </c>
      <c r="F6" s="721">
        <v>998</v>
      </c>
      <c r="G6" s="721">
        <v>1564</v>
      </c>
      <c r="H6" s="721">
        <v>1623</v>
      </c>
      <c r="I6" s="721">
        <v>1683</v>
      </c>
      <c r="J6" s="157"/>
      <c r="K6" s="1022">
        <f t="shared" ref="K6" si="3">(D6-E6)/E6</f>
        <v>0.19043947571318426</v>
      </c>
      <c r="L6" s="1022">
        <f t="shared" ref="L6" si="4">(E6-F6)/F6</f>
        <v>0.29959919839679361</v>
      </c>
      <c r="M6" s="1022">
        <f t="shared" ref="M6" si="5">(F6-G6)/G6</f>
        <v>-0.36189258312020461</v>
      </c>
      <c r="N6" s="258">
        <f t="shared" ref="N6" si="6">(G6-H6)/H6</f>
        <v>-3.6352433764633395E-2</v>
      </c>
      <c r="O6" s="258">
        <f t="shared" ref="O6" si="7">(H6-I6)/I6</f>
        <v>-3.5650623885918005E-2</v>
      </c>
      <c r="P6" s="15"/>
      <c r="Q6" s="149"/>
      <c r="Y6" s="167"/>
    </row>
    <row r="7" spans="2:25">
      <c r="B7" s="158">
        <f t="shared" ref="B7:B12" si="8">IFERROR(D7/$D$13,"")</f>
        <v>0.31604213895186023</v>
      </c>
      <c r="C7" s="472" t="s">
        <v>180</v>
      </c>
      <c r="D7" s="721">
        <v>2370</v>
      </c>
      <c r="E7" s="721">
        <v>3080</v>
      </c>
      <c r="F7" s="721">
        <v>2487</v>
      </c>
      <c r="G7" s="721">
        <v>2962</v>
      </c>
      <c r="H7" s="721">
        <v>3093</v>
      </c>
      <c r="I7" s="721">
        <v>2798</v>
      </c>
      <c r="J7" s="157"/>
      <c r="K7" s="1137">
        <f t="shared" si="1"/>
        <v>-0.23051948051948051</v>
      </c>
      <c r="L7" s="1022">
        <f t="shared" si="1"/>
        <v>0.23843988741455568</v>
      </c>
      <c r="M7" s="1022">
        <f t="shared" si="1"/>
        <v>-0.16036461850101283</v>
      </c>
      <c r="N7" s="258">
        <f t="shared" si="1"/>
        <v>-4.2353701907533139E-2</v>
      </c>
      <c r="O7" s="258">
        <f t="shared" si="1"/>
        <v>0.10543245175125089</v>
      </c>
      <c r="P7" s="15"/>
      <c r="Q7" s="149"/>
      <c r="Y7" s="167"/>
    </row>
    <row r="8" spans="2:25">
      <c r="B8" s="158">
        <f t="shared" si="8"/>
        <v>0.24443259101213496</v>
      </c>
      <c r="C8" s="472" t="s">
        <v>181</v>
      </c>
      <c r="D8" s="721">
        <v>1833</v>
      </c>
      <c r="E8" s="721">
        <v>1535</v>
      </c>
      <c r="F8" s="721">
        <v>1187</v>
      </c>
      <c r="G8" s="721">
        <v>2108</v>
      </c>
      <c r="H8" s="721">
        <v>2127</v>
      </c>
      <c r="I8" s="721">
        <v>1937</v>
      </c>
      <c r="J8" s="157"/>
      <c r="K8" s="1022">
        <f t="shared" ref="K8:K9" si="9">(D8-E8)/E8</f>
        <v>0.19413680781758957</v>
      </c>
      <c r="L8" s="1022">
        <f t="shared" ref="L8:L9" si="10">(E8-F8)/F8</f>
        <v>0.2931760741364785</v>
      </c>
      <c r="M8" s="1022">
        <f t="shared" ref="M8:M9" si="11">(F8-G8)/G8</f>
        <v>-0.43690702087286526</v>
      </c>
      <c r="N8" s="258">
        <f t="shared" ref="N8:N9" si="12">(G8-H8)/H8</f>
        <v>-8.9327691584391161E-3</v>
      </c>
      <c r="O8" s="258">
        <f t="shared" ref="O8:O9" si="13">(H8-I8)/I8</f>
        <v>9.8089829633453793E-2</v>
      </c>
      <c r="P8" s="15"/>
      <c r="Q8" s="149"/>
      <c r="Y8" s="167"/>
    </row>
    <row r="9" spans="2:25">
      <c r="B9" s="158">
        <f t="shared" si="8"/>
        <v>0.15202026936924923</v>
      </c>
      <c r="C9" s="472" t="s">
        <v>182</v>
      </c>
      <c r="D9" s="721">
        <v>1140</v>
      </c>
      <c r="E9" s="721">
        <v>901</v>
      </c>
      <c r="F9" s="721">
        <v>490</v>
      </c>
      <c r="G9" s="721">
        <v>707</v>
      </c>
      <c r="H9" s="721">
        <v>733</v>
      </c>
      <c r="I9" s="721">
        <v>687</v>
      </c>
      <c r="J9" s="157"/>
      <c r="K9" s="1022">
        <f t="shared" si="9"/>
        <v>0.26526082130965595</v>
      </c>
      <c r="L9" s="1137">
        <f t="shared" si="10"/>
        <v>0.83877551020408159</v>
      </c>
      <c r="M9" s="1022">
        <f t="shared" si="11"/>
        <v>-0.30693069306930693</v>
      </c>
      <c r="N9" s="258">
        <f t="shared" si="12"/>
        <v>-3.5470668485675309E-2</v>
      </c>
      <c r="O9" s="258">
        <f t="shared" si="13"/>
        <v>6.6957787481804948E-2</v>
      </c>
      <c r="P9" s="15"/>
      <c r="Q9" s="149"/>
      <c r="Y9" s="167"/>
    </row>
    <row r="10" spans="2:25" ht="13.5" thickBot="1">
      <c r="B10" s="152">
        <f t="shared" si="8"/>
        <v>1.8669155887451661E-2</v>
      </c>
      <c r="C10" s="471" t="s">
        <v>183</v>
      </c>
      <c r="D10" s="722">
        <v>140</v>
      </c>
      <c r="E10" s="722">
        <v>114</v>
      </c>
      <c r="F10" s="722">
        <v>93</v>
      </c>
      <c r="G10" s="722">
        <v>149</v>
      </c>
      <c r="H10" s="722">
        <v>151</v>
      </c>
      <c r="I10" s="722">
        <v>136</v>
      </c>
      <c r="J10" s="157"/>
      <c r="K10" s="1022">
        <f t="shared" si="1"/>
        <v>0.22807017543859648</v>
      </c>
      <c r="L10" s="1022">
        <f t="shared" si="1"/>
        <v>0.22580645161290322</v>
      </c>
      <c r="M10" s="1022">
        <f t="shared" si="1"/>
        <v>-0.37583892617449666</v>
      </c>
      <c r="N10" s="258">
        <f t="shared" si="1"/>
        <v>-1.3245033112582781E-2</v>
      </c>
      <c r="O10" s="258">
        <f t="shared" si="1"/>
        <v>0.11029411764705882</v>
      </c>
      <c r="P10" s="15"/>
      <c r="Q10" s="149"/>
      <c r="Y10" s="167"/>
    </row>
    <row r="11" spans="2:25" hidden="1">
      <c r="B11" s="152">
        <f t="shared" si="8"/>
        <v>0</v>
      </c>
      <c r="C11" s="151"/>
      <c r="D11" s="722"/>
      <c r="E11" s="722"/>
      <c r="F11" s="722"/>
      <c r="G11" s="722"/>
      <c r="H11" s="722"/>
      <c r="I11" s="722"/>
      <c r="J11" s="157"/>
      <c r="K11" s="155"/>
      <c r="L11" s="155"/>
      <c r="M11" s="155"/>
      <c r="N11" s="155"/>
      <c r="O11" s="155"/>
      <c r="P11" s="15"/>
      <c r="Q11" s="149"/>
      <c r="Y11" s="167"/>
    </row>
    <row r="12" spans="2:25" hidden="1">
      <c r="B12" s="153">
        <f t="shared" si="8"/>
        <v>0</v>
      </c>
      <c r="C12" s="162"/>
      <c r="D12" s="723"/>
      <c r="E12" s="723"/>
      <c r="F12" s="723"/>
      <c r="G12" s="723"/>
      <c r="H12" s="723"/>
      <c r="I12" s="723"/>
      <c r="J12" s="157"/>
      <c r="K12" s="477"/>
      <c r="L12" s="477"/>
      <c r="M12" s="477"/>
      <c r="N12" s="477"/>
      <c r="O12" s="477"/>
      <c r="P12" s="15"/>
      <c r="Q12" s="149"/>
      <c r="Y12" s="167"/>
    </row>
    <row r="13" spans="2:25" ht="13.5" thickBot="1">
      <c r="B13" s="154">
        <f>SUM(B5:B12)</f>
        <v>1</v>
      </c>
      <c r="C13" s="163" t="s">
        <v>184</v>
      </c>
      <c r="D13" s="724">
        <f>SUM(D5:D12)</f>
        <v>7499</v>
      </c>
      <c r="E13" s="724">
        <f t="shared" ref="E13:I13" si="14">SUM(E5:E12)</f>
        <v>7313</v>
      </c>
      <c r="F13" s="724">
        <f t="shared" si="14"/>
        <v>5595</v>
      </c>
      <c r="G13" s="724">
        <f t="shared" si="14"/>
        <v>8243</v>
      </c>
      <c r="H13" s="724">
        <f t="shared" si="14"/>
        <v>8475</v>
      </c>
      <c r="I13" s="724">
        <f t="shared" si="14"/>
        <v>7989</v>
      </c>
      <c r="J13" s="476"/>
      <c r="K13" s="473">
        <f>(D13-E13)/E13</f>
        <v>2.5434158348147134E-2</v>
      </c>
      <c r="L13" s="474">
        <f>(E13-F13)/F13</f>
        <v>0.30705987488829312</v>
      </c>
      <c r="M13" s="474">
        <f>(F13-G13)/G13</f>
        <v>-0.32124226616523111</v>
      </c>
      <c r="N13" s="474">
        <f t="shared" ref="N13:O13" si="15">(G13-H13)/H13</f>
        <v>-2.7374631268436578E-2</v>
      </c>
      <c r="O13" s="475">
        <f t="shared" si="15"/>
        <v>6.083364626361247E-2</v>
      </c>
      <c r="P13" s="15"/>
      <c r="Q13" s="149"/>
      <c r="Y13" s="167"/>
    </row>
    <row r="14" spans="2:25" ht="13.5" thickBot="1">
      <c r="B14" s="170"/>
      <c r="C14" s="6"/>
      <c r="D14" s="15"/>
      <c r="E14" s="15"/>
      <c r="F14" s="15"/>
      <c r="G14" s="15"/>
      <c r="H14" s="15"/>
      <c r="I14" s="15"/>
      <c r="J14" s="15"/>
      <c r="K14" s="15"/>
      <c r="L14" s="15"/>
      <c r="M14" s="15"/>
      <c r="N14" s="15"/>
      <c r="O14" s="15"/>
      <c r="P14" s="15"/>
      <c r="Q14" s="149"/>
      <c r="Y14" s="167"/>
    </row>
    <row r="15" spans="2:25" ht="20.25">
      <c r="B15" s="1426" t="str">
        <f>"Categories "&amp;"("&amp;OP!$J$20&amp;")"</f>
        <v>Categories (2022)</v>
      </c>
      <c r="C15" s="1427"/>
      <c r="D15" s="1427"/>
      <c r="E15" s="1427"/>
      <c r="F15" s="1427"/>
      <c r="G15" s="1427"/>
      <c r="H15" s="1427"/>
      <c r="I15" s="1427"/>
      <c r="J15" s="1427"/>
      <c r="K15" s="1427"/>
      <c r="L15" s="1427"/>
      <c r="M15" s="1427"/>
      <c r="N15" s="1427"/>
      <c r="O15" s="1428"/>
      <c r="P15" s="15"/>
      <c r="Q15" s="149"/>
      <c r="S15" s="261"/>
      <c r="Y15" s="167"/>
    </row>
    <row r="16" spans="2:25" ht="20.25">
      <c r="B16" s="490"/>
      <c r="C16" s="491"/>
      <c r="D16" s="1418" t="s">
        <v>174</v>
      </c>
      <c r="E16" s="1419"/>
      <c r="F16" s="1419"/>
      <c r="G16" s="1419"/>
      <c r="H16" s="1419"/>
      <c r="I16" s="1420"/>
      <c r="J16" s="485"/>
      <c r="K16" s="1423" t="s">
        <v>175</v>
      </c>
      <c r="L16" s="1424"/>
      <c r="M16" s="1424"/>
      <c r="N16" s="1424"/>
      <c r="O16" s="1425"/>
      <c r="P16" s="15"/>
      <c r="Q16" s="149"/>
      <c r="Y16" s="167"/>
    </row>
    <row r="17" spans="2:25">
      <c r="B17" s="171" t="s">
        <v>176</v>
      </c>
      <c r="C17" s="148" t="s">
        <v>185</v>
      </c>
      <c r="D17" s="161">
        <f>OP!J20</f>
        <v>2022</v>
      </c>
      <c r="E17" s="161">
        <f>D17-1</f>
        <v>2021</v>
      </c>
      <c r="F17" s="161">
        <f>E17-1</f>
        <v>2020</v>
      </c>
      <c r="G17" s="161">
        <f>F17-1</f>
        <v>2019</v>
      </c>
      <c r="H17" s="161">
        <f>G17-1</f>
        <v>2018</v>
      </c>
      <c r="I17" s="161">
        <f>H17-1</f>
        <v>2017</v>
      </c>
      <c r="J17" s="485"/>
      <c r="K17" s="487">
        <f>OP!J20</f>
        <v>2022</v>
      </c>
      <c r="L17" s="488">
        <f t="shared" ref="L17:O17" si="16">K17-1</f>
        <v>2021</v>
      </c>
      <c r="M17" s="488">
        <f t="shared" si="16"/>
        <v>2020</v>
      </c>
      <c r="N17" s="488">
        <f t="shared" si="16"/>
        <v>2019</v>
      </c>
      <c r="O17" s="489">
        <f t="shared" si="16"/>
        <v>2018</v>
      </c>
      <c r="P17" s="15"/>
      <c r="Q17" s="149"/>
      <c r="Y17" s="167"/>
    </row>
    <row r="18" spans="2:25">
      <c r="B18" s="158">
        <f>IFERROR(D18/$D$21,"")</f>
        <v>0.95226030137351647</v>
      </c>
      <c r="C18" s="470" t="s">
        <v>186</v>
      </c>
      <c r="D18" s="721">
        <v>7141</v>
      </c>
      <c r="E18" s="721">
        <v>7011</v>
      </c>
      <c r="F18" s="721">
        <v>5335</v>
      </c>
      <c r="G18" s="721">
        <v>7965</v>
      </c>
      <c r="H18" s="721">
        <v>8213</v>
      </c>
      <c r="I18" s="721">
        <v>7730</v>
      </c>
      <c r="J18" s="486"/>
      <c r="K18" s="1023">
        <f>(D18-E18)/E18</f>
        <v>1.8542290686064757E-2</v>
      </c>
      <c r="L18" s="1024">
        <f t="shared" ref="L18:O20" si="17">(E18-F18)/F18</f>
        <v>0.31415182755388943</v>
      </c>
      <c r="M18" s="259">
        <f t="shared" si="17"/>
        <v>-0.33019460138104206</v>
      </c>
      <c r="N18" s="259">
        <f t="shared" si="17"/>
        <v>-3.0196030683063434E-2</v>
      </c>
      <c r="O18" s="479">
        <f t="shared" si="17"/>
        <v>6.2483829236739973E-2</v>
      </c>
      <c r="P18" s="15"/>
      <c r="Q18" s="149"/>
      <c r="Y18" s="167"/>
    </row>
    <row r="19" spans="2:25">
      <c r="B19" s="158">
        <f>IFERROR(D19/$D$21,"")</f>
        <v>4.7072943059074543E-2</v>
      </c>
      <c r="C19" s="469" t="s">
        <v>187</v>
      </c>
      <c r="D19" s="721">
        <v>353</v>
      </c>
      <c r="E19" s="721">
        <v>297</v>
      </c>
      <c r="F19" s="721">
        <v>256</v>
      </c>
      <c r="G19" s="721">
        <v>273</v>
      </c>
      <c r="H19" s="721">
        <v>257</v>
      </c>
      <c r="I19" s="721">
        <v>254</v>
      </c>
      <c r="J19" s="486"/>
      <c r="K19" s="1025">
        <f t="shared" ref="K19" si="18">(D19-E19)/E19</f>
        <v>0.18855218855218855</v>
      </c>
      <c r="L19" s="1026">
        <f t="shared" si="17"/>
        <v>0.16015625</v>
      </c>
      <c r="M19" s="1139">
        <f t="shared" si="17"/>
        <v>-6.2271062271062272E-2</v>
      </c>
      <c r="N19" s="260">
        <f t="shared" si="17"/>
        <v>6.2256809338521402E-2</v>
      </c>
      <c r="O19" s="481">
        <f t="shared" si="17"/>
        <v>1.1811023622047244E-2</v>
      </c>
      <c r="P19" s="15"/>
      <c r="Q19" s="149"/>
      <c r="Y19" s="167"/>
    </row>
    <row r="20" spans="2:25">
      <c r="B20" s="158">
        <f>IFERROR(D20/$D$21,"")</f>
        <v>6.6675556740898785E-4</v>
      </c>
      <c r="C20" s="151" t="s">
        <v>188</v>
      </c>
      <c r="D20" s="721">
        <v>5</v>
      </c>
      <c r="E20" s="721">
        <v>5</v>
      </c>
      <c r="F20" s="721">
        <v>4</v>
      </c>
      <c r="G20" s="721">
        <v>5</v>
      </c>
      <c r="H20" s="721">
        <v>5</v>
      </c>
      <c r="I20" s="721">
        <v>5</v>
      </c>
      <c r="J20" s="486"/>
      <c r="K20" s="480">
        <f t="shared" ref="K20" si="19">(D20-E20)/E20</f>
        <v>0</v>
      </c>
      <c r="L20" s="260">
        <f t="shared" si="17"/>
        <v>0.25</v>
      </c>
      <c r="M20" s="260">
        <f t="shared" si="17"/>
        <v>-0.2</v>
      </c>
      <c r="N20" s="260">
        <f t="shared" si="17"/>
        <v>0</v>
      </c>
      <c r="O20" s="481">
        <f t="shared" si="17"/>
        <v>0</v>
      </c>
      <c r="P20" s="15"/>
      <c r="Q20" s="149"/>
      <c r="Y20" s="167"/>
    </row>
    <row r="21" spans="2:25">
      <c r="B21" s="154">
        <f>SUM(B18:B20)</f>
        <v>1</v>
      </c>
      <c r="C21" s="163" t="s">
        <v>184</v>
      </c>
      <c r="D21" s="724">
        <f>SUM(D18:D20)</f>
        <v>7499</v>
      </c>
      <c r="E21" s="724">
        <f t="shared" ref="E21:I21" si="20">SUM(E18:E20)</f>
        <v>7313</v>
      </c>
      <c r="F21" s="724">
        <f t="shared" si="20"/>
        <v>5595</v>
      </c>
      <c r="G21" s="724">
        <f t="shared" si="20"/>
        <v>8243</v>
      </c>
      <c r="H21" s="724">
        <f t="shared" si="20"/>
        <v>8475</v>
      </c>
      <c r="I21" s="724">
        <f t="shared" si="20"/>
        <v>7989</v>
      </c>
      <c r="J21" s="476"/>
      <c r="K21" s="482">
        <f>(D21-E21)/E21</f>
        <v>2.5434158348147134E-2</v>
      </c>
      <c r="L21" s="483">
        <f>(E21-F21)/F21</f>
        <v>0.30705987488829312</v>
      </c>
      <c r="M21" s="483">
        <f t="shared" ref="M21" si="21">(F21-G21)/G21</f>
        <v>-0.32124226616523111</v>
      </c>
      <c r="N21" s="483">
        <f t="shared" ref="N21" si="22">(G21-H21)/H21</f>
        <v>-2.7374631268436578E-2</v>
      </c>
      <c r="O21" s="484">
        <f t="shared" ref="O21" si="23">(H21-I21)/I21</f>
        <v>6.083364626361247E-2</v>
      </c>
      <c r="P21" s="15"/>
      <c r="Q21" s="149"/>
      <c r="Y21" s="167"/>
    </row>
    <row r="23" spans="2:25" ht="20.25">
      <c r="B23" s="1404" t="s">
        <v>79</v>
      </c>
      <c r="C23" s="1405"/>
      <c r="D23" s="1404" t="s">
        <v>189</v>
      </c>
      <c r="E23" s="1406"/>
      <c r="F23" s="1406"/>
      <c r="G23" s="1406"/>
      <c r="H23" s="1406"/>
      <c r="I23" s="1395" t="s">
        <v>190</v>
      </c>
      <c r="J23" s="1396"/>
      <c r="K23" s="1396"/>
      <c r="L23" s="1396"/>
      <c r="M23" s="1396"/>
      <c r="N23" s="1396"/>
      <c r="O23" s="1396"/>
      <c r="P23" s="1396"/>
      <c r="Q23" s="149"/>
      <c r="Y23" s="167"/>
    </row>
    <row r="24" spans="2:25" ht="34.5" customHeight="1">
      <c r="B24" s="1402" t="s">
        <v>191</v>
      </c>
      <c r="C24" s="1403"/>
      <c r="D24" s="1407" t="s">
        <v>192</v>
      </c>
      <c r="E24" s="1408"/>
      <c r="F24" s="1408"/>
      <c r="G24" s="1408"/>
      <c r="H24" s="1408"/>
      <c r="I24" s="149"/>
      <c r="Q24" s="149"/>
      <c r="Y24" s="167"/>
    </row>
    <row r="25" spans="2:25" ht="34.5" customHeight="1">
      <c r="B25" s="1402" t="s">
        <v>193</v>
      </c>
      <c r="C25" s="1403"/>
      <c r="D25" s="1409" t="s">
        <v>194</v>
      </c>
      <c r="E25" s="1410"/>
      <c r="F25" s="1410"/>
      <c r="G25" s="1410"/>
      <c r="H25" s="1410"/>
      <c r="I25" s="149"/>
      <c r="Q25" s="149"/>
      <c r="Y25" s="167"/>
    </row>
    <row r="26" spans="2:25" ht="34.5" customHeight="1">
      <c r="B26" s="1402" t="s">
        <v>195</v>
      </c>
      <c r="C26" s="1403"/>
      <c r="D26" s="1411" t="s">
        <v>196</v>
      </c>
      <c r="E26" s="1410"/>
      <c r="F26" s="1410"/>
      <c r="G26" s="1410"/>
      <c r="H26" s="1410"/>
      <c r="I26" s="149"/>
      <c r="Q26" s="149"/>
      <c r="Y26" s="167"/>
    </row>
    <row r="27" spans="2:25" ht="34.5" customHeight="1">
      <c r="B27" s="1402" t="s">
        <v>197</v>
      </c>
      <c r="C27" s="1403"/>
      <c r="D27" s="1407" t="s">
        <v>198</v>
      </c>
      <c r="E27" s="1408"/>
      <c r="F27" s="1408"/>
      <c r="G27" s="1408"/>
      <c r="H27" s="1408"/>
      <c r="I27" s="149"/>
      <c r="Q27" s="149"/>
      <c r="Y27" s="167"/>
    </row>
    <row r="28" spans="2:25" ht="42" customHeight="1">
      <c r="B28" s="1402" t="s">
        <v>187</v>
      </c>
      <c r="C28" s="1403"/>
      <c r="D28" s="1407" t="s">
        <v>199</v>
      </c>
      <c r="E28" s="1408"/>
      <c r="F28" s="1408"/>
      <c r="G28" s="1408"/>
      <c r="H28" s="1408"/>
      <c r="I28" s="149"/>
      <c r="Q28" s="149"/>
      <c r="Y28" s="167"/>
    </row>
    <row r="29" spans="2:25" ht="28.5" customHeight="1">
      <c r="B29" s="14"/>
      <c r="C29" s="15"/>
      <c r="D29" s="16"/>
      <c r="E29" s="15"/>
      <c r="F29" s="16"/>
      <c r="G29" s="15"/>
      <c r="H29" s="15"/>
      <c r="I29" s="150"/>
      <c r="J29" s="168"/>
      <c r="K29" s="168"/>
      <c r="L29" s="168"/>
      <c r="M29" s="168"/>
      <c r="N29" s="168"/>
      <c r="O29" s="168"/>
      <c r="P29" s="168"/>
      <c r="Q29" s="150"/>
      <c r="R29" s="168"/>
      <c r="S29" s="168"/>
      <c r="T29" s="168"/>
      <c r="U29" s="168"/>
      <c r="V29" s="168"/>
      <c r="W29" s="168"/>
      <c r="X29" s="168"/>
      <c r="Y29" s="169"/>
    </row>
    <row r="30" spans="2:25">
      <c r="C30" s="14"/>
      <c r="D30" s="15"/>
      <c r="E30" s="16"/>
      <c r="F30" s="15"/>
      <c r="G30" s="16"/>
      <c r="H30" s="15"/>
      <c r="I30" s="15"/>
      <c r="J30" s="15"/>
      <c r="K30" s="15"/>
      <c r="L30" s="15"/>
      <c r="M30" s="15"/>
    </row>
    <row r="31" spans="2:25" ht="20.25">
      <c r="B31" s="1404" t="s">
        <v>200</v>
      </c>
      <c r="C31" s="1406"/>
      <c r="D31" s="1406"/>
      <c r="E31" s="1406"/>
      <c r="F31" s="1406"/>
      <c r="G31" s="1406"/>
      <c r="H31" s="1406"/>
      <c r="I31" s="1405"/>
      <c r="J31" s="1459" t="s">
        <v>201</v>
      </c>
      <c r="K31" s="1460"/>
      <c r="L31" s="1460"/>
      <c r="M31" s="1460"/>
      <c r="N31" s="1460"/>
      <c r="O31" s="1460"/>
      <c r="P31" s="1460"/>
      <c r="Q31" s="1461"/>
    </row>
    <row r="32" spans="2:25">
      <c r="B32" s="1412" t="s">
        <v>202</v>
      </c>
      <c r="C32" s="1414"/>
      <c r="D32" s="1412" t="s">
        <v>189</v>
      </c>
      <c r="E32" s="1413"/>
      <c r="F32" s="1413"/>
      <c r="G32" s="1413"/>
      <c r="H32" s="1413"/>
      <c r="I32" s="1414"/>
      <c r="J32" s="164"/>
      <c r="K32" s="165"/>
      <c r="L32" s="165"/>
      <c r="M32" s="165"/>
      <c r="N32" s="165"/>
      <c r="O32" s="165"/>
      <c r="P32" s="165"/>
      <c r="Q32" s="166"/>
    </row>
    <row r="33" spans="2:21" ht="37.5" customHeight="1">
      <c r="B33" s="1400" t="s">
        <v>203</v>
      </c>
      <c r="C33" s="1401"/>
      <c r="D33" s="1441" t="s">
        <v>204</v>
      </c>
      <c r="E33" s="1442"/>
      <c r="F33" s="1442"/>
      <c r="G33" s="1442"/>
      <c r="H33" s="1442"/>
      <c r="I33" s="1443"/>
      <c r="J33" s="149"/>
      <c r="Q33" s="167"/>
    </row>
    <row r="34" spans="2:21" ht="37.5" customHeight="1">
      <c r="B34" s="1400" t="s">
        <v>205</v>
      </c>
      <c r="C34" s="1401"/>
      <c r="D34" s="1397" t="s">
        <v>206</v>
      </c>
      <c r="E34" s="1398"/>
      <c r="F34" s="1398"/>
      <c r="G34" s="1398"/>
      <c r="H34" s="1398"/>
      <c r="I34" s="1399"/>
      <c r="J34" s="149"/>
      <c r="Q34" s="167"/>
    </row>
    <row r="35" spans="2:21" ht="27" customHeight="1">
      <c r="B35" s="1435" t="s">
        <v>207</v>
      </c>
      <c r="C35" s="1436"/>
      <c r="D35" s="1444" t="s">
        <v>208</v>
      </c>
      <c r="E35" s="1445"/>
      <c r="F35" s="1445"/>
      <c r="G35" s="1445"/>
      <c r="H35" s="1445"/>
      <c r="I35" s="1446"/>
      <c r="J35" s="149"/>
      <c r="Q35" s="167"/>
    </row>
    <row r="36" spans="2:21">
      <c r="B36" s="1412" t="s">
        <v>209</v>
      </c>
      <c r="C36" s="1413"/>
      <c r="D36" s="1413"/>
      <c r="E36" s="1413"/>
      <c r="F36" s="1413"/>
      <c r="G36" s="1413"/>
      <c r="H36" s="1413"/>
      <c r="I36" s="1414"/>
      <c r="J36" s="149"/>
      <c r="Q36" s="167"/>
    </row>
    <row r="37" spans="2:21" ht="13.5" customHeight="1">
      <c r="B37" s="1468" t="s">
        <v>210</v>
      </c>
      <c r="C37" s="1469"/>
      <c r="D37" s="1429" t="s">
        <v>211</v>
      </c>
      <c r="E37" s="1430"/>
      <c r="F37" s="1431"/>
      <c r="G37" s="1429" t="s">
        <v>212</v>
      </c>
      <c r="H37" s="1430"/>
      <c r="I37" s="1431"/>
      <c r="J37" s="149"/>
      <c r="Q37" s="167"/>
      <c r="T37" s="11"/>
      <c r="U37" s="11"/>
    </row>
    <row r="38" spans="2:21">
      <c r="B38" s="1437" t="s">
        <v>213</v>
      </c>
      <c r="C38" s="1438"/>
      <c r="D38" s="1465">
        <v>1.1599999999999999E-2</v>
      </c>
      <c r="E38" s="1466"/>
      <c r="F38" s="1467"/>
      <c r="G38" s="1462" t="s">
        <v>214</v>
      </c>
      <c r="H38" s="1463"/>
      <c r="I38" s="1464"/>
      <c r="J38" s="149"/>
      <c r="Q38" s="167"/>
      <c r="T38" s="11"/>
      <c r="U38" s="11"/>
    </row>
    <row r="39" spans="2:21">
      <c r="B39" s="1437" t="s">
        <v>215</v>
      </c>
      <c r="C39" s="1438"/>
      <c r="D39" s="1465">
        <v>2.3800000000000002E-2</v>
      </c>
      <c r="E39" s="1466"/>
      <c r="F39" s="1467"/>
      <c r="G39" s="1462" t="s">
        <v>216</v>
      </c>
      <c r="H39" s="1463"/>
      <c r="I39" s="1464"/>
      <c r="J39" s="149"/>
      <c r="Q39" s="167"/>
      <c r="T39" s="11"/>
      <c r="U39" s="11"/>
    </row>
    <row r="40" spans="2:21">
      <c r="B40" s="1437" t="s">
        <v>217</v>
      </c>
      <c r="C40" s="1438"/>
      <c r="D40" s="1465">
        <v>3.2500000000000001E-2</v>
      </c>
      <c r="E40" s="1466"/>
      <c r="F40" s="1467"/>
      <c r="G40" s="1462" t="s">
        <v>216</v>
      </c>
      <c r="H40" s="1463"/>
      <c r="I40" s="1464"/>
      <c r="J40" s="149"/>
      <c r="Q40" s="167"/>
      <c r="T40" s="11"/>
      <c r="U40" s="11"/>
    </row>
    <row r="41" spans="2:21">
      <c r="B41" s="1439" t="s">
        <v>218</v>
      </c>
      <c r="C41" s="1440"/>
      <c r="D41" s="1432">
        <f>AVERAGE(D38:F40)</f>
        <v>2.2633333333333335E-2</v>
      </c>
      <c r="E41" s="1433"/>
      <c r="F41" s="1434"/>
      <c r="G41" s="1456" t="s">
        <v>216</v>
      </c>
      <c r="H41" s="1457"/>
      <c r="I41" s="1458"/>
      <c r="J41" s="149"/>
      <c r="Q41" s="167"/>
      <c r="T41" s="11"/>
      <c r="U41" s="11"/>
    </row>
    <row r="42" spans="2:21" ht="20.25">
      <c r="B42" s="1395" t="s">
        <v>219</v>
      </c>
      <c r="C42" s="1396"/>
      <c r="D42" s="1396"/>
      <c r="E42" s="1396"/>
      <c r="F42" s="1396"/>
      <c r="G42" s="1396"/>
      <c r="H42" s="1396"/>
      <c r="I42" s="1470"/>
      <c r="J42" s="149"/>
      <c r="Q42" s="167"/>
      <c r="T42" s="11"/>
      <c r="U42" s="11"/>
    </row>
    <row r="43" spans="2:21" ht="13.15" customHeight="1">
      <c r="B43" s="1447" t="s">
        <v>220</v>
      </c>
      <c r="C43" s="1448"/>
      <c r="D43" s="1448"/>
      <c r="E43" s="1448"/>
      <c r="F43" s="1448"/>
      <c r="G43" s="1448"/>
      <c r="H43" s="1448"/>
      <c r="I43" s="1449"/>
      <c r="Q43" s="167"/>
      <c r="T43" s="11"/>
      <c r="U43" s="11"/>
    </row>
    <row r="44" spans="2:21" ht="13.15" customHeight="1">
      <c r="B44" s="1450"/>
      <c r="C44" s="1451"/>
      <c r="D44" s="1451"/>
      <c r="E44" s="1451"/>
      <c r="F44" s="1451"/>
      <c r="G44" s="1451"/>
      <c r="H44" s="1451"/>
      <c r="I44" s="1452"/>
      <c r="Q44" s="167"/>
      <c r="T44" s="11"/>
      <c r="U44" s="11"/>
    </row>
    <row r="45" spans="2:21" ht="12.75" customHeight="1">
      <c r="B45" s="1450"/>
      <c r="C45" s="1451"/>
      <c r="D45" s="1451"/>
      <c r="E45" s="1451"/>
      <c r="F45" s="1451"/>
      <c r="G45" s="1451"/>
      <c r="H45" s="1451"/>
      <c r="I45" s="1452"/>
      <c r="Q45" s="167"/>
      <c r="T45" s="11"/>
      <c r="U45" s="11"/>
    </row>
    <row r="46" spans="2:21" ht="12.75" customHeight="1">
      <c r="B46" s="1450"/>
      <c r="C46" s="1451"/>
      <c r="D46" s="1451"/>
      <c r="E46" s="1451"/>
      <c r="F46" s="1451"/>
      <c r="G46" s="1451"/>
      <c r="H46" s="1451"/>
      <c r="I46" s="1452"/>
      <c r="Q46" s="167"/>
      <c r="T46" s="11"/>
      <c r="U46" s="11"/>
    </row>
    <row r="47" spans="2:21" ht="12.75" customHeight="1">
      <c r="B47" s="1450"/>
      <c r="C47" s="1451"/>
      <c r="D47" s="1451"/>
      <c r="E47" s="1451"/>
      <c r="F47" s="1451"/>
      <c r="G47" s="1451"/>
      <c r="H47" s="1451"/>
      <c r="I47" s="1452"/>
      <c r="Q47" s="167"/>
      <c r="T47" s="11"/>
      <c r="U47" s="11"/>
    </row>
    <row r="48" spans="2:21" ht="12.75" customHeight="1">
      <c r="B48" s="1450"/>
      <c r="C48" s="1451"/>
      <c r="D48" s="1451"/>
      <c r="E48" s="1451"/>
      <c r="F48" s="1451"/>
      <c r="G48" s="1451"/>
      <c r="H48" s="1451"/>
      <c r="I48" s="1452"/>
      <c r="Q48" s="167"/>
      <c r="T48" s="11"/>
      <c r="U48" s="11"/>
    </row>
    <row r="49" spans="2:21" ht="12.75" customHeight="1">
      <c r="B49" s="1450"/>
      <c r="C49" s="1451"/>
      <c r="D49" s="1451"/>
      <c r="E49" s="1451"/>
      <c r="F49" s="1451"/>
      <c r="G49" s="1451"/>
      <c r="H49" s="1451"/>
      <c r="I49" s="1452"/>
      <c r="Q49" s="167"/>
      <c r="T49" s="11"/>
      <c r="U49" s="11"/>
    </row>
    <row r="50" spans="2:21" ht="12.75" customHeight="1">
      <c r="B50" s="1450"/>
      <c r="C50" s="1451"/>
      <c r="D50" s="1451"/>
      <c r="E50" s="1451"/>
      <c r="F50" s="1451"/>
      <c r="G50" s="1451"/>
      <c r="H50" s="1451"/>
      <c r="I50" s="1452"/>
      <c r="Q50" s="167"/>
      <c r="T50" s="11"/>
      <c r="U50" s="11"/>
    </row>
    <row r="51" spans="2:21" ht="21.75" customHeight="1">
      <c r="B51" s="1450"/>
      <c r="C51" s="1451"/>
      <c r="D51" s="1451"/>
      <c r="E51" s="1451"/>
      <c r="F51" s="1451"/>
      <c r="G51" s="1451"/>
      <c r="H51" s="1451"/>
      <c r="I51" s="1452"/>
      <c r="Q51" s="167"/>
      <c r="T51" s="11"/>
      <c r="U51" s="11"/>
    </row>
    <row r="52" spans="2:21" ht="50.25" customHeight="1">
      <c r="B52" s="1450"/>
      <c r="C52" s="1451"/>
      <c r="D52" s="1451"/>
      <c r="E52" s="1451"/>
      <c r="F52" s="1451"/>
      <c r="G52" s="1451"/>
      <c r="H52" s="1451"/>
      <c r="I52" s="1452"/>
      <c r="Q52" s="167"/>
      <c r="T52" s="11"/>
      <c r="U52" s="11"/>
    </row>
    <row r="53" spans="2:21" ht="30" customHeight="1">
      <c r="B53" s="1453"/>
      <c r="C53" s="1454"/>
      <c r="D53" s="1454"/>
      <c r="E53" s="1454"/>
      <c r="F53" s="1454"/>
      <c r="G53" s="1454"/>
      <c r="H53" s="1454"/>
      <c r="I53" s="1455"/>
      <c r="J53" s="168"/>
      <c r="K53" s="168"/>
      <c r="L53" s="168"/>
      <c r="M53" s="168"/>
      <c r="N53" s="168"/>
      <c r="O53" s="168"/>
      <c r="P53" s="168"/>
      <c r="Q53" s="169"/>
      <c r="T53" s="11"/>
      <c r="U53" s="11"/>
    </row>
    <row r="54" spans="2:21">
      <c r="T54" s="11"/>
      <c r="U54" s="11"/>
    </row>
    <row r="55" spans="2:21">
      <c r="C55" t="s">
        <v>221</v>
      </c>
      <c r="T55" s="11"/>
      <c r="U55" s="11"/>
    </row>
    <row r="56" spans="2:21">
      <c r="T56" s="11"/>
      <c r="U56" s="11"/>
    </row>
    <row r="57" spans="2:21">
      <c r="T57" s="11"/>
      <c r="U57" s="11"/>
    </row>
    <row r="58" spans="2:21">
      <c r="T58" s="11"/>
      <c r="U58" s="11"/>
    </row>
    <row r="59" spans="2:21">
      <c r="T59" s="11"/>
      <c r="U59" s="11"/>
    </row>
    <row r="60" spans="2:21">
      <c r="O60" s="262"/>
      <c r="T60" s="11"/>
      <c r="U60" s="11"/>
    </row>
    <row r="61" spans="2:21">
      <c r="O61" s="262"/>
      <c r="T61" s="11"/>
      <c r="U61" s="11"/>
    </row>
    <row r="62" spans="2:21">
      <c r="O62" s="262"/>
      <c r="T62" s="11"/>
      <c r="U62" s="11"/>
    </row>
    <row r="63" spans="2:21">
      <c r="T63" s="11"/>
      <c r="U63" s="11"/>
    </row>
    <row r="64" spans="2:21">
      <c r="T64" s="11"/>
      <c r="U64" s="11"/>
    </row>
    <row r="65" spans="20:21">
      <c r="T65" s="11"/>
      <c r="U65" s="11"/>
    </row>
    <row r="66" spans="20:21">
      <c r="T66" s="11"/>
      <c r="U66" s="11"/>
    </row>
    <row r="67" spans="20:21">
      <c r="T67" s="11"/>
      <c r="U67" s="11"/>
    </row>
    <row r="68" spans="20:21">
      <c r="T68" s="11"/>
      <c r="U68" s="11"/>
    </row>
    <row r="69" spans="20:21">
      <c r="T69" s="11"/>
      <c r="U69" s="11"/>
    </row>
  </sheetData>
  <mergeCells count="48">
    <mergeCell ref="B43:I53"/>
    <mergeCell ref="G41:I41"/>
    <mergeCell ref="J31:Q31"/>
    <mergeCell ref="G39:I39"/>
    <mergeCell ref="G40:I40"/>
    <mergeCell ref="D38:F38"/>
    <mergeCell ref="D39:F39"/>
    <mergeCell ref="D40:F40"/>
    <mergeCell ref="B36:I36"/>
    <mergeCell ref="B37:C37"/>
    <mergeCell ref="B38:C38"/>
    <mergeCell ref="G38:I38"/>
    <mergeCell ref="B31:I31"/>
    <mergeCell ref="B42:I42"/>
    <mergeCell ref="B32:C32"/>
    <mergeCell ref="B33:C33"/>
    <mergeCell ref="D37:F37"/>
    <mergeCell ref="G37:I37"/>
    <mergeCell ref="D41:F41"/>
    <mergeCell ref="B25:C25"/>
    <mergeCell ref="B35:C35"/>
    <mergeCell ref="B39:C39"/>
    <mergeCell ref="B40:C40"/>
    <mergeCell ref="B41:C41"/>
    <mergeCell ref="D33:I33"/>
    <mergeCell ref="D35:I35"/>
    <mergeCell ref="B28:C28"/>
    <mergeCell ref="D28:H28"/>
    <mergeCell ref="Q2:Y2"/>
    <mergeCell ref="D16:I16"/>
    <mergeCell ref="D3:I3"/>
    <mergeCell ref="K3:O3"/>
    <mergeCell ref="K16:O16"/>
    <mergeCell ref="B15:O15"/>
    <mergeCell ref="B2:O2"/>
    <mergeCell ref="I23:P23"/>
    <mergeCell ref="D34:I34"/>
    <mergeCell ref="B34:C34"/>
    <mergeCell ref="B24:C24"/>
    <mergeCell ref="B26:C26"/>
    <mergeCell ref="B27:C27"/>
    <mergeCell ref="B23:C23"/>
    <mergeCell ref="D23:H23"/>
    <mergeCell ref="D24:H24"/>
    <mergeCell ref="D25:H25"/>
    <mergeCell ref="D26:H26"/>
    <mergeCell ref="D27:H27"/>
    <mergeCell ref="D32:I32"/>
  </mergeCells>
  <phoneticPr fontId="0" type="noConversion"/>
  <conditionalFormatting sqref="B5:B12">
    <cfRule type="dataBar" priority="161">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8:B20">
    <cfRule type="dataBar" priority="132">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12">
    <cfRule type="dataBar" priority="162">
      <dataBar>
        <cfvo type="min"/>
        <cfvo type="max"/>
        <color rgb="FF63C384"/>
      </dataBar>
      <extLst>
        <ext xmlns:x14="http://schemas.microsoft.com/office/spreadsheetml/2009/9/main" uri="{B025F937-C7B1-47D3-B67F-A62EFF666E3E}">
          <x14:id>{767D33FE-8570-4B26-81B7-5505E2A08A62}</x14:id>
        </ext>
      </extLst>
    </cfRule>
  </conditionalFormatting>
  <conditionalFormatting sqref="D5:I10">
    <cfRule type="dataBar" priority="40">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8:I20">
    <cfRule type="dataBar" priority="134">
      <dataBar>
        <cfvo type="min"/>
        <cfvo type="max"/>
        <color rgb="FF63C384"/>
      </dataBar>
      <extLst>
        <ext xmlns:x14="http://schemas.microsoft.com/office/spreadsheetml/2009/9/main" uri="{B025F937-C7B1-47D3-B67F-A62EFF666E3E}">
          <x14:id>{1F46AD93-0C52-4A08-B9B4-7B371546684A}</x14:id>
        </ext>
      </extLst>
    </cfRule>
  </conditionalFormatting>
  <conditionalFormatting sqref="E5:E12">
    <cfRule type="dataBar" priority="163">
      <dataBar>
        <cfvo type="min"/>
        <cfvo type="max"/>
        <color rgb="FF63C384"/>
      </dataBar>
      <extLst>
        <ext xmlns:x14="http://schemas.microsoft.com/office/spreadsheetml/2009/9/main" uri="{B025F937-C7B1-47D3-B67F-A62EFF666E3E}">
          <x14:id>{740A2B96-C6E5-4177-AC04-9573B81E30EC}</x14:id>
        </ext>
      </extLst>
    </cfRule>
  </conditionalFormatting>
  <conditionalFormatting sqref="F5:F12">
    <cfRule type="dataBar" priority="164">
      <dataBar>
        <cfvo type="min"/>
        <cfvo type="max"/>
        <color rgb="FF63C384"/>
      </dataBar>
      <extLst>
        <ext xmlns:x14="http://schemas.microsoft.com/office/spreadsheetml/2009/9/main" uri="{B025F937-C7B1-47D3-B67F-A62EFF666E3E}">
          <x14:id>{5EFE30C4-0901-404E-9108-731E3BE4821E}</x14:id>
        </ext>
      </extLst>
    </cfRule>
  </conditionalFormatting>
  <conditionalFormatting sqref="G5:G12">
    <cfRule type="dataBar" priority="165">
      <dataBar>
        <cfvo type="min"/>
        <cfvo type="max"/>
        <color rgb="FF63C384"/>
      </dataBar>
      <extLst>
        <ext xmlns:x14="http://schemas.microsoft.com/office/spreadsheetml/2009/9/main" uri="{B025F937-C7B1-47D3-B67F-A62EFF666E3E}">
          <x14:id>{A1F44ECC-EF2B-4606-87E9-B7F443AC18BF}</x14:id>
        </ext>
      </extLst>
    </cfRule>
  </conditionalFormatting>
  <conditionalFormatting sqref="H5:H12">
    <cfRule type="dataBar" priority="166">
      <dataBar>
        <cfvo type="min"/>
        <cfvo type="max"/>
        <color rgb="FF63C384"/>
      </dataBar>
      <extLst>
        <ext xmlns:x14="http://schemas.microsoft.com/office/spreadsheetml/2009/9/main" uri="{B025F937-C7B1-47D3-B67F-A62EFF666E3E}">
          <x14:id>{4320827E-AAAF-46DA-9F47-1F13F9C2B2E6}</x14:id>
        </ext>
      </extLst>
    </cfRule>
  </conditionalFormatting>
  <conditionalFormatting sqref="I5:I12">
    <cfRule type="dataBar" priority="167">
      <dataBar>
        <cfvo type="min"/>
        <cfvo type="max"/>
        <color rgb="FF63C384"/>
      </dataBar>
      <extLst>
        <ext xmlns:x14="http://schemas.microsoft.com/office/spreadsheetml/2009/9/main" uri="{B025F937-C7B1-47D3-B67F-A62EFF666E3E}">
          <x14:id>{5091493A-8CC0-4646-874A-93DEE51CD4AB}</x14:id>
        </ext>
      </extLst>
    </cfRule>
  </conditionalFormatting>
  <conditionalFormatting sqref="K5:K12">
    <cfRule type="dataBar" priority="168">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8:K20">
    <cfRule type="dataBar" priority="136">
      <dataBar>
        <cfvo type="min"/>
        <cfvo type="max"/>
        <color rgb="FF63C384"/>
      </dataBar>
      <extLst>
        <ext xmlns:x14="http://schemas.microsoft.com/office/spreadsheetml/2009/9/main" uri="{B025F937-C7B1-47D3-B67F-A62EFF666E3E}">
          <x14:id>{60785AC6-7D44-400D-A2D8-9BBBDC5C548B}</x14:id>
        </ext>
      </extLst>
    </cfRule>
  </conditionalFormatting>
  <conditionalFormatting sqref="K5:O10">
    <cfRule type="dataBar" priority="46">
      <dataBar>
        <cfvo type="min"/>
        <cfvo type="max"/>
        <color rgb="FF63C384"/>
      </dataBar>
      <extLst>
        <ext xmlns:x14="http://schemas.microsoft.com/office/spreadsheetml/2009/9/main" uri="{B025F937-C7B1-47D3-B67F-A62EFF666E3E}">
          <x14:id>{1642E512-5328-4DB9-81F4-5A67EFFA2D7A}</x14:id>
        </ext>
      </extLst>
    </cfRule>
    <cfRule type="dataBar" priority="47">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8:O20">
    <cfRule type="dataBar" priority="138">
      <dataBar>
        <cfvo type="min"/>
        <cfvo type="max"/>
        <color rgb="FF63C384"/>
      </dataBar>
      <extLst>
        <ext xmlns:x14="http://schemas.microsoft.com/office/spreadsheetml/2009/9/main" uri="{B025F937-C7B1-47D3-B67F-A62EFF666E3E}">
          <x14:id>{BE9D279A-ADD8-46F4-B26E-577DEFFA037B}</x14:id>
        </ext>
      </extLst>
    </cfRule>
    <cfRule type="dataBar" priority="139">
      <dataBar>
        <cfvo type="min"/>
        <cfvo type="max"/>
        <color rgb="FF63C384"/>
      </dataBar>
      <extLst>
        <ext xmlns:x14="http://schemas.microsoft.com/office/spreadsheetml/2009/9/main" uri="{B025F937-C7B1-47D3-B67F-A62EFF666E3E}">
          <x14:id>{A85696C3-3FD4-4347-BBC8-6CEF041D9BC2}</x14:id>
        </ext>
      </extLst>
    </cfRule>
    <cfRule type="dataBar" priority="140">
      <dataBar>
        <cfvo type="min"/>
        <cfvo type="max"/>
        <color rgb="FF63C384"/>
      </dataBar>
      <extLst>
        <ext xmlns:x14="http://schemas.microsoft.com/office/spreadsheetml/2009/9/main" uri="{B025F937-C7B1-47D3-B67F-A62EFF666E3E}">
          <x14:id>{4CBCF4A4-EFBB-41F0-984E-0C4EF2D8C81C}</x14:id>
        </ext>
      </extLst>
    </cfRule>
    <cfRule type="dataBar" priority="141">
      <dataBar>
        <cfvo type="min"/>
        <cfvo type="max"/>
        <color rgb="FF63C384"/>
      </dataBar>
      <extLst>
        <ext xmlns:x14="http://schemas.microsoft.com/office/spreadsheetml/2009/9/main" uri="{B025F937-C7B1-47D3-B67F-A62EFF666E3E}">
          <x14:id>{9095667E-69EE-4811-BEDE-AFA010708C3B}</x14:id>
        </ext>
      </extLst>
    </cfRule>
    <cfRule type="dataBar" priority="142">
      <dataBar>
        <cfvo type="min"/>
        <cfvo type="max"/>
        <color rgb="FF63C384"/>
      </dataBar>
      <extLst>
        <ext xmlns:x14="http://schemas.microsoft.com/office/spreadsheetml/2009/9/main" uri="{B025F937-C7B1-47D3-B67F-A62EFF666E3E}">
          <x14:id>{00030478-9DDE-4C48-B970-8BFEEA7887D7}</x14:id>
        </ext>
      </extLst>
    </cfRule>
    <cfRule type="dataBar" priority="143">
      <dataBar>
        <cfvo type="min"/>
        <cfvo type="max"/>
        <color rgb="FF63C384"/>
      </dataBar>
      <extLst>
        <ext xmlns:x14="http://schemas.microsoft.com/office/spreadsheetml/2009/9/main" uri="{B025F937-C7B1-47D3-B67F-A62EFF666E3E}">
          <x14:id>{CBC457F7-3DB8-46A0-988B-11CCF8FF31E5}</x14:id>
        </ext>
      </extLst>
    </cfRule>
    <cfRule type="dataBar" priority="144">
      <dataBar>
        <cfvo type="min"/>
        <cfvo type="max"/>
        <color rgb="FF63C384"/>
      </dataBar>
      <extLst>
        <ext xmlns:x14="http://schemas.microsoft.com/office/spreadsheetml/2009/9/main" uri="{B025F937-C7B1-47D3-B67F-A62EFF666E3E}">
          <x14:id>{589E11FE-E342-4D21-9EB3-CB0F15AE87A6}</x14:id>
        </ext>
      </extLst>
    </cfRule>
    <cfRule type="dataBar" priority="145">
      <dataBar>
        <cfvo type="min"/>
        <cfvo type="max"/>
        <color rgb="FF63C384"/>
      </dataBar>
      <extLst>
        <ext xmlns:x14="http://schemas.microsoft.com/office/spreadsheetml/2009/9/main" uri="{B025F937-C7B1-47D3-B67F-A62EFF666E3E}">
          <x14:id>{EC7F1560-4E75-4756-AE37-09B82982D1AB}</x14:id>
        </ext>
      </extLst>
    </cfRule>
  </conditionalFormatting>
  <conditionalFormatting sqref="L5:L12">
    <cfRule type="dataBar" priority="169">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8:L20">
    <cfRule type="dataBar" priority="154">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1:M12">
    <cfRule type="dataBar" priority="70">
      <dataBar>
        <cfvo type="min"/>
        <cfvo type="max"/>
        <color rgb="FF63C384"/>
      </dataBar>
      <extLst>
        <ext xmlns:x14="http://schemas.microsoft.com/office/spreadsheetml/2009/9/main" uri="{B025F937-C7B1-47D3-B67F-A62EFF666E3E}">
          <x14:id>{CF921376-951B-44A1-A35C-F489AA25CABD}</x14:id>
        </ext>
      </extLst>
    </cfRule>
  </conditionalFormatting>
  <conditionalFormatting sqref="M19:M20">
    <cfRule type="dataBar" priority="156">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O10">
    <cfRule type="dataBar" priority="52">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1:N12">
    <cfRule type="dataBar" priority="69">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8:N20">
    <cfRule type="dataBar" priority="158">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1:O12">
    <cfRule type="dataBar" priority="68">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8:O20">
    <cfRule type="dataBar" priority="160">
      <dataBar>
        <cfvo type="min"/>
        <cfvo type="max"/>
        <color rgb="FF63C384"/>
      </dataBar>
      <extLst>
        <ext xmlns:x14="http://schemas.microsoft.com/office/spreadsheetml/2009/9/main" uri="{B025F937-C7B1-47D3-B67F-A62EFF666E3E}">
          <x14:id>{26AC0999-7FF4-4431-B91F-7A7C0E85B670}</x14:id>
        </ext>
      </extLst>
    </cfRule>
  </conditionalFormatting>
  <hyperlinks>
    <hyperlink ref="B38:C38" r:id="rId1" display="Global News Wire" xr:uid="{00000000-0004-0000-0100-000000000000}"/>
    <hyperlink ref="B39:C39" r:id="rId2" display="Statista" xr:uid="{00000000-0004-0000-0100-000001000000}"/>
    <hyperlink ref="B40:C40" r:id="rId3" display="Mordor Intelligence" xr:uid="{00000000-0004-0000-0100-000002000000}"/>
  </hyperlinks>
  <pageMargins left="0.75" right="0.75" top="1" bottom="1" header="0" footer="0"/>
  <pageSetup orientation="landscape" r:id="rId4"/>
  <headerFooter alignWithMargins="0"/>
  <drawing r:id="rId5"/>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B5:B12</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B18:B20</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D5:D12</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D5:I10</xm:sqref>
        </x14:conditionalFormatting>
        <x14:conditionalFormatting xmlns:xm="http://schemas.microsoft.com/office/excel/2006/main">
          <x14:cfRule type="dataBar" id="{1F46AD93-0C52-4A08-B9B4-7B371546684A}">
            <x14:dataBar minLength="0" maxLength="100" gradient="0">
              <x14:cfvo type="autoMin"/>
              <x14:cfvo type="autoMax"/>
              <x14:negativeFillColor rgb="FFFF0000"/>
              <x14:axisColor rgb="FF000000"/>
            </x14:dataBar>
          </x14:cfRule>
          <xm:sqref>D18:I20</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E5:E12</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F5:F12</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G5:G12</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H5:H12</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I5:I12</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K5:K12</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K18:K20</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K5:O10</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14:cfRule type="dataBar" id="{EC7F1560-4E75-4756-AE37-09B82982D1AB}">
            <x14:dataBar minLength="0" maxLength="100" gradient="0">
              <x14:cfvo type="autoMin"/>
              <x14:cfvo type="autoMax"/>
              <x14:negativeFillColor rgb="FFFF0000"/>
              <x14:axisColor rgb="FF000000"/>
            </x14:dataBar>
          </x14:cfRule>
          <xm:sqref>K18:O20</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L5:L12</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L18:L20</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M19:M20</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M5:O10</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N11:N12</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N18:N20</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O11:O12</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O18:O20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N74"/>
  <sheetViews>
    <sheetView showGridLines="0" topLeftCell="A49" zoomScale="85" zoomScaleNormal="85" workbookViewId="0">
      <selection activeCell="C40" sqref="C40"/>
    </sheetView>
  </sheetViews>
  <sheetFormatPr defaultColWidth="11.42578125" defaultRowHeight="12.75"/>
  <cols>
    <col min="1" max="1" width="0.42578125" customWidth="1"/>
    <col min="2" max="2" width="31.7109375" bestFit="1" customWidth="1"/>
    <col min="3" max="3" width="47.42578125" bestFit="1" customWidth="1"/>
    <col min="4" max="4" width="32.140625" customWidth="1"/>
    <col min="5" max="5" width="33.42578125" customWidth="1"/>
    <col min="6" max="6" width="33.85546875" customWidth="1"/>
    <col min="7" max="7" width="32.140625" customWidth="1"/>
    <col min="8" max="8" width="46.140625" customWidth="1"/>
    <col min="9" max="9" width="15.42578125" customWidth="1"/>
    <col min="10" max="10" width="11.42578125" style="2"/>
  </cols>
  <sheetData>
    <row r="1" spans="2:14" ht="15">
      <c r="B1" s="195" t="s">
        <v>222</v>
      </c>
      <c r="C1" s="196" t="s">
        <v>223</v>
      </c>
      <c r="D1" s="1474" t="s">
        <v>189</v>
      </c>
      <c r="E1" s="1474"/>
      <c r="F1" s="1474"/>
      <c r="G1" s="1474"/>
      <c r="H1" s="1474"/>
    </row>
    <row r="2" spans="2:14" ht="81.75" customHeight="1">
      <c r="B2" s="197"/>
      <c r="C2" s="284" t="e" vm="3">
        <f>D8</f>
        <v>#VALUE!</v>
      </c>
      <c r="D2" s="1471" t="s">
        <v>224</v>
      </c>
      <c r="E2" s="1472"/>
      <c r="F2" s="1472"/>
      <c r="G2" s="1472"/>
      <c r="H2" s="1473"/>
    </row>
    <row r="3" spans="2:14" ht="81.75" customHeight="1">
      <c r="B3" s="197"/>
      <c r="C3" s="285" t="e" vm="4">
        <f>E8</f>
        <v>#VALUE!</v>
      </c>
      <c r="D3" s="1471" t="s">
        <v>225</v>
      </c>
      <c r="E3" s="1472"/>
      <c r="F3" s="1472"/>
      <c r="G3" s="1472"/>
      <c r="H3" s="1473"/>
    </row>
    <row r="4" spans="2:14" ht="81.75" customHeight="1">
      <c r="B4" s="197"/>
      <c r="C4" s="286" t="str">
        <f>F8</f>
        <v>Seiko Group Corporation</v>
      </c>
      <c r="D4" s="1471" t="s">
        <v>226</v>
      </c>
      <c r="E4" s="1472"/>
      <c r="F4" s="1472"/>
      <c r="G4" s="1472"/>
      <c r="H4" s="1473"/>
    </row>
    <row r="5" spans="2:14" ht="81.75" customHeight="1">
      <c r="B5" s="197"/>
      <c r="C5" s="287" t="e" vm="5">
        <f>G8</f>
        <v>#VALUE!</v>
      </c>
      <c r="D5" s="1471" t="s">
        <v>227</v>
      </c>
      <c r="E5" s="1472"/>
      <c r="F5" s="1472"/>
      <c r="G5" s="1472"/>
      <c r="H5" s="1473"/>
    </row>
    <row r="6" spans="2:14" ht="81.75" customHeight="1">
      <c r="B6" s="197"/>
      <c r="C6" s="288" t="e" vm="6">
        <f>H8</f>
        <v>#VALUE!</v>
      </c>
      <c r="D6" s="1471" t="s">
        <v>228</v>
      </c>
      <c r="E6" s="1481"/>
      <c r="F6" s="1481"/>
      <c r="G6" s="1481"/>
      <c r="H6" s="1482"/>
    </row>
    <row r="7" spans="2:14">
      <c r="B7" s="11"/>
    </row>
    <row r="8" spans="2:14" ht="36" customHeight="1">
      <c r="B8" s="1027" t="s">
        <v>229</v>
      </c>
      <c r="C8" s="1028" t="e" vm="1">
        <f>OP!E2</f>
        <v>#VALUE!</v>
      </c>
      <c r="D8" s="1029" t="e" vm="3">
        <v>#VALUE!</v>
      </c>
      <c r="E8" s="1030" t="e" vm="4">
        <v>#VALUE!</v>
      </c>
      <c r="F8" s="1031" t="s">
        <v>230</v>
      </c>
      <c r="G8" s="1032" t="e" vm="5">
        <v>#VALUE!</v>
      </c>
      <c r="H8" s="1033" t="e" vm="6">
        <v>#VALUE!</v>
      </c>
      <c r="I8" s="1034" t="s">
        <v>231</v>
      </c>
      <c r="J8" s="1035" t="s">
        <v>232</v>
      </c>
    </row>
    <row r="9" spans="2:14" ht="16.5" customHeight="1">
      <c r="B9" s="1036" t="s">
        <v>233</v>
      </c>
      <c r="C9" s="173"/>
      <c r="D9" s="174"/>
      <c r="E9" s="174"/>
      <c r="F9" s="174"/>
      <c r="G9" s="174"/>
      <c r="H9" s="587"/>
      <c r="I9" s="175" t="str">
        <f>IFERROR(AVERAGE(C9:H9),"")</f>
        <v/>
      </c>
      <c r="J9" s="1140"/>
      <c r="L9" s="1556" t="s">
        <v>234</v>
      </c>
      <c r="M9" s="1557"/>
      <c r="N9" s="1558"/>
    </row>
    <row r="10" spans="2:14" ht="13.5" customHeight="1">
      <c r="B10" s="1037" t="s">
        <v>235</v>
      </c>
      <c r="C10" s="1063">
        <f>OP!C22</f>
        <v>11686.48</v>
      </c>
      <c r="D10" s="984">
        <v>2061</v>
      </c>
      <c r="E10" s="984">
        <v>1540</v>
      </c>
      <c r="F10" s="984">
        <v>107886</v>
      </c>
      <c r="G10" s="984">
        <v>78802</v>
      </c>
      <c r="H10" s="984">
        <v>8216</v>
      </c>
      <c r="I10" s="185">
        <f>IFERROR(AVERAGE(C10:H10),"")</f>
        <v>35031.91333333333</v>
      </c>
      <c r="J10" s="1141">
        <f>SQRT((C10-I10)^2)</f>
        <v>23345.433333333331</v>
      </c>
      <c r="L10" s="1483"/>
      <c r="M10" s="1477" t="s">
        <v>236</v>
      </c>
      <c r="N10" s="1478"/>
    </row>
    <row r="11" spans="2:14">
      <c r="B11" s="1045" t="s">
        <v>237</v>
      </c>
      <c r="C11" s="1064">
        <f>C53</f>
        <v>8098.920000000001</v>
      </c>
      <c r="D11" s="1046">
        <f>D53</f>
        <v>1948.7</v>
      </c>
      <c r="E11" s="1046">
        <f t="shared" ref="E11:H11" si="0">E53</f>
        <v>2225.9</v>
      </c>
      <c r="F11" s="1046">
        <f t="shared" si="0"/>
        <v>1924.1</v>
      </c>
      <c r="G11" s="1046">
        <f t="shared" si="0"/>
        <v>20754</v>
      </c>
      <c r="H11" s="1046">
        <f t="shared" si="0"/>
        <v>3772.8</v>
      </c>
      <c r="I11" s="186">
        <f t="shared" ref="I11:I40" si="1">IFERROR(AVERAGE(C11:H11),"")</f>
        <v>6454.0700000000006</v>
      </c>
      <c r="J11" s="1142">
        <f t="shared" ref="J11:J47" si="2">SQRT((C11-I11)^2)</f>
        <v>1644.8500000000004</v>
      </c>
      <c r="L11" s="1484"/>
      <c r="M11" s="1479"/>
      <c r="N11" s="1480"/>
    </row>
    <row r="12" spans="2:14" ht="16.5" customHeight="1">
      <c r="B12" s="1036" t="s">
        <v>238</v>
      </c>
      <c r="C12" s="184"/>
      <c r="D12" s="184"/>
      <c r="E12" s="184"/>
      <c r="F12" s="184"/>
      <c r="G12" s="184"/>
      <c r="H12" s="184"/>
      <c r="I12" s="187" t="str">
        <f t="shared" si="1"/>
        <v/>
      </c>
      <c r="J12" s="1143"/>
      <c r="L12" s="1485"/>
      <c r="M12" s="1477" t="s">
        <v>239</v>
      </c>
      <c r="N12" s="1478"/>
    </row>
    <row r="13" spans="2:14">
      <c r="B13" s="1037" t="s">
        <v>240</v>
      </c>
      <c r="C13" s="985">
        <f>C53/C52-1</f>
        <v>2.5434158348147218E-2</v>
      </c>
      <c r="D13" s="985">
        <f t="shared" ref="D13:H13" si="3">D53/D52-1</f>
        <v>-0.13244590864571271</v>
      </c>
      <c r="E13" s="985">
        <f t="shared" si="3"/>
        <v>-0.11148810474213622</v>
      </c>
      <c r="F13" s="985">
        <f t="shared" si="3"/>
        <v>-8.9485141018360692E-2</v>
      </c>
      <c r="G13" s="985">
        <f t="shared" si="3"/>
        <v>6.7098565478944883E-2</v>
      </c>
      <c r="H13" s="985">
        <f t="shared" si="3"/>
        <v>-2.2261383367455312E-2</v>
      </c>
      <c r="I13" s="188">
        <f t="shared" si="1"/>
        <v>-4.3857968991095474E-2</v>
      </c>
      <c r="J13" s="1144">
        <f t="shared" si="2"/>
        <v>6.9292127339242698E-2</v>
      </c>
      <c r="L13" s="1486"/>
      <c r="M13" s="1479"/>
      <c r="N13" s="1480"/>
    </row>
    <row r="14" spans="2:14">
      <c r="B14" s="1047" t="s">
        <v>241</v>
      </c>
      <c r="C14" s="1048">
        <f>C53/C51-1</f>
        <v>-9.0258401067572436E-2</v>
      </c>
      <c r="D14" s="1048">
        <f>D53/D51-1</f>
        <v>-0.24536266119350969</v>
      </c>
      <c r="E14" s="1048">
        <f t="shared" ref="E14:H14" si="4">E53/E51-1</f>
        <v>-0.131152660135056</v>
      </c>
      <c r="F14" s="1048">
        <f t="shared" si="4"/>
        <v>-0.12528981224712454</v>
      </c>
      <c r="G14" s="1048">
        <f t="shared" si="4"/>
        <v>0.31196662241608197</v>
      </c>
      <c r="H14" s="1048">
        <f t="shared" si="4"/>
        <v>0.127588989509549</v>
      </c>
      <c r="I14" s="189">
        <f t="shared" si="1"/>
        <v>-2.5417987119605284E-2</v>
      </c>
      <c r="J14" s="1144">
        <f t="shared" si="2"/>
        <v>6.4840413947967149E-2</v>
      </c>
      <c r="L14" s="1475"/>
      <c r="M14" s="1477" t="s">
        <v>242</v>
      </c>
      <c r="N14" s="1478"/>
    </row>
    <row r="15" spans="2:14">
      <c r="B15" s="1038" t="s">
        <v>124</v>
      </c>
      <c r="C15" s="1149">
        <f>C56/C53</f>
        <v>0.15442058941192158</v>
      </c>
      <c r="D15" s="986">
        <f t="shared" ref="D15:H15" si="5">D56/D53</f>
        <v>5.1418894647713861E-2</v>
      </c>
      <c r="E15" s="986">
        <f t="shared" si="5"/>
        <v>6.4917561435823709E-2</v>
      </c>
      <c r="F15" s="986">
        <f t="shared" si="5"/>
        <v>3.8511511875682136E-2</v>
      </c>
      <c r="G15" s="986">
        <f t="shared" si="5"/>
        <v>0.25214416498024478</v>
      </c>
      <c r="H15" s="986">
        <f t="shared" si="5"/>
        <v>0.20952608142493637</v>
      </c>
      <c r="I15" s="189">
        <f>IFERROR(AVERAGE(C15:H15),"")</f>
        <v>0.12848980062938706</v>
      </c>
      <c r="J15" s="1144">
        <f t="shared" si="2"/>
        <v>2.593078878253452E-2</v>
      </c>
      <c r="L15" s="1476"/>
      <c r="M15" s="1479"/>
      <c r="N15" s="1480"/>
    </row>
    <row r="16" spans="2:14">
      <c r="B16" s="1047" t="s">
        <v>243</v>
      </c>
      <c r="C16" s="1065">
        <f>C59/C53</f>
        <v>0.10761434857981064</v>
      </c>
      <c r="D16" s="1048">
        <f t="shared" ref="D16:H16" si="6">D59/D53</f>
        <v>4.9571509211269044E-2</v>
      </c>
      <c r="E16" s="1048">
        <f t="shared" si="6"/>
        <v>7.2465070308639204E-2</v>
      </c>
      <c r="F16" s="1048">
        <f t="shared" si="6"/>
        <v>1.928174211319578E-2</v>
      </c>
      <c r="G16" s="1048">
        <f t="shared" si="6"/>
        <v>1.5707815360894287E-2</v>
      </c>
      <c r="H16" s="1048">
        <f t="shared" si="6"/>
        <v>0.15627650551314673</v>
      </c>
      <c r="I16" s="189">
        <f t="shared" si="1"/>
        <v>7.0152831847825947E-2</v>
      </c>
      <c r="J16" s="1144">
        <f t="shared" si="2"/>
        <v>3.7461516731984695E-2</v>
      </c>
    </row>
    <row r="17" spans="1:11">
      <c r="B17" s="1038" t="s">
        <v>244</v>
      </c>
      <c r="C17" s="1149">
        <f>C59/C70</f>
        <v>6.7334167709637044E-2</v>
      </c>
      <c r="D17" s="986">
        <f t="shared" ref="D17:H17" si="7">D59/D70</f>
        <v>5.7882437533704832E-2</v>
      </c>
      <c r="E17" s="986">
        <f t="shared" si="7"/>
        <v>9.5539892199253698E-2</v>
      </c>
      <c r="F17" s="986">
        <f t="shared" si="7"/>
        <v>3.7953964194373406E-2</v>
      </c>
      <c r="G17" s="986">
        <f t="shared" si="7"/>
        <v>1.586374695863747E-2</v>
      </c>
      <c r="H17" s="986">
        <f t="shared" si="7"/>
        <v>0.31184217485587351</v>
      </c>
      <c r="I17" s="189">
        <f t="shared" si="1"/>
        <v>9.7736063908579987E-2</v>
      </c>
      <c r="J17" s="1144">
        <f t="shared" si="2"/>
        <v>3.0401896198942943E-2</v>
      </c>
    </row>
    <row r="18" spans="1:11">
      <c r="B18" s="1045" t="s">
        <v>245</v>
      </c>
      <c r="C18" s="1149">
        <f>(C59+C58)/(C69+C70)</f>
        <v>4.4525973484532647E-2</v>
      </c>
      <c r="D18" s="1049">
        <f t="shared" ref="D18:H18" si="8">(D59+D58)/(D69+D70)</f>
        <v>6.0322236241871302E-2</v>
      </c>
      <c r="E18" s="1049">
        <f t="shared" si="8"/>
        <v>9.654924191298872E-2</v>
      </c>
      <c r="F18" s="1049">
        <f t="shared" si="8"/>
        <v>3.406853091768413E-2</v>
      </c>
      <c r="G18" s="1049">
        <f t="shared" si="8"/>
        <v>3.2155797101449272E-2</v>
      </c>
      <c r="H18" s="1049">
        <f t="shared" si="8"/>
        <v>0.20424880485577698</v>
      </c>
      <c r="I18" s="190">
        <f t="shared" si="1"/>
        <v>7.8645097419050514E-2</v>
      </c>
      <c r="J18" s="1144">
        <f t="shared" si="2"/>
        <v>3.4119123934517867E-2</v>
      </c>
    </row>
    <row r="19" spans="1:11" ht="15.75">
      <c r="B19" s="1036" t="s">
        <v>246</v>
      </c>
      <c r="C19" s="184"/>
      <c r="D19" s="184"/>
      <c r="E19" s="184"/>
      <c r="F19" s="184"/>
      <c r="G19" s="184"/>
      <c r="H19" s="184"/>
      <c r="I19" s="191" t="str">
        <f t="shared" si="1"/>
        <v/>
      </c>
      <c r="J19" s="1143"/>
    </row>
    <row r="20" spans="1:11">
      <c r="B20" s="1039" t="s">
        <v>70</v>
      </c>
      <c r="C20" s="1066">
        <f>C69/C66</f>
        <v>5.7582955445188223E-4</v>
      </c>
      <c r="D20" s="987">
        <f t="shared" ref="D20:H20" si="9">D69/D66</f>
        <v>0.15515329161055216</v>
      </c>
      <c r="E20" s="987">
        <f t="shared" si="9"/>
        <v>0.18195437521280217</v>
      </c>
      <c r="F20" s="987">
        <f t="shared" si="9"/>
        <v>0.62705308259938108</v>
      </c>
      <c r="G20" s="987">
        <f t="shared" si="9"/>
        <v>0.38327541856581976</v>
      </c>
      <c r="H20" s="987">
        <f t="shared" si="9"/>
        <v>0.40323432343234322</v>
      </c>
      <c r="I20" s="305">
        <f>IFERROR(AVERAGE(C20:H20),"")</f>
        <v>0.29187438682922506</v>
      </c>
      <c r="J20" s="1145">
        <f t="shared" si="2"/>
        <v>0.29129855727477316</v>
      </c>
      <c r="K20" t="s">
        <v>221</v>
      </c>
    </row>
    <row r="21" spans="1:11">
      <c r="B21" s="1047" t="s">
        <v>247</v>
      </c>
      <c r="C21" s="1067">
        <f>(C69-C61)/C55</f>
        <v>-0.71705184259837595</v>
      </c>
      <c r="D21" s="1050">
        <f>(D69-D61)/D55</f>
        <v>-2.1319218241042348</v>
      </c>
      <c r="E21" s="1050">
        <f t="shared" ref="E21:H21" si="10">(E69-E61)/E55</f>
        <v>-0.49515116942384518</v>
      </c>
      <c r="F21" s="1050">
        <f t="shared" si="10"/>
        <v>10.527665317139002</v>
      </c>
      <c r="G21" s="1050">
        <f t="shared" si="10"/>
        <v>-0.54652042360060515</v>
      </c>
      <c r="H21" s="1050">
        <f t="shared" si="10"/>
        <v>0.6541294739578819</v>
      </c>
      <c r="I21" s="305">
        <f t="shared" si="1"/>
        <v>1.2151915885616371</v>
      </c>
      <c r="J21" s="1145">
        <f t="shared" si="2"/>
        <v>1.9322434311600132</v>
      </c>
    </row>
    <row r="22" spans="1:11">
      <c r="B22" s="1040" t="s">
        <v>248</v>
      </c>
      <c r="C22" s="988">
        <f t="shared" ref="C22:H22" si="11">-C55/C57</f>
        <v>39.048780487804883</v>
      </c>
      <c r="D22" s="988">
        <f t="shared" si="11"/>
        <v>4.9918699186991864</v>
      </c>
      <c r="E22" s="988">
        <f t="shared" si="11"/>
        <v>3.8697571743929364</v>
      </c>
      <c r="F22" s="988">
        <f>-F55/F57</f>
        <v>20.027027027027025</v>
      </c>
      <c r="G22" s="988">
        <f t="shared" si="11"/>
        <v>19.731343283582088</v>
      </c>
      <c r="H22" s="988">
        <f t="shared" si="11"/>
        <v>50.388646288209614</v>
      </c>
      <c r="I22" s="306">
        <f t="shared" si="1"/>
        <v>23.009570696619289</v>
      </c>
      <c r="J22" s="1145">
        <f t="shared" si="2"/>
        <v>16.039209791185595</v>
      </c>
    </row>
    <row r="23" spans="1:11" ht="15.75">
      <c r="B23" s="1036" t="s">
        <v>249</v>
      </c>
      <c r="C23" s="184"/>
      <c r="D23" s="184"/>
      <c r="E23" s="184"/>
      <c r="F23" s="184"/>
      <c r="G23" s="184"/>
      <c r="H23" s="184"/>
      <c r="I23" s="307"/>
      <c r="J23" s="1143"/>
    </row>
    <row r="24" spans="1:11">
      <c r="B24" s="1051" t="s">
        <v>250</v>
      </c>
      <c r="C24" s="1066">
        <f>C64/C68</f>
        <v>9.2300177619893429</v>
      </c>
      <c r="D24" s="1052">
        <f>D64/D68</f>
        <v>2.780673871582962</v>
      </c>
      <c r="E24" s="1052">
        <f t="shared" ref="E24:H24" si="12">E64/E68</f>
        <v>3.2737317930688099</v>
      </c>
      <c r="F24" s="1052">
        <f t="shared" si="12"/>
        <v>1.0694398951850639</v>
      </c>
      <c r="G24" s="1052">
        <f t="shared" si="12"/>
        <v>2.4672813132448841</v>
      </c>
      <c r="H24" s="1052">
        <f t="shared" si="12"/>
        <v>2.2472613458528952</v>
      </c>
      <c r="I24" s="308">
        <f t="shared" si="1"/>
        <v>3.5114009968206599</v>
      </c>
      <c r="J24" s="1145">
        <f t="shared" si="2"/>
        <v>5.718616765168683</v>
      </c>
    </row>
    <row r="25" spans="1:11">
      <c r="B25" s="1040" t="s">
        <v>251</v>
      </c>
      <c r="C25" s="989">
        <f>(C61+C62)/C68</f>
        <v>1.6580817051509769</v>
      </c>
      <c r="D25" s="989">
        <f t="shared" ref="D25:H25" si="13">(D61+D62)/D68</f>
        <v>1.3984424666242847</v>
      </c>
      <c r="E25" s="989">
        <f t="shared" si="13"/>
        <v>1.743512472794241</v>
      </c>
      <c r="F25" s="989">
        <f t="shared" si="13"/>
        <v>0.43547330494595476</v>
      </c>
      <c r="G25" s="989">
        <f t="shared" si="13"/>
        <v>1.5590285585788173</v>
      </c>
      <c r="H25" s="989">
        <f t="shared" si="13"/>
        <v>1.2847222222222223</v>
      </c>
      <c r="I25" s="306">
        <f t="shared" si="1"/>
        <v>1.3465434550527495</v>
      </c>
      <c r="J25" s="1145">
        <f t="shared" si="2"/>
        <v>0.31153825009822733</v>
      </c>
    </row>
    <row r="26" spans="1:11" ht="15.75">
      <c r="B26" s="1036" t="s">
        <v>252</v>
      </c>
      <c r="C26" s="184"/>
      <c r="D26" s="184"/>
      <c r="E26" s="184"/>
      <c r="F26" s="184"/>
      <c r="G26" s="184"/>
      <c r="H26" s="184"/>
      <c r="I26" s="307" t="str">
        <f t="shared" si="1"/>
        <v/>
      </c>
      <c r="J26" s="1146"/>
    </row>
    <row r="27" spans="1:11">
      <c r="B27" s="1051" t="s">
        <v>253</v>
      </c>
      <c r="C27" s="1068">
        <f>C54/C63</f>
        <v>0.28397908979089792</v>
      </c>
      <c r="D27" s="1052">
        <f t="shared" ref="D27:H27" si="14">D54/D63</f>
        <v>2.2889477977161503</v>
      </c>
      <c r="E27" s="1052">
        <f t="shared" si="14"/>
        <v>1.6199510403916768</v>
      </c>
      <c r="F27" s="1052">
        <f t="shared" si="14"/>
        <v>1.7408464098906324</v>
      </c>
      <c r="G27" s="1052">
        <f t="shared" si="14"/>
        <v>0.84358340917956054</v>
      </c>
      <c r="H27" s="1052">
        <f t="shared" si="14"/>
        <v>1.9903863595138764</v>
      </c>
      <c r="I27" s="308">
        <f t="shared" si="1"/>
        <v>1.4612823510804656</v>
      </c>
      <c r="J27" s="1145">
        <f t="shared" si="2"/>
        <v>1.1773032612895675</v>
      </c>
    </row>
    <row r="28" spans="1:11">
      <c r="B28" s="1041" t="s">
        <v>254</v>
      </c>
      <c r="C28" s="989">
        <f>C53/C62</f>
        <v>10.547116736990157</v>
      </c>
      <c r="D28" s="989">
        <f t="shared" ref="D28:H28" si="15">D53/D62</f>
        <v>8.6073321554770317</v>
      </c>
      <c r="E28" s="989">
        <f>E53/E62</f>
        <v>5.2972394098048552</v>
      </c>
      <c r="F28" s="989">
        <f t="shared" si="15"/>
        <v>7.451975213013168</v>
      </c>
      <c r="G28" s="989">
        <f>G53/G62</f>
        <v>22.485373781148429</v>
      </c>
      <c r="H28" s="989">
        <f t="shared" si="15"/>
        <v>16.013582342954162</v>
      </c>
      <c r="I28" s="305">
        <f t="shared" si="1"/>
        <v>11.733769939897968</v>
      </c>
      <c r="J28" s="1145">
        <f t="shared" si="2"/>
        <v>1.1866532029078112</v>
      </c>
    </row>
    <row r="29" spans="1:11">
      <c r="A29" s="11" t="s">
        <v>255</v>
      </c>
      <c r="B29" s="1047" t="s">
        <v>256</v>
      </c>
      <c r="C29" s="1053">
        <f>C54/C67</f>
        <v>5.6139817629179332</v>
      </c>
      <c r="D29" s="1050">
        <f t="shared" ref="D29:H29" si="16">D54/D67</f>
        <v>8.9513556618819781</v>
      </c>
      <c r="E29" s="1050">
        <f t="shared" si="16"/>
        <v>5.3910386965376782</v>
      </c>
      <c r="F29" s="1050">
        <f t="shared" si="16"/>
        <v>5.8327137546468393</v>
      </c>
      <c r="G29" s="1050">
        <f t="shared" si="16"/>
        <v>8.1303258145363415</v>
      </c>
      <c r="H29" s="1050">
        <f t="shared" si="16"/>
        <v>4.7833478639930247</v>
      </c>
      <c r="I29" s="305">
        <f t="shared" si="1"/>
        <v>6.4504605924189642</v>
      </c>
      <c r="J29" s="1145">
        <f t="shared" si="2"/>
        <v>0.83647882950103103</v>
      </c>
    </row>
    <row r="30" spans="1:11">
      <c r="B30" s="1041" t="s">
        <v>257</v>
      </c>
      <c r="C30" s="1152">
        <f>C53/C65</f>
        <v>2.7712490761271251</v>
      </c>
      <c r="D30" s="989">
        <f t="shared" ref="D30:H30" si="17">D53/D65</f>
        <v>1.6786114221724524</v>
      </c>
      <c r="E30" s="989">
        <f t="shared" si="17"/>
        <v>3.7172678690714767</v>
      </c>
      <c r="F30" s="989">
        <f t="shared" si="17"/>
        <v>0.93118133862459451</v>
      </c>
      <c r="G30" s="989">
        <f t="shared" si="17"/>
        <v>1.4425523041634809</v>
      </c>
      <c r="H30" s="989">
        <f t="shared" si="17"/>
        <v>1.4580869565217391</v>
      </c>
      <c r="I30" s="305">
        <f t="shared" si="1"/>
        <v>1.9998248277801449</v>
      </c>
      <c r="J30" s="1145">
        <f t="shared" si="2"/>
        <v>0.7714242483469802</v>
      </c>
    </row>
    <row r="31" spans="1:11">
      <c r="B31" s="1045" t="s">
        <v>258</v>
      </c>
      <c r="C31" s="1054">
        <f>C53/C66</f>
        <v>0.53976822860433316</v>
      </c>
      <c r="D31" s="1054">
        <f t="shared" ref="D31:H31" si="18">D53/D66</f>
        <v>0.77188465499485071</v>
      </c>
      <c r="E31" s="1054">
        <f t="shared" si="18"/>
        <v>0.75788219271365342</v>
      </c>
      <c r="F31" s="1054">
        <f t="shared" si="18"/>
        <v>1.1450249940490358</v>
      </c>
      <c r="G31" s="1054">
        <f t="shared" si="18"/>
        <v>0.46829730583510087</v>
      </c>
      <c r="H31" s="1054">
        <f t="shared" si="18"/>
        <v>0.83009900990099017</v>
      </c>
      <c r="I31" s="305">
        <f t="shared" si="1"/>
        <v>0.752159397682994</v>
      </c>
      <c r="J31" s="1145">
        <f t="shared" si="2"/>
        <v>0.21239116907866085</v>
      </c>
    </row>
    <row r="32" spans="1:11" ht="15.75">
      <c r="B32" s="1042" t="s">
        <v>109</v>
      </c>
      <c r="C32" s="184"/>
      <c r="D32" s="184"/>
      <c r="E32" s="184"/>
      <c r="F32" s="184"/>
      <c r="G32" s="184"/>
      <c r="H32" s="184"/>
      <c r="I32" s="192" t="str">
        <f t="shared" si="1"/>
        <v/>
      </c>
      <c r="J32" s="1146"/>
    </row>
    <row r="33" spans="2:10">
      <c r="B33" s="1039" t="s">
        <v>259</v>
      </c>
      <c r="C33" s="990">
        <f>C10/C59</f>
        <v>13.40869245949791</v>
      </c>
      <c r="D33" s="991">
        <f>D10/D59</f>
        <v>21.335403726708076</v>
      </c>
      <c r="E33" s="991">
        <f t="shared" ref="E33:H33" si="19">E10/E59</f>
        <v>9.5474271543707374</v>
      </c>
      <c r="F33" s="991">
        <f>F10/F59</f>
        <v>2907.9784366576819</v>
      </c>
      <c r="G33" s="991">
        <f>G10/G59</f>
        <v>241.72392638036808</v>
      </c>
      <c r="H33" s="991">
        <f t="shared" si="19"/>
        <v>13.934871099050204</v>
      </c>
      <c r="I33" s="308">
        <f t="shared" si="1"/>
        <v>534.65479291294616</v>
      </c>
      <c r="J33" s="1145">
        <f t="shared" si="2"/>
        <v>521.24610045344821</v>
      </c>
    </row>
    <row r="34" spans="2:10">
      <c r="B34" s="1047" t="s">
        <v>255</v>
      </c>
      <c r="C34" s="1150">
        <f>C10/C53</f>
        <v>1.4429677043358866</v>
      </c>
      <c r="D34" s="1056">
        <f t="shared" ref="D34:H34" si="20">D10/D53</f>
        <v>1.0576281623646533</v>
      </c>
      <c r="E34" s="1055">
        <f t="shared" si="20"/>
        <v>0.69185498000808654</v>
      </c>
      <c r="F34" s="1055">
        <f>F10/F53</f>
        <v>56.070890286367657</v>
      </c>
      <c r="G34" s="1055">
        <f>G10/G53</f>
        <v>3.7969548038932253</v>
      </c>
      <c r="H34" s="1055">
        <f t="shared" si="20"/>
        <v>2.1776929601357082</v>
      </c>
      <c r="I34" s="305">
        <f t="shared" si="1"/>
        <v>10.872998149517537</v>
      </c>
      <c r="J34" s="1145">
        <f t="shared" si="2"/>
        <v>9.4300304451816501</v>
      </c>
    </row>
    <row r="35" spans="2:10">
      <c r="B35" s="1041" t="s">
        <v>260</v>
      </c>
      <c r="C35" s="1151">
        <f>C10/C70</f>
        <v>0.90286314683477797</v>
      </c>
      <c r="D35" s="992">
        <f t="shared" ref="D35:H35" si="21">D10/D70</f>
        <v>1.2349451734675534</v>
      </c>
      <c r="E35" s="992">
        <f t="shared" si="21"/>
        <v>0.91216016110880771</v>
      </c>
      <c r="F35" s="992">
        <f>F10/F70</f>
        <v>110.3693094629156</v>
      </c>
      <c r="G35" s="992">
        <f t="shared" si="21"/>
        <v>3.8346472019464719</v>
      </c>
      <c r="H35" s="992">
        <f t="shared" si="21"/>
        <v>4.3454805098640712</v>
      </c>
      <c r="I35" s="305">
        <f t="shared" si="1"/>
        <v>20.266567609356212</v>
      </c>
      <c r="J35" s="1145">
        <f t="shared" si="2"/>
        <v>19.363704462521433</v>
      </c>
    </row>
    <row r="36" spans="2:10">
      <c r="B36" s="1047" t="s">
        <v>261</v>
      </c>
      <c r="C36" s="1055">
        <f>(C69+C10-C61)/C53</f>
        <v>1.289880626058783</v>
      </c>
      <c r="D36" s="1055">
        <f t="shared" ref="D36:H36" si="22">(D69+D10-D61)/D53</f>
        <v>0.92328218812541685</v>
      </c>
      <c r="E36" s="1055">
        <f t="shared" si="22"/>
        <v>0.65285951749853988</v>
      </c>
      <c r="F36" s="1055">
        <f>(F69+F10-F61)/F53</f>
        <v>56.476326594251859</v>
      </c>
      <c r="G36" s="1055">
        <f t="shared" si="22"/>
        <v>3.6577045388840705</v>
      </c>
      <c r="H36" s="1055">
        <f t="shared" si="22"/>
        <v>2.3777565733672605</v>
      </c>
      <c r="I36" s="305">
        <f t="shared" si="1"/>
        <v>10.896301673030989</v>
      </c>
      <c r="J36" s="1145">
        <f t="shared" si="2"/>
        <v>9.6064210469722049</v>
      </c>
    </row>
    <row r="37" spans="2:10">
      <c r="B37" s="1040" t="s">
        <v>262</v>
      </c>
      <c r="C37" s="1154">
        <f>(C69+C10-C61)/C55</f>
        <v>6.041733176024243</v>
      </c>
      <c r="D37" s="993">
        <f t="shared" ref="D37:H37" si="23">(D69+D10-D61)/D55</f>
        <v>14.651465798045601</v>
      </c>
      <c r="E37" s="993">
        <f t="shared" si="23"/>
        <v>8.2897889332572738</v>
      </c>
      <c r="F37" s="993">
        <f t="shared" si="23"/>
        <v>1466.4790823211877</v>
      </c>
      <c r="G37" s="993">
        <f t="shared" si="23"/>
        <v>14.35552193645991</v>
      </c>
      <c r="H37" s="993">
        <f t="shared" si="23"/>
        <v>7.7743305312418753</v>
      </c>
      <c r="I37" s="306">
        <f t="shared" si="1"/>
        <v>252.93198711603608</v>
      </c>
      <c r="J37" s="1145">
        <f t="shared" si="2"/>
        <v>246.89025394001183</v>
      </c>
    </row>
    <row r="38" spans="2:10" ht="15.75">
      <c r="B38" s="1042" t="s">
        <v>263</v>
      </c>
      <c r="C38" s="184"/>
      <c r="D38" s="184"/>
      <c r="E38" s="184"/>
      <c r="F38" s="184"/>
      <c r="G38" s="184"/>
      <c r="H38" s="184"/>
      <c r="I38" s="193" t="str">
        <f t="shared" si="1"/>
        <v/>
      </c>
      <c r="J38" s="1143"/>
    </row>
    <row r="39" spans="2:10">
      <c r="B39" s="1051" t="s">
        <v>46</v>
      </c>
      <c r="C39" s="1057">
        <f>OP!M20</f>
        <v>0.26341139004014247</v>
      </c>
      <c r="D39" s="1057">
        <v>0.99099999999999999</v>
      </c>
      <c r="E39" s="1057">
        <v>0.8044</v>
      </c>
      <c r="F39" s="1057">
        <v>0.67500000000000004</v>
      </c>
      <c r="G39" s="1057">
        <v>0.99490000000000001</v>
      </c>
      <c r="H39" s="1057">
        <v>0.99639999999999995</v>
      </c>
      <c r="I39" s="188">
        <f t="shared" si="1"/>
        <v>0.78751856500669037</v>
      </c>
      <c r="J39" s="1144">
        <f t="shared" si="2"/>
        <v>0.52410717496654791</v>
      </c>
    </row>
    <row r="40" spans="2:10">
      <c r="B40" s="1043" t="s">
        <v>264</v>
      </c>
      <c r="C40" s="233">
        <v>0.97</v>
      </c>
      <c r="D40" s="233">
        <v>0.66</v>
      </c>
      <c r="E40" s="233">
        <v>0.99</v>
      </c>
      <c r="F40" s="233">
        <v>0.17</v>
      </c>
      <c r="G40" s="233">
        <v>0.55000000000000004</v>
      </c>
      <c r="H40" s="233">
        <v>0.79</v>
      </c>
      <c r="I40" s="198">
        <f t="shared" si="1"/>
        <v>0.68833333333333335</v>
      </c>
      <c r="J40" s="1145">
        <f t="shared" si="2"/>
        <v>0.28166666666666662</v>
      </c>
    </row>
    <row r="41" spans="2:10">
      <c r="B41" s="1045" t="s">
        <v>265</v>
      </c>
      <c r="C41" s="1153">
        <f>OP!M32</f>
        <v>2.5670689548948872E-2</v>
      </c>
      <c r="D41" s="1058">
        <v>2.52E-2</v>
      </c>
      <c r="E41" s="1058">
        <v>0</v>
      </c>
      <c r="F41" s="1058">
        <v>2.6200000000000001E-2</v>
      </c>
      <c r="G41" s="1058">
        <v>2.5000000000000001E-2</v>
      </c>
      <c r="H41" s="1058">
        <v>1.9699999999999999E-2</v>
      </c>
      <c r="I41" s="189">
        <f>IFERROR(AVERAGE(C41:H41),"")</f>
        <v>2.0295114924824813E-2</v>
      </c>
      <c r="J41" s="1144">
        <f t="shared" si="2"/>
        <v>5.375574624124059E-3</v>
      </c>
    </row>
    <row r="42" spans="2:10" ht="15.75">
      <c r="B42" s="1042" t="s">
        <v>266</v>
      </c>
      <c r="C42" s="184"/>
      <c r="D42" s="184"/>
      <c r="E42" s="184"/>
      <c r="F42" s="184"/>
      <c r="G42" s="184"/>
      <c r="H42" s="184"/>
      <c r="I42" s="194"/>
      <c r="J42" s="1143"/>
    </row>
    <row r="43" spans="2:10">
      <c r="B43" s="1051" t="s">
        <v>267</v>
      </c>
      <c r="C43" s="1156">
        <v>0.22570000000000001</v>
      </c>
      <c r="D43" s="1059">
        <v>-0.11840000000000001</v>
      </c>
      <c r="E43" s="1059">
        <f>(29.15/20.73)-1</f>
        <v>0.40617462614568245</v>
      </c>
      <c r="F43" s="1059">
        <f>(2605/2930)-1</f>
        <v>-0.11092150170648463</v>
      </c>
      <c r="G43" s="1059">
        <f>(138.2/108.35)-1</f>
        <v>0.27549607752653427</v>
      </c>
      <c r="H43" s="1059">
        <f>(2194/1741)-1</f>
        <v>0.26019529006318209</v>
      </c>
      <c r="I43" s="188">
        <f>IFERROR(AVERAGE(C43:H43),"")</f>
        <v>0.15637408200481903</v>
      </c>
      <c r="J43" s="1144">
        <f t="shared" si="2"/>
        <v>6.932591799518098E-2</v>
      </c>
    </row>
    <row r="44" spans="2:10">
      <c r="B44" s="1041" t="s">
        <v>268</v>
      </c>
      <c r="C44" s="1155">
        <v>0.54545399999999999</v>
      </c>
      <c r="D44" s="338">
        <v>-0.47289999999999999</v>
      </c>
      <c r="E44" s="338">
        <f>(29.15/20.33)-1</f>
        <v>0.43384161337924265</v>
      </c>
      <c r="F44" s="338">
        <f>(2614/1620)-1</f>
        <v>0.61358024691358026</v>
      </c>
      <c r="G44" s="338">
        <f>(138.2/56.5)-1</f>
        <v>1.446017699115044</v>
      </c>
      <c r="H44" s="361">
        <f>(2182/1252.5)-1</f>
        <v>0.74211576846307392</v>
      </c>
      <c r="I44" s="188">
        <f t="shared" ref="I44:I47" si="24">IFERROR(AVERAGE(C44:H44),"")</f>
        <v>0.55135155464515684</v>
      </c>
      <c r="J44" s="1144">
        <f t="shared" si="2"/>
        <v>5.8975546451568439E-3</v>
      </c>
    </row>
    <row r="45" spans="2:10">
      <c r="B45" s="1047" t="s">
        <v>269</v>
      </c>
      <c r="C45" s="1060" cm="1">
        <f t="array" ref="C45">_FV(C8,"Price")</f>
        <v>43.65</v>
      </c>
      <c r="D45" s="1060" cm="1">
        <f t="array" ref="D45">_FV(D8,"Price")</f>
        <v>84.65</v>
      </c>
      <c r="E45" s="1060" cm="1">
        <f t="array" ref="E45">_FV(E8,"Preço")</f>
        <v>29.15</v>
      </c>
      <c r="F45" s="1060">
        <v>18.489999999999998</v>
      </c>
      <c r="G45" s="1060" cm="1">
        <f t="array" ref="G45">_FV(G8,"Preço")</f>
        <v>106.7</v>
      </c>
      <c r="H45" s="1060">
        <v>3.68</v>
      </c>
      <c r="I45" s="1148">
        <f t="shared" si="24"/>
        <v>47.720000000000006</v>
      </c>
      <c r="J45" s="1145">
        <f t="shared" si="2"/>
        <v>4.0700000000000074</v>
      </c>
    </row>
    <row r="46" spans="2:10">
      <c r="B46" s="1041" t="s">
        <v>270</v>
      </c>
      <c r="C46" s="344">
        <f t="shared" ref="C46:H46" si="25">C73</f>
        <v>56.116440000000004</v>
      </c>
      <c r="D46" s="344">
        <f t="shared" si="25"/>
        <v>95.163530000000009</v>
      </c>
      <c r="E46" s="344">
        <f t="shared" si="25"/>
        <v>28.167645</v>
      </c>
      <c r="F46" s="344">
        <f t="shared" si="25"/>
        <v>32.488778999999994</v>
      </c>
      <c r="G46" s="344">
        <f t="shared" si="25"/>
        <v>152.93311</v>
      </c>
      <c r="H46" s="344">
        <f t="shared" si="25"/>
        <v>4.7177600000000002</v>
      </c>
      <c r="I46" s="1148">
        <f>IFERROR(AVERAGE(C46:H46),"")</f>
        <v>61.597877333333336</v>
      </c>
      <c r="J46" s="1145">
        <f t="shared" si="2"/>
        <v>5.4814373333333322</v>
      </c>
    </row>
    <row r="47" spans="2:10">
      <c r="B47" s="1061" t="s">
        <v>271</v>
      </c>
      <c r="C47" s="1062">
        <f>C46/C45-1</f>
        <v>0.28560000000000008</v>
      </c>
      <c r="D47" s="1062">
        <f>D46/D45-1</f>
        <v>0.12420000000000009</v>
      </c>
      <c r="E47" s="1062">
        <f t="shared" ref="E47:H47" si="26">E46/E45-1</f>
        <v>-3.3699999999999952E-2</v>
      </c>
      <c r="F47" s="1062">
        <f t="shared" si="26"/>
        <v>0.75709999999999988</v>
      </c>
      <c r="G47" s="1062">
        <f t="shared" si="26"/>
        <v>0.43330000000000002</v>
      </c>
      <c r="H47" s="1062">
        <f t="shared" si="26"/>
        <v>0.28200000000000003</v>
      </c>
      <c r="I47" s="1044">
        <f t="shared" si="24"/>
        <v>0.30808333333333332</v>
      </c>
      <c r="J47" s="1147">
        <f t="shared" si="2"/>
        <v>2.2483333333333244E-2</v>
      </c>
    </row>
    <row r="48" spans="2:10">
      <c r="J48"/>
    </row>
    <row r="49" spans="2:10" ht="15.75">
      <c r="B49" s="994" t="s">
        <v>272</v>
      </c>
      <c r="C49" s="1002" t="e" vm="1">
        <f>OP!E2</f>
        <v>#VALUE!</v>
      </c>
      <c r="D49" s="995" t="s">
        <v>273</v>
      </c>
      <c r="E49" s="996" t="s">
        <v>274</v>
      </c>
      <c r="F49" s="997" t="s">
        <v>275</v>
      </c>
      <c r="G49" s="1003" t="s">
        <v>276</v>
      </c>
      <c r="H49" s="998" t="s">
        <v>277</v>
      </c>
      <c r="J49"/>
    </row>
    <row r="50" spans="2:10">
      <c r="B50" s="999" t="s">
        <v>278</v>
      </c>
      <c r="C50" s="1000"/>
      <c r="D50" s="1000"/>
      <c r="E50" s="1000"/>
      <c r="F50" s="1000"/>
      <c r="G50" s="1000"/>
      <c r="H50" s="1001"/>
      <c r="J50"/>
    </row>
    <row r="51" spans="2:10">
      <c r="B51" s="176" t="s">
        <v>279</v>
      </c>
      <c r="C51" s="199">
        <f>'Fin. Data'!E5*1.08</f>
        <v>8902.44</v>
      </c>
      <c r="D51" s="172">
        <v>2582.3000000000002</v>
      </c>
      <c r="E51" s="172">
        <v>2561.9</v>
      </c>
      <c r="F51" s="172">
        <v>2199.6999999999998</v>
      </c>
      <c r="G51" s="172">
        <v>15819</v>
      </c>
      <c r="H51" s="179">
        <v>3345.9</v>
      </c>
      <c r="J51"/>
    </row>
    <row r="52" spans="2:10">
      <c r="B52" s="176" t="s">
        <v>280</v>
      </c>
      <c r="C52" s="199">
        <f>'Fin. Data'!C5*1.08</f>
        <v>7898.0400000000009</v>
      </c>
      <c r="D52" s="172">
        <v>2246.1999999999998</v>
      </c>
      <c r="E52" s="172">
        <v>2505.1999999999998</v>
      </c>
      <c r="F52" s="172">
        <v>2113.1999999999998</v>
      </c>
      <c r="G52" s="172">
        <v>19449</v>
      </c>
      <c r="H52" s="179">
        <v>3858.7</v>
      </c>
    </row>
    <row r="53" spans="2:10">
      <c r="B53" s="176" t="s">
        <v>237</v>
      </c>
      <c r="C53" s="199">
        <f>'Fin. Data'!B5*1.08</f>
        <v>8098.920000000001</v>
      </c>
      <c r="D53" s="172">
        <v>1948.7</v>
      </c>
      <c r="E53" s="172">
        <v>2225.9</v>
      </c>
      <c r="F53" s="172">
        <v>1924.1</v>
      </c>
      <c r="G53" s="172">
        <v>20754</v>
      </c>
      <c r="H53" s="179">
        <v>3772.8</v>
      </c>
    </row>
    <row r="54" spans="2:10">
      <c r="B54" s="176" t="s">
        <v>281</v>
      </c>
      <c r="C54" s="199">
        <f>('Fin. Data'!B5-'Fin. Data'!B7)*1.08</f>
        <v>1994.7600000000002</v>
      </c>
      <c r="D54" s="172">
        <v>1122.5</v>
      </c>
      <c r="E54" s="172">
        <v>1323.5</v>
      </c>
      <c r="F54" s="172">
        <v>1098.3</v>
      </c>
      <c r="G54" s="172">
        <v>6488</v>
      </c>
      <c r="H54" s="179">
        <v>1097.3</v>
      </c>
    </row>
    <row r="55" spans="2:10">
      <c r="B55" s="176" t="s">
        <v>54</v>
      </c>
      <c r="C55" s="199">
        <f>'Fin. Data'!B20*1.08</f>
        <v>1729.0800000000002</v>
      </c>
      <c r="D55" s="172">
        <v>122.8</v>
      </c>
      <c r="E55" s="172">
        <v>175.3</v>
      </c>
      <c r="F55" s="172">
        <v>74.099999999999994</v>
      </c>
      <c r="G55" s="172">
        <f>5233+55</f>
        <v>5288</v>
      </c>
      <c r="H55" s="179">
        <f>790.5+363.4</f>
        <v>1153.9000000000001</v>
      </c>
    </row>
    <row r="56" spans="2:10">
      <c r="B56" s="176" t="s">
        <v>282</v>
      </c>
      <c r="C56" s="345">
        <f>'Fin. Data'!B11*1.08</f>
        <v>1250.6400000000001</v>
      </c>
      <c r="D56" s="172">
        <v>100.2</v>
      </c>
      <c r="E56" s="172">
        <v>144.5</v>
      </c>
      <c r="F56" s="172">
        <v>74.099999999999994</v>
      </c>
      <c r="G56" s="172">
        <v>5233</v>
      </c>
      <c r="H56" s="179">
        <v>790.5</v>
      </c>
    </row>
    <row r="57" spans="2:10">
      <c r="B57" s="176" t="s">
        <v>283</v>
      </c>
      <c r="C57" s="345">
        <f>'Fin. Data'!B14*1.08</f>
        <v>-44.28</v>
      </c>
      <c r="D57" s="172">
        <v>-24.6</v>
      </c>
      <c r="E57" s="172">
        <v>-45.3</v>
      </c>
      <c r="F57" s="283">
        <v>-3.7</v>
      </c>
      <c r="G57" s="172">
        <v>-268</v>
      </c>
      <c r="H57" s="179">
        <v>-22.9</v>
      </c>
    </row>
    <row r="58" spans="2:10">
      <c r="B58" s="176" t="s">
        <v>284</v>
      </c>
      <c r="C58" s="345">
        <f>'Fin. Data'!B22*1.08</f>
        <v>-294.84000000000003</v>
      </c>
      <c r="D58" s="172">
        <v>27.7</v>
      </c>
      <c r="E58" s="172">
        <v>53.3</v>
      </c>
      <c r="F58" s="172">
        <v>32.1</v>
      </c>
      <c r="G58" s="172">
        <v>881</v>
      </c>
      <c r="H58" s="179">
        <v>170.9</v>
      </c>
    </row>
    <row r="59" spans="2:10">
      <c r="B59" s="176" t="s">
        <v>66</v>
      </c>
      <c r="C59" s="345">
        <f>'Fin. Data'!B24*1.08</f>
        <v>871.56000000000006</v>
      </c>
      <c r="D59" s="172">
        <v>96.6</v>
      </c>
      <c r="E59" s="172">
        <v>161.30000000000001</v>
      </c>
      <c r="F59" s="172">
        <v>37.1</v>
      </c>
      <c r="G59" s="172">
        <v>326</v>
      </c>
      <c r="H59" s="179">
        <v>589.6</v>
      </c>
    </row>
    <row r="60" spans="2:10">
      <c r="B60" s="181" t="s">
        <v>285</v>
      </c>
      <c r="C60" s="182"/>
      <c r="D60" s="182"/>
      <c r="E60" s="182"/>
      <c r="F60" s="182"/>
      <c r="G60" s="182"/>
      <c r="H60" s="183"/>
    </row>
    <row r="61" spans="2:10">
      <c r="B61" s="176" t="s">
        <v>286</v>
      </c>
      <c r="C61" s="199">
        <f>'Fin. Data'!B40*1.08</f>
        <v>1248.48</v>
      </c>
      <c r="D61" s="172">
        <v>653.5</v>
      </c>
      <c r="E61" s="172">
        <v>621.20000000000005</v>
      </c>
      <c r="F61" s="172">
        <v>273.60000000000002</v>
      </c>
      <c r="G61" s="172">
        <v>19876</v>
      </c>
      <c r="H61" s="179">
        <v>1077.9000000000001</v>
      </c>
    </row>
    <row r="62" spans="2:10">
      <c r="B62" s="176" t="s">
        <v>287</v>
      </c>
      <c r="C62" s="199">
        <f>'Fin. Data'!B41*1.08</f>
        <v>767.88</v>
      </c>
      <c r="D62" s="172">
        <v>226.4</v>
      </c>
      <c r="E62" s="172">
        <v>420.2</v>
      </c>
      <c r="F62" s="172">
        <v>258.2</v>
      </c>
      <c r="G62" s="172">
        <v>923</v>
      </c>
      <c r="H62" s="179">
        <v>235.6</v>
      </c>
    </row>
    <row r="63" spans="2:10">
      <c r="B63" s="176" t="s">
        <v>288</v>
      </c>
      <c r="C63" s="199">
        <f>'Fin. Data'!B42*1.08</f>
        <v>7024.3200000000006</v>
      </c>
      <c r="D63" s="172">
        <v>490.4</v>
      </c>
      <c r="E63" s="172">
        <v>817</v>
      </c>
      <c r="F63" s="172">
        <v>630.9</v>
      </c>
      <c r="G63" s="172">
        <v>7691</v>
      </c>
      <c r="H63" s="179">
        <v>551.29999999999995</v>
      </c>
    </row>
    <row r="64" spans="2:10">
      <c r="B64" s="176" t="s">
        <v>289</v>
      </c>
      <c r="C64" s="199">
        <f>Inputs!B27*1.08</f>
        <v>11224.44</v>
      </c>
      <c r="D64" s="172">
        <v>1749.6</v>
      </c>
      <c r="E64" s="172">
        <v>1955.4</v>
      </c>
      <c r="F64" s="172">
        <v>1306</v>
      </c>
      <c r="G64" s="172">
        <v>32916</v>
      </c>
      <c r="H64" s="179">
        <v>2297.6</v>
      </c>
    </row>
    <row r="65" spans="2:8">
      <c r="B65" s="176" t="s">
        <v>290</v>
      </c>
      <c r="C65" s="199">
        <f>'Fin. Data'!B43*1.08</f>
        <v>2922.48</v>
      </c>
      <c r="D65" s="172">
        <v>1160.9000000000001</v>
      </c>
      <c r="E65" s="172">
        <v>598.79999999999995</v>
      </c>
      <c r="F65" s="172">
        <v>2066.3000000000002</v>
      </c>
      <c r="G65" s="172">
        <v>14387</v>
      </c>
      <c r="H65" s="179">
        <v>2587.5</v>
      </c>
    </row>
    <row r="66" spans="2:8">
      <c r="B66" s="176" t="s">
        <v>42</v>
      </c>
      <c r="C66" s="199">
        <f>'Fin. Data'!B45*1.08</f>
        <v>15004.44</v>
      </c>
      <c r="D66" s="172">
        <v>2524.6</v>
      </c>
      <c r="E66" s="172">
        <v>2937</v>
      </c>
      <c r="F66" s="172">
        <v>1680.4</v>
      </c>
      <c r="G66" s="172">
        <v>44318</v>
      </c>
      <c r="H66" s="179">
        <v>4545</v>
      </c>
    </row>
    <row r="67" spans="2:8">
      <c r="B67" s="176" t="s">
        <v>291</v>
      </c>
      <c r="C67" s="199">
        <f>Inputs!B43*1.08</f>
        <v>355.32000000000005</v>
      </c>
      <c r="D67" s="172">
        <v>125.4</v>
      </c>
      <c r="E67" s="172">
        <v>245.5</v>
      </c>
      <c r="F67" s="172">
        <v>188.3</v>
      </c>
      <c r="G67" s="172">
        <v>798</v>
      </c>
      <c r="H67" s="179">
        <v>229.4</v>
      </c>
    </row>
    <row r="68" spans="2:8">
      <c r="B68" s="176" t="s">
        <v>292</v>
      </c>
      <c r="C68" s="199">
        <f>Inputs!B42*1.08</f>
        <v>1216.0800000000002</v>
      </c>
      <c r="D68" s="172">
        <v>629.20000000000005</v>
      </c>
      <c r="E68" s="172">
        <v>597.29999999999995</v>
      </c>
      <c r="F68" s="172">
        <v>1221.2</v>
      </c>
      <c r="G68" s="172">
        <v>13341</v>
      </c>
      <c r="H68" s="179">
        <v>1022.4</v>
      </c>
    </row>
    <row r="69" spans="2:8">
      <c r="B69" s="176" t="s">
        <v>293</v>
      </c>
      <c r="C69" s="199">
        <f>'Fin. Data'!B59*1.08</f>
        <v>8.64</v>
      </c>
      <c r="D69" s="172">
        <v>391.7</v>
      </c>
      <c r="E69" s="172">
        <v>534.4</v>
      </c>
      <c r="F69" s="172">
        <v>1053.7</v>
      </c>
      <c r="G69" s="172">
        <v>16986</v>
      </c>
      <c r="H69" s="179">
        <v>1832.7</v>
      </c>
    </row>
    <row r="70" spans="2:8">
      <c r="B70" s="177" t="s">
        <v>294</v>
      </c>
      <c r="C70" s="200">
        <f>'Fin. Data'!B65*1.08</f>
        <v>12943.800000000001</v>
      </c>
      <c r="D70" s="178">
        <v>1668.9</v>
      </c>
      <c r="E70" s="178">
        <v>1688.3</v>
      </c>
      <c r="F70" s="178">
        <v>977.5</v>
      </c>
      <c r="G70" s="178">
        <v>20550</v>
      </c>
      <c r="H70" s="180">
        <v>1890.7</v>
      </c>
    </row>
    <row r="73" spans="2:8">
      <c r="B73" s="1129" t="s">
        <v>295</v>
      </c>
      <c r="C73" s="1128">
        <f t="shared" ref="C73:H73" si="27">C45*(1+C74)</f>
        <v>56.116440000000004</v>
      </c>
      <c r="D73" s="1128">
        <f t="shared" si="27"/>
        <v>95.163530000000009</v>
      </c>
      <c r="E73" s="1128">
        <f t="shared" si="27"/>
        <v>28.167645</v>
      </c>
      <c r="F73" s="1128">
        <f t="shared" si="27"/>
        <v>32.488778999999994</v>
      </c>
      <c r="G73" s="1128">
        <f t="shared" si="27"/>
        <v>152.93311</v>
      </c>
      <c r="H73" s="1128">
        <f t="shared" si="27"/>
        <v>4.7177600000000002</v>
      </c>
    </row>
    <row r="74" spans="2:8">
      <c r="B74" s="1129" t="s">
        <v>296</v>
      </c>
      <c r="C74" s="262">
        <v>0.28560000000000002</v>
      </c>
      <c r="D74" s="262">
        <v>0.1242</v>
      </c>
      <c r="E74" s="262">
        <v>-3.3700000000000001E-2</v>
      </c>
      <c r="F74" s="262">
        <v>0.7571</v>
      </c>
      <c r="G74" s="262">
        <v>0.43330000000000002</v>
      </c>
      <c r="H74" s="262">
        <v>0.28199999999999997</v>
      </c>
    </row>
  </sheetData>
  <mergeCells count="13">
    <mergeCell ref="L14:L15"/>
    <mergeCell ref="M14:N15"/>
    <mergeCell ref="D6:H6"/>
    <mergeCell ref="L9:N9"/>
    <mergeCell ref="L10:L11"/>
    <mergeCell ref="M10:N11"/>
    <mergeCell ref="L12:L13"/>
    <mergeCell ref="M12:N13"/>
    <mergeCell ref="D4:H4"/>
    <mergeCell ref="D1:H1"/>
    <mergeCell ref="D2:H2"/>
    <mergeCell ref="D3:H3"/>
    <mergeCell ref="D5:H5"/>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Z100"/>
  <sheetViews>
    <sheetView showGridLines="0" zoomScale="60" zoomScaleNormal="80" workbookViewId="0">
      <pane xSplit="1" ySplit="4" topLeftCell="F35" activePane="bottomRight" state="frozen"/>
      <selection pane="bottomRight" activeCell="G35" sqref="G35"/>
      <selection pane="bottomLeft"/>
      <selection pane="topRight"/>
    </sheetView>
  </sheetViews>
  <sheetFormatPr defaultColWidth="11.42578125" defaultRowHeight="12.75" customHeight="1" outlineLevelRow="1"/>
  <cols>
    <col min="1" max="1" width="1.140625" style="84" customWidth="1"/>
    <col min="2" max="2" width="59.42578125" style="84" customWidth="1"/>
    <col min="3" max="4" width="12.85546875" style="84" customWidth="1"/>
    <col min="5" max="5" width="12.28515625" style="84" customWidth="1"/>
    <col min="6" max="6" width="11" style="84" customWidth="1"/>
    <col min="7" max="7" width="10.42578125" style="84" customWidth="1"/>
    <col min="8" max="8" width="15.42578125" style="333" customWidth="1"/>
    <col min="9" max="9" width="48.85546875" style="333" customWidth="1"/>
    <col min="10" max="10" width="70.42578125" style="84" customWidth="1"/>
    <col min="11" max="11" width="34.7109375" style="84" bestFit="1" customWidth="1"/>
    <col min="12" max="12" width="21.28515625" style="84" customWidth="1"/>
    <col min="13" max="13" width="19.85546875" style="84" customWidth="1"/>
    <col min="14" max="14" width="20.85546875" style="84" bestFit="1" customWidth="1"/>
    <col min="15" max="15" width="19.85546875" style="84" customWidth="1"/>
    <col min="16" max="16" width="22.28515625" style="84" bestFit="1" customWidth="1"/>
    <col min="17" max="17" width="14.85546875" style="84" bestFit="1" customWidth="1"/>
    <col min="18" max="18" width="10.42578125" style="84" customWidth="1"/>
    <col min="19" max="19" width="12.28515625" style="84" bestFit="1" customWidth="1"/>
    <col min="20" max="20" width="15.42578125" style="84" customWidth="1"/>
    <col min="21" max="21" width="18.140625" style="84" bestFit="1" customWidth="1"/>
    <col min="22" max="22" width="18.28515625" style="84" bestFit="1" customWidth="1"/>
    <col min="23" max="23" width="17.28515625" style="84" bestFit="1" customWidth="1"/>
    <col min="24" max="29" width="11.42578125" style="84"/>
    <col min="30" max="30" width="13" style="84" bestFit="1" customWidth="1"/>
    <col min="31" max="16384" width="11.42578125" style="84"/>
  </cols>
  <sheetData>
    <row r="1" spans="1:23" hidden="1">
      <c r="B1" s="214" t="s">
        <v>297</v>
      </c>
      <c r="C1" s="88"/>
      <c r="D1" s="88"/>
      <c r="E1" s="88"/>
      <c r="F1" s="88"/>
      <c r="G1" s="88"/>
      <c r="H1" s="330"/>
      <c r="I1" s="330"/>
      <c r="J1" s="88"/>
      <c r="S1" s="100" t="s">
        <v>298</v>
      </c>
    </row>
    <row r="2" spans="1:23" hidden="1" outlineLevel="1">
      <c r="B2" s="96" t="s">
        <v>299</v>
      </c>
      <c r="C2" s="215" t="s">
        <v>300</v>
      </c>
      <c r="D2" s="88"/>
      <c r="E2" s="88"/>
      <c r="F2" s="88"/>
      <c r="G2" s="88"/>
      <c r="H2" s="330"/>
      <c r="I2" s="330"/>
      <c r="J2" s="88"/>
      <c r="S2" s="100" t="s">
        <v>301</v>
      </c>
    </row>
    <row r="3" spans="1:23" ht="20.25" hidden="1" outlineLevel="1">
      <c r="B3" s="1488" t="s">
        <v>302</v>
      </c>
      <c r="C3" s="1488"/>
      <c r="D3" s="1488"/>
      <c r="E3" s="1488"/>
      <c r="F3" s="1488"/>
      <c r="G3" s="1488"/>
      <c r="H3" s="1488"/>
      <c r="I3" s="1488"/>
      <c r="J3" s="1488"/>
      <c r="K3" s="1489" t="s">
        <v>303</v>
      </c>
      <c r="L3" s="1489"/>
      <c r="M3" s="1489"/>
      <c r="N3" s="1489"/>
      <c r="O3" s="1489"/>
      <c r="P3" s="1489"/>
    </row>
    <row r="4" spans="1:23" ht="31.5" collapsed="1">
      <c r="B4" s="207" t="s">
        <v>304</v>
      </c>
      <c r="C4" s="231" t="s">
        <v>305</v>
      </c>
      <c r="D4" s="231" t="s">
        <v>306</v>
      </c>
      <c r="E4" s="231" t="s">
        <v>307</v>
      </c>
      <c r="F4" s="231" t="s">
        <v>308</v>
      </c>
      <c r="G4" s="231" t="s">
        <v>309</v>
      </c>
      <c r="H4" s="208" t="s">
        <v>310</v>
      </c>
      <c r="I4" s="208" t="s">
        <v>311</v>
      </c>
      <c r="J4" s="209" t="s">
        <v>312</v>
      </c>
      <c r="K4" s="207" t="s">
        <v>304</v>
      </c>
      <c r="L4" s="232" t="s">
        <v>313</v>
      </c>
      <c r="M4" s="232" t="s">
        <v>273</v>
      </c>
      <c r="N4" s="232" t="s">
        <v>274</v>
      </c>
      <c r="O4" s="232" t="s">
        <v>276</v>
      </c>
      <c r="P4" s="232" t="s">
        <v>314</v>
      </c>
      <c r="Q4" s="232" t="s">
        <v>218</v>
      </c>
    </row>
    <row r="5" spans="1:23" ht="15">
      <c r="B5" s="216" t="s">
        <v>315</v>
      </c>
      <c r="C5" s="217"/>
      <c r="D5" s="218"/>
      <c r="E5" s="218"/>
      <c r="F5" s="218"/>
      <c r="G5" s="218"/>
      <c r="H5" s="331"/>
      <c r="I5" s="331"/>
      <c r="J5" s="219"/>
      <c r="K5" s="216" t="s">
        <v>316</v>
      </c>
      <c r="L5" s="218"/>
      <c r="M5" s="218"/>
      <c r="N5" s="218"/>
      <c r="O5" s="219"/>
      <c r="P5" s="219"/>
      <c r="Q5" s="219"/>
    </row>
    <row r="6" spans="1:23" ht="38.25">
      <c r="A6" s="84">
        <v>1</v>
      </c>
      <c r="B6" s="211" t="s">
        <v>317</v>
      </c>
      <c r="C6" s="210" t="str">
        <f>VLOOKUP($B$2,'Sector Impact'!$K$4:$AA$16,A6+1,FALSE)</f>
        <v>High</v>
      </c>
      <c r="D6" s="210" t="s">
        <v>298</v>
      </c>
      <c r="E6" s="210" t="s">
        <v>318</v>
      </c>
      <c r="F6" s="220" t="s">
        <v>298</v>
      </c>
      <c r="G6" s="267"/>
      <c r="H6" s="392" t="s">
        <v>298</v>
      </c>
      <c r="I6" s="391" t="s">
        <v>319</v>
      </c>
      <c r="J6" s="381"/>
      <c r="K6" s="211" t="s">
        <v>320</v>
      </c>
      <c r="L6" s="402">
        <f>L12/L$11</f>
        <v>6.9433257767702363</v>
      </c>
      <c r="M6" s="396">
        <f t="shared" ref="M6:N6" si="0">M12/M$11</f>
        <v>14.10273515677118</v>
      </c>
      <c r="N6" s="396">
        <f t="shared" si="0"/>
        <v>65.98948739835572</v>
      </c>
      <c r="O6" s="397">
        <f t="shared" ref="O6:P9" si="1">O12/O$11</f>
        <v>0.90584947480003852</v>
      </c>
      <c r="P6" s="397">
        <f t="shared" si="1"/>
        <v>7.3422921967769295</v>
      </c>
      <c r="Q6" s="548">
        <f>(L6+M6+O6+P6)/4</f>
        <v>7.3235506512795965</v>
      </c>
    </row>
    <row r="7" spans="1:23" s="88" customFormat="1" ht="51">
      <c r="A7" s="88">
        <v>2</v>
      </c>
      <c r="B7" s="211" t="s">
        <v>321</v>
      </c>
      <c r="C7" s="210" t="str">
        <f>VLOOKUP($B$2,'Sector Impact'!$K$4:$AA$16,A7+1,FALSE)</f>
        <v>Very High</v>
      </c>
      <c r="D7" s="210" t="s">
        <v>298</v>
      </c>
      <c r="E7" s="210" t="s">
        <v>322</v>
      </c>
      <c r="F7" s="220" t="s">
        <v>301</v>
      </c>
      <c r="G7" s="263"/>
      <c r="H7" s="392" t="s">
        <v>298</v>
      </c>
      <c r="I7" s="392" t="s">
        <v>69</v>
      </c>
      <c r="J7" s="381" t="s">
        <v>323</v>
      </c>
      <c r="K7" s="211" t="s">
        <v>324</v>
      </c>
      <c r="L7" s="402">
        <f t="shared" ref="L7:N9" si="2">L13/L$11</f>
        <v>30.532871049473265</v>
      </c>
      <c r="M7" s="396">
        <f t="shared" si="2"/>
        <v>12.469851696002463</v>
      </c>
      <c r="N7" s="398">
        <f t="shared" si="2"/>
        <v>213.39682824924748</v>
      </c>
      <c r="O7" s="551" t="s">
        <v>22</v>
      </c>
      <c r="P7" s="552" t="s">
        <v>22</v>
      </c>
      <c r="Q7" s="549">
        <f>(L7+M7)/2</f>
        <v>21.501361372737865</v>
      </c>
    </row>
    <row r="8" spans="1:23" ht="38.25">
      <c r="A8" s="84">
        <v>3</v>
      </c>
      <c r="B8" s="211" t="s">
        <v>325</v>
      </c>
      <c r="C8" s="210" t="str">
        <f>VLOOKUP($B$2,'Sector Impact'!$K$4:$AA$16,A8+1,FALSE)</f>
        <v>High</v>
      </c>
      <c r="D8" s="210" t="s">
        <v>298</v>
      </c>
      <c r="E8" s="210" t="s">
        <v>322</v>
      </c>
      <c r="F8" s="220" t="s">
        <v>298</v>
      </c>
      <c r="G8" s="263"/>
      <c r="H8" s="392" t="s">
        <v>298</v>
      </c>
      <c r="I8" s="391" t="s">
        <v>326</v>
      </c>
      <c r="J8" s="381" t="s">
        <v>327</v>
      </c>
      <c r="K8" s="211" t="s">
        <v>328</v>
      </c>
      <c r="L8" s="402">
        <f t="shared" si="2"/>
        <v>135.0900120016002</v>
      </c>
      <c r="M8" s="396">
        <f t="shared" si="2"/>
        <v>271.50823626007082</v>
      </c>
      <c r="N8" s="398">
        <f t="shared" si="2"/>
        <v>1286.5874477739342</v>
      </c>
      <c r="O8" s="399">
        <f t="shared" si="1"/>
        <v>46.141890719861237</v>
      </c>
      <c r="P8" s="400">
        <f t="shared" si="1"/>
        <v>69.22529421119593</v>
      </c>
      <c r="Q8" s="550">
        <f>(L8+M8+O8+P8)/4</f>
        <v>130.49135829818204</v>
      </c>
    </row>
    <row r="9" spans="1:23" ht="15.75">
      <c r="A9" s="84">
        <v>4</v>
      </c>
      <c r="B9" s="211" t="s">
        <v>329</v>
      </c>
      <c r="C9" s="210" t="str">
        <f>VLOOKUP($B$2,'Sector Impact'!$K$4:$AA$16,A9+1,FALSE)</f>
        <v>High</v>
      </c>
      <c r="D9" s="210" t="s">
        <v>298</v>
      </c>
      <c r="E9" s="210" t="s">
        <v>318</v>
      </c>
      <c r="F9" s="220" t="s">
        <v>301</v>
      </c>
      <c r="G9" s="267"/>
      <c r="H9" s="392" t="s">
        <v>298</v>
      </c>
      <c r="I9" s="392" t="s">
        <v>69</v>
      </c>
      <c r="J9" s="382" t="s">
        <v>330</v>
      </c>
      <c r="K9" s="211" t="s">
        <v>331</v>
      </c>
      <c r="L9" s="402">
        <f t="shared" si="2"/>
        <v>1.0973463128417122</v>
      </c>
      <c r="M9" s="396">
        <f t="shared" si="2"/>
        <v>1.3782521681120747</v>
      </c>
      <c r="N9" s="396">
        <f t="shared" si="2"/>
        <v>5.2275484073857763</v>
      </c>
      <c r="O9" s="401">
        <f t="shared" si="1"/>
        <v>0.96448877324853044</v>
      </c>
      <c r="P9" s="553" t="s">
        <v>22</v>
      </c>
      <c r="Q9" s="402">
        <f>(L9+M9+O9)/3</f>
        <v>1.1466957514007723</v>
      </c>
    </row>
    <row r="10" spans="1:23" ht="15">
      <c r="A10" s="84">
        <v>5</v>
      </c>
      <c r="B10" s="211" t="s">
        <v>332</v>
      </c>
      <c r="C10" s="210" t="str">
        <f>VLOOKUP($B$2,'Sector Impact'!$K$4:$AA$16,A10+1,FALSE)</f>
        <v>High</v>
      </c>
      <c r="D10" s="210" t="s">
        <v>298</v>
      </c>
      <c r="E10" s="210" t="s">
        <v>318</v>
      </c>
      <c r="F10" s="220" t="s">
        <v>301</v>
      </c>
      <c r="G10" s="263"/>
      <c r="H10" s="392"/>
      <c r="I10" s="392" t="s">
        <v>69</v>
      </c>
      <c r="J10" s="382" t="s">
        <v>333</v>
      </c>
      <c r="K10" s="216" t="s">
        <v>334</v>
      </c>
      <c r="L10" s="218"/>
      <c r="M10" s="218"/>
      <c r="N10" s="218"/>
      <c r="O10" s="218"/>
      <c r="P10" s="219"/>
      <c r="R10"/>
      <c r="U10" s="88"/>
      <c r="V10" s="88"/>
      <c r="W10" s="88"/>
    </row>
    <row r="11" spans="1:23" ht="15">
      <c r="B11" s="216" t="s">
        <v>335</v>
      </c>
      <c r="C11" s="213"/>
      <c r="D11" s="213"/>
      <c r="E11" s="222"/>
      <c r="F11" s="222"/>
      <c r="G11" s="223"/>
      <c r="H11" s="393"/>
      <c r="I11" s="393"/>
      <c r="J11" s="383"/>
      <c r="K11" s="211" t="s">
        <v>336</v>
      </c>
      <c r="L11" s="329">
        <f>OP!C55</f>
        <v>7499</v>
      </c>
      <c r="M11" s="329">
        <f>Peers!D53</f>
        <v>1948.7</v>
      </c>
      <c r="N11" s="329">
        <f>Peers!E53</f>
        <v>2225.9</v>
      </c>
      <c r="O11" s="329">
        <f>Peers!G53</f>
        <v>20754</v>
      </c>
      <c r="P11" s="329">
        <f>Peers!H53</f>
        <v>3772.8</v>
      </c>
      <c r="R11"/>
    </row>
    <row r="12" spans="1:23" ht="63.75">
      <c r="A12" s="84">
        <v>6</v>
      </c>
      <c r="B12" s="211" t="s">
        <v>337</v>
      </c>
      <c r="C12" s="210" t="str">
        <f>VLOOKUP($B$2,'Sector Impact'!$K$4:$AA$16,A12+1,FALSE)</f>
        <v>Medium</v>
      </c>
      <c r="D12" s="210" t="s">
        <v>298</v>
      </c>
      <c r="E12" s="210" t="s">
        <v>318</v>
      </c>
      <c r="F12" s="220" t="s">
        <v>301</v>
      </c>
      <c r="G12" s="267"/>
      <c r="H12" s="392" t="s">
        <v>301</v>
      </c>
      <c r="I12" s="392" t="s">
        <v>69</v>
      </c>
      <c r="J12" s="1193" t="s">
        <v>338</v>
      </c>
      <c r="K12" s="211" t="s">
        <v>339</v>
      </c>
      <c r="L12" s="358">
        <v>52068</v>
      </c>
      <c r="M12" s="358">
        <v>27482</v>
      </c>
      <c r="N12" s="358">
        <v>146886</v>
      </c>
      <c r="O12" s="358">
        <v>18800</v>
      </c>
      <c r="P12" s="358">
        <v>27701</v>
      </c>
      <c r="R12"/>
    </row>
    <row r="13" spans="1:23">
      <c r="A13" s="84">
        <v>7</v>
      </c>
      <c r="B13" s="211" t="s">
        <v>340</v>
      </c>
      <c r="C13" s="210" t="str">
        <f>VLOOKUP($B$2,'Sector Impact'!$K$4:$AA$16,A13+1,FALSE)</f>
        <v>High</v>
      </c>
      <c r="D13" s="210" t="s">
        <v>301</v>
      </c>
      <c r="E13" s="210" t="s">
        <v>322</v>
      </c>
      <c r="F13" s="224" t="s">
        <v>301</v>
      </c>
      <c r="G13" s="405"/>
      <c r="H13" s="392"/>
      <c r="I13" s="392" t="s">
        <v>69</v>
      </c>
      <c r="J13" s="384"/>
      <c r="K13" s="211" t="s">
        <v>341</v>
      </c>
      <c r="L13" s="358">
        <v>228966</v>
      </c>
      <c r="M13" s="358">
        <v>24300</v>
      </c>
      <c r="N13" s="358">
        <v>475000</v>
      </c>
      <c r="O13" s="360"/>
      <c r="P13" s="360"/>
      <c r="R13"/>
    </row>
    <row r="14" spans="1:23" ht="25.5">
      <c r="A14" s="84">
        <v>8</v>
      </c>
      <c r="B14" s="211" t="s">
        <v>342</v>
      </c>
      <c r="C14" s="210" t="str">
        <f>VLOOKUP($B$2,'Sector Impact'!$K$4:$AA$16,A14+1,FALSE)</f>
        <v>High</v>
      </c>
      <c r="D14" s="210"/>
      <c r="E14" s="210" t="s">
        <v>318</v>
      </c>
      <c r="F14" s="220"/>
      <c r="G14" s="267"/>
      <c r="H14" s="392"/>
      <c r="I14" s="392" t="s">
        <v>69</v>
      </c>
      <c r="J14" s="384" t="s">
        <v>343</v>
      </c>
      <c r="K14" s="211" t="s">
        <v>344</v>
      </c>
      <c r="L14" s="358">
        <v>1013040</v>
      </c>
      <c r="M14" s="359">
        <v>529088.1</v>
      </c>
      <c r="N14" s="358">
        <v>2863815</v>
      </c>
      <c r="O14" s="358">
        <v>957628.8</v>
      </c>
      <c r="P14" s="358">
        <v>261173.19</v>
      </c>
      <c r="Q14" s="335"/>
      <c r="R14"/>
    </row>
    <row r="15" spans="1:23">
      <c r="A15" s="84">
        <v>9</v>
      </c>
      <c r="B15" s="225" t="s">
        <v>345</v>
      </c>
      <c r="C15" s="210" t="str">
        <f>VLOOKUP($B$2,'Sector Impact'!$K$4:$AA$16,A15+1,FALSE)</f>
        <v>Low</v>
      </c>
      <c r="D15" s="210"/>
      <c r="E15" s="210"/>
      <c r="F15" s="220" t="s">
        <v>298</v>
      </c>
      <c r="G15" s="221"/>
      <c r="H15" s="394"/>
      <c r="I15" s="394"/>
      <c r="J15" s="384"/>
      <c r="K15" s="211" t="s">
        <v>346</v>
      </c>
      <c r="L15" s="358">
        <v>8229</v>
      </c>
      <c r="M15" s="358">
        <v>2685.8</v>
      </c>
      <c r="N15" s="358">
        <v>11636</v>
      </c>
      <c r="O15" s="358">
        <v>20017</v>
      </c>
      <c r="P15" s="360"/>
      <c r="R15"/>
    </row>
    <row r="16" spans="1:23" ht="42" customHeight="1">
      <c r="A16" s="84">
        <v>10</v>
      </c>
      <c r="B16" s="225" t="s">
        <v>347</v>
      </c>
      <c r="C16" s="210" t="str">
        <f>VLOOKUP($B$2,'Sector Impact'!$K$4:$AA$16,A16+1,FALSE)</f>
        <v>Medium</v>
      </c>
      <c r="D16" s="210"/>
      <c r="E16" s="210" t="s">
        <v>318</v>
      </c>
      <c r="F16" s="220" t="s">
        <v>301</v>
      </c>
      <c r="G16" s="266"/>
      <c r="H16" s="392"/>
      <c r="I16" s="546" t="s">
        <v>69</v>
      </c>
      <c r="J16" s="384" t="s">
        <v>348</v>
      </c>
      <c r="K16" s="216" t="s">
        <v>349</v>
      </c>
      <c r="L16" s="218"/>
      <c r="M16" s="218"/>
      <c r="N16" s="218"/>
      <c r="O16" s="219"/>
      <c r="P16" s="219"/>
      <c r="R16"/>
    </row>
    <row r="17" spans="1:18">
      <c r="A17" s="84">
        <v>11</v>
      </c>
      <c r="B17" s="211" t="s">
        <v>350</v>
      </c>
      <c r="C17" s="210" t="str">
        <f>VLOOKUP($B$2,'Sector Impact'!$K$4:$AA$16,A17+1,FALSE)</f>
        <v>Medium</v>
      </c>
      <c r="D17" s="226" t="s">
        <v>301</v>
      </c>
      <c r="E17" s="226" t="s">
        <v>351</v>
      </c>
      <c r="F17" s="226" t="s">
        <v>301</v>
      </c>
      <c r="G17" s="263"/>
      <c r="H17" s="392"/>
      <c r="I17" s="546" t="s">
        <v>69</v>
      </c>
      <c r="J17" s="384"/>
      <c r="K17" s="211" t="s">
        <v>352</v>
      </c>
      <c r="L17" s="1070" t="s">
        <v>353</v>
      </c>
      <c r="M17" s="1078" t="s">
        <v>354</v>
      </c>
      <c r="N17" s="1078" t="s">
        <v>354</v>
      </c>
      <c r="O17" s="1069" t="s">
        <v>355</v>
      </c>
      <c r="P17" s="1078" t="s">
        <v>354</v>
      </c>
      <c r="R17"/>
    </row>
    <row r="18" spans="1:18">
      <c r="A18" s="84">
        <v>12</v>
      </c>
      <c r="B18" s="211" t="s">
        <v>356</v>
      </c>
      <c r="C18" s="210" t="str">
        <f>VLOOKUP($B$2,'Sector Impact'!$K$4:$AA$16,A18+1,FALSE)</f>
        <v>Low</v>
      </c>
      <c r="D18" s="210"/>
      <c r="E18" s="210"/>
      <c r="F18" s="220"/>
      <c r="G18" s="221"/>
      <c r="H18" s="394"/>
      <c r="I18" s="394"/>
      <c r="J18" s="385"/>
      <c r="K18" s="211" t="s">
        <v>357</v>
      </c>
      <c r="L18" s="1074">
        <v>16.5</v>
      </c>
      <c r="M18" s="1074">
        <v>19.399999999999999</v>
      </c>
      <c r="N18" s="1075">
        <v>13.5</v>
      </c>
      <c r="O18" s="1075">
        <v>13.5</v>
      </c>
      <c r="P18" s="1076">
        <v>9.8000000000000007</v>
      </c>
    </row>
    <row r="19" spans="1:18" ht="89.25">
      <c r="A19" s="84">
        <v>13</v>
      </c>
      <c r="B19" s="211" t="s">
        <v>358</v>
      </c>
      <c r="C19" s="210" t="str">
        <f>VLOOKUP($B$2,'Sector Impact'!$K$4:$AA$16,A19+1,FALSE)</f>
        <v>High</v>
      </c>
      <c r="D19" s="210" t="s">
        <v>298</v>
      </c>
      <c r="E19" s="210" t="s">
        <v>351</v>
      </c>
      <c r="F19" s="220" t="s">
        <v>298</v>
      </c>
      <c r="G19" s="266"/>
      <c r="H19" s="392"/>
      <c r="I19" s="546" t="s">
        <v>69</v>
      </c>
      <c r="J19" s="384" t="s">
        <v>359</v>
      </c>
      <c r="K19" s="211" t="s">
        <v>360</v>
      </c>
      <c r="L19" s="1077" t="s">
        <v>361</v>
      </c>
      <c r="M19" s="1077" t="s">
        <v>361</v>
      </c>
      <c r="N19" s="1077" t="s">
        <v>361</v>
      </c>
      <c r="O19" s="1077" t="s">
        <v>361</v>
      </c>
      <c r="P19" s="1073" t="s">
        <v>354</v>
      </c>
    </row>
    <row r="20" spans="1:18">
      <c r="A20" s="84">
        <v>14</v>
      </c>
      <c r="B20" s="211" t="s">
        <v>362</v>
      </c>
      <c r="C20" s="210" t="str">
        <f>VLOOKUP($B$2,'Sector Impact'!$K$4:$AA$16,A20+1,FALSE)</f>
        <v>Low</v>
      </c>
      <c r="D20" s="210"/>
      <c r="E20" s="210"/>
      <c r="F20" s="220"/>
      <c r="G20" s="221"/>
      <c r="H20" s="394"/>
      <c r="I20" s="394"/>
      <c r="J20" s="384"/>
      <c r="K20"/>
      <c r="L20"/>
      <c r="M20"/>
      <c r="N20"/>
      <c r="O20"/>
      <c r="P20"/>
    </row>
    <row r="21" spans="1:18">
      <c r="A21" s="84">
        <v>15</v>
      </c>
      <c r="B21" s="225" t="s">
        <v>363</v>
      </c>
      <c r="C21" s="210" t="str">
        <f>VLOOKUP($B$2,'Sector Impact'!$K$4:$AA$16,A21+1,FALSE)</f>
        <v>Very High</v>
      </c>
      <c r="D21" s="210"/>
      <c r="E21" s="210" t="s">
        <v>351</v>
      </c>
      <c r="F21" s="220"/>
      <c r="G21" s="266"/>
      <c r="H21" s="392"/>
      <c r="I21" s="546" t="s">
        <v>69</v>
      </c>
      <c r="J21" s="384"/>
    </row>
    <row r="22" spans="1:18">
      <c r="A22" s="84">
        <v>16</v>
      </c>
      <c r="B22" s="211" t="s">
        <v>364</v>
      </c>
      <c r="C22" s="212" t="str">
        <f>VLOOKUP($B$2,'Sector Impact'!$K$4:$AA$16,A22+1,FALSE)</f>
        <v>Low</v>
      </c>
      <c r="D22" s="210" t="s">
        <v>298</v>
      </c>
      <c r="E22" s="210"/>
      <c r="F22" s="220"/>
      <c r="G22" s="221"/>
      <c r="H22" s="394"/>
      <c r="I22" s="394"/>
      <c r="J22" s="382"/>
    </row>
    <row r="23" spans="1:18" ht="15">
      <c r="B23" s="216" t="s">
        <v>365</v>
      </c>
      <c r="C23" s="227"/>
      <c r="D23" s="213"/>
      <c r="E23" s="222"/>
      <c r="F23" s="222"/>
      <c r="G23" s="223"/>
      <c r="H23" s="393"/>
      <c r="I23" s="393"/>
      <c r="J23" s="383"/>
      <c r="K23" s="243" t="s">
        <v>366</v>
      </c>
      <c r="L23" s="234"/>
      <c r="M23" s="235"/>
    </row>
    <row r="24" spans="1:18">
      <c r="A24" s="84">
        <v>17</v>
      </c>
      <c r="B24" s="211" t="s">
        <v>367</v>
      </c>
      <c r="C24" s="228"/>
      <c r="D24" s="229"/>
      <c r="E24" s="224" t="s">
        <v>322</v>
      </c>
      <c r="F24" s="224" t="s">
        <v>298</v>
      </c>
      <c r="G24" s="263"/>
      <c r="H24" s="392"/>
      <c r="I24" s="546" t="s">
        <v>69</v>
      </c>
      <c r="J24" s="386" t="s">
        <v>368</v>
      </c>
      <c r="K24" s="247" t="s">
        <v>369</v>
      </c>
      <c r="L24" s="85" t="s">
        <v>370</v>
      </c>
      <c r="M24" s="86" t="s">
        <v>371</v>
      </c>
    </row>
    <row r="25" spans="1:18">
      <c r="A25" s="84">
        <v>18</v>
      </c>
      <c r="B25" s="211" t="s">
        <v>372</v>
      </c>
      <c r="C25" s="228"/>
      <c r="D25" s="229"/>
      <c r="E25" s="224" t="s">
        <v>318</v>
      </c>
      <c r="F25" s="224"/>
      <c r="G25" s="263"/>
      <c r="H25" s="392"/>
      <c r="I25" s="546" t="s">
        <v>69</v>
      </c>
      <c r="J25" s="384"/>
      <c r="K25" s="201" t="s">
        <v>373</v>
      </c>
      <c r="L25" s="202" t="s">
        <v>351</v>
      </c>
      <c r="M25" s="244" t="s">
        <v>374</v>
      </c>
    </row>
    <row r="26" spans="1:18" ht="57" customHeight="1">
      <c r="A26" s="84">
        <v>19</v>
      </c>
      <c r="B26" s="211" t="s">
        <v>375</v>
      </c>
      <c r="C26" s="388"/>
      <c r="D26" s="229"/>
      <c r="E26" s="224" t="s">
        <v>322</v>
      </c>
      <c r="F26" s="224"/>
      <c r="G26" s="263"/>
      <c r="H26" s="392"/>
      <c r="I26" s="546" t="s">
        <v>69</v>
      </c>
      <c r="J26" s="386" t="s">
        <v>376</v>
      </c>
      <c r="K26" s="201" t="s">
        <v>322</v>
      </c>
      <c r="L26" s="202" t="s">
        <v>318</v>
      </c>
      <c r="M26" s="245"/>
    </row>
    <row r="27" spans="1:18" ht="25.5">
      <c r="A27" s="84">
        <v>20</v>
      </c>
      <c r="B27" s="211" t="s">
        <v>377</v>
      </c>
      <c r="C27" s="228"/>
      <c r="D27" s="229"/>
      <c r="E27" s="224" t="s">
        <v>318</v>
      </c>
      <c r="F27" s="224"/>
      <c r="G27" s="263"/>
      <c r="H27" s="392"/>
      <c r="I27" s="546" t="s">
        <v>69</v>
      </c>
      <c r="J27" s="386" t="s">
        <v>378</v>
      </c>
      <c r="K27" s="203" t="s">
        <v>379</v>
      </c>
      <c r="L27" s="204" t="s">
        <v>322</v>
      </c>
      <c r="M27" s="245"/>
    </row>
    <row r="28" spans="1:18">
      <c r="A28" s="84">
        <v>21</v>
      </c>
      <c r="B28" s="211" t="s">
        <v>380</v>
      </c>
      <c r="C28" s="228"/>
      <c r="D28" s="229"/>
      <c r="E28" s="224" t="s">
        <v>318</v>
      </c>
      <c r="F28" s="389"/>
      <c r="G28" s="263"/>
      <c r="H28" s="395"/>
      <c r="I28" s="547"/>
      <c r="J28" s="390"/>
      <c r="K28" s="205" t="s">
        <v>381</v>
      </c>
      <c r="L28" s="206" t="s">
        <v>382</v>
      </c>
      <c r="M28" s="246"/>
    </row>
    <row r="29" spans="1:18">
      <c r="A29" s="84">
        <v>22</v>
      </c>
      <c r="B29" s="211" t="s">
        <v>383</v>
      </c>
      <c r="C29" s="228"/>
      <c r="D29" s="229"/>
      <c r="E29" s="224" t="s">
        <v>351</v>
      </c>
      <c r="F29" s="389"/>
      <c r="G29" s="266"/>
      <c r="H29" s="392" t="s">
        <v>298</v>
      </c>
      <c r="I29" s="546" t="s">
        <v>69</v>
      </c>
      <c r="J29" s="384" t="s">
        <v>384</v>
      </c>
    </row>
    <row r="30" spans="1:18" ht="26.1" customHeight="1">
      <c r="A30" s="84">
        <v>23</v>
      </c>
      <c r="B30" s="225" t="s">
        <v>385</v>
      </c>
      <c r="C30" s="228"/>
      <c r="D30" s="229"/>
      <c r="E30" s="224" t="s">
        <v>322</v>
      </c>
      <c r="F30" s="224"/>
      <c r="G30" s="263"/>
      <c r="H30" s="392"/>
      <c r="I30" s="546" t="s">
        <v>69</v>
      </c>
      <c r="J30" s="386" t="s">
        <v>386</v>
      </c>
      <c r="L30" s="94"/>
    </row>
    <row r="31" spans="1:18" ht="25.5">
      <c r="A31" s="84">
        <v>24</v>
      </c>
      <c r="B31" s="406" t="s">
        <v>387</v>
      </c>
      <c r="C31" s="228"/>
      <c r="D31" s="229"/>
      <c r="E31" s="224" t="s">
        <v>351</v>
      </c>
      <c r="F31" s="224"/>
      <c r="G31" s="263"/>
      <c r="H31" s="392"/>
      <c r="I31" s="546" t="s">
        <v>69</v>
      </c>
      <c r="J31" s="387"/>
      <c r="L31" s="114"/>
    </row>
    <row r="32" spans="1:18" ht="25.5">
      <c r="A32" s="84">
        <v>25</v>
      </c>
      <c r="B32" s="211" t="s">
        <v>388</v>
      </c>
      <c r="C32" s="228"/>
      <c r="D32" s="224" t="s">
        <v>298</v>
      </c>
      <c r="E32" s="224" t="s">
        <v>322</v>
      </c>
      <c r="F32" s="224" t="s">
        <v>301</v>
      </c>
      <c r="G32" s="403"/>
      <c r="H32" s="392" t="s">
        <v>301</v>
      </c>
      <c r="I32" s="546" t="s">
        <v>69</v>
      </c>
      <c r="J32" s="384" t="s">
        <v>389</v>
      </c>
      <c r="L32" s="95"/>
    </row>
    <row r="33" spans="1:26">
      <c r="A33" s="84">
        <v>26</v>
      </c>
      <c r="B33" s="211" t="s">
        <v>390</v>
      </c>
      <c r="C33" s="228"/>
      <c r="D33" s="224" t="s">
        <v>301</v>
      </c>
      <c r="E33" s="224" t="s">
        <v>382</v>
      </c>
      <c r="F33" s="224"/>
      <c r="G33" s="263"/>
      <c r="H33" s="392"/>
      <c r="I33" s="546" t="s">
        <v>69</v>
      </c>
      <c r="J33" s="384" t="s">
        <v>391</v>
      </c>
      <c r="N33" s="264"/>
    </row>
    <row r="34" spans="1:26" ht="63.75">
      <c r="A34" s="84">
        <v>27</v>
      </c>
      <c r="B34" s="211" t="s">
        <v>392</v>
      </c>
      <c r="C34" s="228"/>
      <c r="D34" s="230" t="s">
        <v>298</v>
      </c>
      <c r="E34" s="224" t="s">
        <v>322</v>
      </c>
      <c r="F34" s="224"/>
      <c r="G34" s="263"/>
      <c r="H34" s="392"/>
      <c r="I34" s="546" t="s">
        <v>69</v>
      </c>
      <c r="J34" s="384" t="s">
        <v>393</v>
      </c>
      <c r="N34" s="265"/>
    </row>
    <row r="35" spans="1:26">
      <c r="B35" s="91"/>
      <c r="C35" s="91"/>
      <c r="D35" s="91"/>
      <c r="E35" s="91"/>
      <c r="F35" s="91"/>
      <c r="G35" s="91"/>
      <c r="H35" s="332"/>
      <c r="I35" s="332"/>
      <c r="J35" s="91"/>
      <c r="S35" s="92"/>
    </row>
    <row r="36" spans="1:26" ht="18">
      <c r="B36" s="93"/>
      <c r="S36" s="92"/>
    </row>
    <row r="37" spans="1:26">
      <c r="K37"/>
      <c r="S37" s="92"/>
    </row>
    <row r="38" spans="1:26">
      <c r="C38"/>
      <c r="D38"/>
      <c r="E38"/>
      <c r="F38"/>
      <c r="G38"/>
      <c r="H38" s="334"/>
      <c r="I38" s="334"/>
      <c r="J38"/>
      <c r="K38"/>
      <c r="L38"/>
      <c r="M38"/>
      <c r="N38"/>
      <c r="O38"/>
      <c r="P38"/>
      <c r="Q38"/>
      <c r="R38"/>
      <c r="S38"/>
      <c r="T38"/>
      <c r="U38"/>
      <c r="V38"/>
      <c r="W38"/>
      <c r="X38"/>
      <c r="Y38"/>
      <c r="Z38"/>
    </row>
    <row r="39" spans="1:26">
      <c r="C39"/>
      <c r="D39"/>
      <c r="E39"/>
      <c r="F39"/>
      <c r="G39"/>
      <c r="H39" s="334"/>
      <c r="I39" s="334"/>
      <c r="J39"/>
      <c r="M39"/>
      <c r="N39"/>
      <c r="O39"/>
      <c r="P39"/>
      <c r="Q39"/>
      <c r="R39"/>
      <c r="S39"/>
      <c r="T39"/>
      <c r="U39"/>
      <c r="V39"/>
      <c r="W39"/>
      <c r="X39"/>
      <c r="Y39"/>
      <c r="Z39"/>
    </row>
    <row r="54" spans="14:18">
      <c r="N54" s="1490"/>
      <c r="O54" s="1490"/>
      <c r="P54" s="1490"/>
      <c r="Q54" s="1490"/>
      <c r="R54" s="1490"/>
    </row>
    <row r="55" spans="14:18">
      <c r="O55" s="335"/>
      <c r="P55" s="335"/>
      <c r="Q55" s="335"/>
      <c r="R55" s="335"/>
    </row>
    <row r="56" spans="14:18">
      <c r="N56" s="336"/>
      <c r="O56" s="336"/>
      <c r="P56" s="336"/>
      <c r="Q56" s="336"/>
      <c r="R56" s="336"/>
    </row>
    <row r="57" spans="14:18">
      <c r="N57" s="336"/>
      <c r="O57" s="336"/>
      <c r="P57" s="336"/>
      <c r="Q57" s="336"/>
      <c r="R57" s="336"/>
    </row>
    <row r="58" spans="14:18">
      <c r="N58" s="336"/>
      <c r="O58" s="336"/>
      <c r="P58" s="336"/>
      <c r="Q58" s="336"/>
      <c r="R58" s="336"/>
    </row>
    <row r="59" spans="14:18">
      <c r="N59" s="336"/>
      <c r="O59" s="336"/>
      <c r="P59" s="336"/>
      <c r="Q59" s="336"/>
      <c r="R59" s="336"/>
    </row>
    <row r="60" spans="14:18">
      <c r="N60" s="336"/>
      <c r="O60" s="336"/>
      <c r="P60" s="336"/>
      <c r="Q60" s="336"/>
      <c r="R60" s="336"/>
    </row>
    <row r="61" spans="14:18">
      <c r="N61" s="336"/>
      <c r="O61" s="336"/>
      <c r="P61" s="336"/>
      <c r="Q61" s="336"/>
      <c r="R61" s="336"/>
    </row>
    <row r="62" spans="14:18">
      <c r="N62" s="336"/>
      <c r="O62" s="336"/>
      <c r="P62" s="336"/>
      <c r="Q62" s="336"/>
      <c r="R62" s="336"/>
    </row>
    <row r="63" spans="14:18">
      <c r="N63" s="336"/>
      <c r="O63" s="336"/>
      <c r="P63" s="336"/>
      <c r="Q63" s="336"/>
      <c r="R63" s="336"/>
    </row>
    <row r="64" spans="14:18">
      <c r="N64" s="336"/>
      <c r="O64" s="336"/>
      <c r="P64" s="336"/>
      <c r="Q64" s="336"/>
      <c r="R64" s="336"/>
    </row>
    <row r="65" spans="14:18">
      <c r="N65" s="336"/>
      <c r="O65" s="336"/>
      <c r="P65" s="336"/>
      <c r="Q65" s="336"/>
      <c r="R65" s="336"/>
    </row>
    <row r="66" spans="14:18">
      <c r="N66" s="1487"/>
      <c r="O66" s="1487"/>
      <c r="P66" s="1487"/>
      <c r="Q66" s="1487"/>
      <c r="R66" s="1487"/>
    </row>
    <row r="67" spans="14:18">
      <c r="N67" s="336"/>
      <c r="O67" s="336"/>
      <c r="P67" s="336"/>
      <c r="Q67" s="336"/>
      <c r="R67" s="336"/>
    </row>
    <row r="68" spans="14:18">
      <c r="N68" s="336"/>
      <c r="O68" s="336"/>
      <c r="P68" s="336"/>
      <c r="Q68" s="336"/>
      <c r="R68" s="336"/>
    </row>
    <row r="69" spans="14:18">
      <c r="N69" s="336"/>
      <c r="O69" s="336"/>
      <c r="P69" s="336"/>
      <c r="Q69" s="336"/>
      <c r="R69" s="336"/>
    </row>
    <row r="70" spans="14:18">
      <c r="N70" s="336"/>
      <c r="O70" s="336"/>
      <c r="P70" s="336"/>
      <c r="Q70" s="336"/>
      <c r="R70" s="336"/>
    </row>
    <row r="71" spans="14:18">
      <c r="N71" s="336"/>
      <c r="O71" s="336"/>
      <c r="P71" s="336"/>
      <c r="Q71" s="336"/>
      <c r="R71" s="336"/>
    </row>
    <row r="72" spans="14:18">
      <c r="N72" s="336"/>
      <c r="O72" s="336"/>
      <c r="P72" s="336"/>
      <c r="Q72" s="336"/>
      <c r="R72" s="336"/>
    </row>
    <row r="73" spans="14:18">
      <c r="N73" s="336"/>
      <c r="O73" s="336"/>
      <c r="P73" s="336"/>
      <c r="Q73" s="336"/>
      <c r="R73" s="336"/>
    </row>
    <row r="74" spans="14:18">
      <c r="N74" s="337"/>
      <c r="O74" s="336"/>
      <c r="P74" s="336"/>
      <c r="Q74" s="336"/>
      <c r="R74" s="336"/>
    </row>
    <row r="75" spans="14:18">
      <c r="N75" s="337"/>
      <c r="O75" s="336"/>
      <c r="P75" s="336"/>
      <c r="Q75" s="336"/>
      <c r="R75" s="336"/>
    </row>
    <row r="76" spans="14:18">
      <c r="N76" s="337"/>
      <c r="O76" s="336"/>
      <c r="P76" s="336"/>
      <c r="Q76" s="336"/>
      <c r="R76" s="336"/>
    </row>
    <row r="77" spans="14:18">
      <c r="N77" s="336"/>
      <c r="O77" s="336"/>
      <c r="P77" s="336"/>
      <c r="Q77" s="336"/>
      <c r="R77" s="336"/>
    </row>
    <row r="78" spans="14:18">
      <c r="N78" s="1487"/>
      <c r="O78" s="1487"/>
      <c r="P78" s="1487"/>
      <c r="Q78" s="1487"/>
      <c r="R78" s="1487"/>
    </row>
    <row r="79" spans="14:18">
      <c r="N79" s="336"/>
      <c r="O79" s="336"/>
      <c r="P79" s="336"/>
      <c r="Q79" s="336"/>
      <c r="R79" s="336"/>
    </row>
    <row r="80" spans="14:18">
      <c r="N80" s="336"/>
      <c r="O80" s="336"/>
      <c r="P80" s="336"/>
      <c r="Q80" s="336"/>
      <c r="R80" s="336"/>
    </row>
    <row r="81" spans="14:18">
      <c r="N81" s="336"/>
      <c r="O81" s="336"/>
      <c r="P81" s="336"/>
      <c r="Q81" s="336"/>
      <c r="R81" s="336"/>
    </row>
    <row r="82" spans="14:18">
      <c r="N82" s="336"/>
      <c r="O82" s="336"/>
      <c r="P82" s="336"/>
      <c r="Q82" s="336"/>
      <c r="R82" s="336"/>
    </row>
    <row r="83" spans="14:18">
      <c r="N83" s="336"/>
      <c r="O83" s="336"/>
      <c r="P83" s="336"/>
      <c r="Q83" s="336"/>
      <c r="R83" s="336"/>
    </row>
    <row r="84" spans="14:18">
      <c r="N84" s="336"/>
      <c r="O84" s="336"/>
      <c r="P84" s="336"/>
      <c r="Q84" s="336"/>
      <c r="R84" s="336"/>
    </row>
    <row r="85" spans="14:18">
      <c r="N85" s="336"/>
      <c r="O85" s="336"/>
      <c r="P85" s="336"/>
      <c r="Q85" s="336"/>
      <c r="R85" s="336"/>
    </row>
    <row r="86" spans="14:18">
      <c r="N86" s="337"/>
      <c r="O86" s="336"/>
      <c r="P86" s="336"/>
      <c r="Q86" s="336"/>
      <c r="R86" s="336"/>
    </row>
    <row r="87" spans="14:18">
      <c r="N87" s="337"/>
      <c r="O87" s="336"/>
      <c r="P87" s="336"/>
      <c r="Q87" s="336"/>
      <c r="R87" s="336"/>
    </row>
    <row r="88" spans="14:18">
      <c r="N88" s="337"/>
      <c r="O88" s="336"/>
      <c r="P88" s="336"/>
      <c r="Q88" s="336"/>
      <c r="R88" s="336"/>
    </row>
    <row r="89" spans="14:18">
      <c r="N89" s="336"/>
      <c r="O89" s="336"/>
      <c r="P89" s="336"/>
      <c r="Q89" s="336"/>
      <c r="R89" s="336"/>
    </row>
    <row r="90" spans="14:18">
      <c r="N90" s="1487"/>
      <c r="O90" s="1487"/>
      <c r="P90" s="1487"/>
      <c r="Q90" s="1487"/>
      <c r="R90" s="1487"/>
    </row>
    <row r="91" spans="14:18">
      <c r="N91" s="336"/>
      <c r="O91" s="336"/>
      <c r="P91" s="336"/>
      <c r="Q91" s="336"/>
      <c r="R91" s="336"/>
    </row>
    <row r="92" spans="14:18">
      <c r="N92" s="337"/>
      <c r="O92" s="336"/>
      <c r="P92" s="336"/>
      <c r="Q92" s="336"/>
      <c r="R92" s="336"/>
    </row>
    <row r="93" spans="14:18">
      <c r="N93" s="337"/>
      <c r="O93" s="336"/>
      <c r="P93" s="336"/>
      <c r="Q93" s="336"/>
      <c r="R93" s="336"/>
    </row>
    <row r="94" spans="14:18">
      <c r="N94" s="337"/>
      <c r="O94" s="336"/>
      <c r="P94" s="336"/>
      <c r="Q94" s="336"/>
      <c r="R94" s="336"/>
    </row>
    <row r="95" spans="14:18">
      <c r="N95" s="337"/>
      <c r="O95" s="336"/>
      <c r="P95" s="336"/>
      <c r="Q95" s="336"/>
      <c r="R95" s="336"/>
    </row>
    <row r="96" spans="14:18">
      <c r="N96" s="337"/>
      <c r="O96" s="336"/>
      <c r="P96" s="336"/>
      <c r="Q96" s="336"/>
      <c r="R96" s="336"/>
    </row>
    <row r="97" spans="14:18">
      <c r="N97" s="337"/>
      <c r="O97" s="336"/>
      <c r="P97" s="336"/>
      <c r="Q97" s="336"/>
      <c r="R97" s="336"/>
    </row>
    <row r="98" spans="14:18">
      <c r="N98" s="337"/>
      <c r="O98" s="336"/>
      <c r="P98" s="336"/>
      <c r="Q98" s="336"/>
      <c r="R98" s="336"/>
    </row>
    <row r="99" spans="14:18">
      <c r="N99" s="337"/>
      <c r="O99" s="336"/>
      <c r="P99" s="336"/>
      <c r="Q99" s="336"/>
      <c r="R99" s="336"/>
    </row>
    <row r="100" spans="14:18">
      <c r="N100" s="337"/>
      <c r="O100" s="336"/>
      <c r="P100" s="336"/>
      <c r="Q100" s="336"/>
      <c r="R100" s="336"/>
    </row>
  </sheetData>
  <mergeCells count="6">
    <mergeCell ref="N90:R90"/>
    <mergeCell ref="B3:J3"/>
    <mergeCell ref="K3:P3"/>
    <mergeCell ref="N54:R54"/>
    <mergeCell ref="N66:R66"/>
    <mergeCell ref="N78:R78"/>
  </mergeCells>
  <conditionalFormatting sqref="C10:G10">
    <cfRule type="expression" dxfId="31" priority="33">
      <formula>$C$10="Low"</formula>
    </cfRule>
  </conditionalFormatting>
  <conditionalFormatting sqref="D6:F6 H6:J6">
    <cfRule type="expression" dxfId="30" priority="50">
      <formula>$C$6="Low"</formula>
    </cfRule>
  </conditionalFormatting>
  <conditionalFormatting sqref="D9:F9 J9:J10">
    <cfRule type="expression" dxfId="29" priority="47">
      <formula>$C$9="Low"</formula>
    </cfRule>
  </conditionalFormatting>
  <conditionalFormatting sqref="D16:F16 I16:J16">
    <cfRule type="expression" dxfId="28" priority="41">
      <formula>$C$16="Low"</formula>
    </cfRule>
  </conditionalFormatting>
  <conditionalFormatting sqref="D7:G7 J7">
    <cfRule type="expression" dxfId="27" priority="49">
      <formula>$C$7="Low"</formula>
    </cfRule>
  </conditionalFormatting>
  <conditionalFormatting sqref="D8:G8 J8">
    <cfRule type="expression" dxfId="26" priority="48">
      <formula>$C$8="Low"</formula>
    </cfRule>
  </conditionalFormatting>
  <conditionalFormatting sqref="D12:G12 J12">
    <cfRule type="expression" dxfId="25" priority="45">
      <formula>$C$12="Low"</formula>
    </cfRule>
  </conditionalFormatting>
  <conditionalFormatting sqref="D13:G13 J13">
    <cfRule type="expression" dxfId="24" priority="44">
      <formula>$C$13="Low"</formula>
    </cfRule>
  </conditionalFormatting>
  <conditionalFormatting sqref="D14:G14 J14">
    <cfRule type="expression" dxfId="23" priority="43">
      <formula>$C$14="Low"</formula>
    </cfRule>
  </conditionalFormatting>
  <conditionalFormatting sqref="D17:G17 J17">
    <cfRule type="expression" dxfId="22" priority="40">
      <formula>$C$17="Low"</formula>
    </cfRule>
  </conditionalFormatting>
  <conditionalFormatting sqref="D19:G19 J20">
    <cfRule type="expression" dxfId="21" priority="38">
      <formula>$C$19="Low"</formula>
    </cfRule>
  </conditionalFormatting>
  <conditionalFormatting sqref="D21:G21 J21">
    <cfRule type="expression" dxfId="20" priority="36">
      <formula>$C$21="Low"</formula>
    </cfRule>
  </conditionalFormatting>
  <conditionalFormatting sqref="D15:J15">
    <cfRule type="expression" dxfId="19" priority="42">
      <formula>$C$15="Low"</formula>
    </cfRule>
  </conditionalFormatting>
  <conditionalFormatting sqref="D18:J18">
    <cfRule type="expression" dxfId="18" priority="39">
      <formula>$C$18="Low"</formula>
    </cfRule>
  </conditionalFormatting>
  <conditionalFormatting sqref="D20:J20">
    <cfRule type="expression" dxfId="17" priority="37">
      <formula>$C$20="Low"</formula>
    </cfRule>
  </conditionalFormatting>
  <conditionalFormatting sqref="D22:J22">
    <cfRule type="expression" dxfId="16" priority="35">
      <formula>$C$22="Low"</formula>
    </cfRule>
  </conditionalFormatting>
  <conditionalFormatting sqref="G6">
    <cfRule type="expression" dxfId="15" priority="6">
      <formula>$C$13="Low"</formula>
    </cfRule>
  </conditionalFormatting>
  <conditionalFormatting sqref="G9">
    <cfRule type="expression" dxfId="14" priority="5">
      <formula>$C$13="Low"</formula>
    </cfRule>
  </conditionalFormatting>
  <conditionalFormatting sqref="G16">
    <cfRule type="expression" dxfId="13" priority="4">
      <formula>$C$19="Low"</formula>
    </cfRule>
  </conditionalFormatting>
  <conditionalFormatting sqref="H16:H17">
    <cfRule type="expression" dxfId="12" priority="20">
      <formula>$C$6="Low"</formula>
    </cfRule>
  </conditionalFormatting>
  <conditionalFormatting sqref="H19">
    <cfRule type="expression" dxfId="11" priority="19">
      <formula>$C$6="Low"</formula>
    </cfRule>
  </conditionalFormatting>
  <conditionalFormatting sqref="H21">
    <cfRule type="expression" dxfId="10" priority="18">
      <formula>$C$6="Low"</formula>
    </cfRule>
  </conditionalFormatting>
  <conditionalFormatting sqref="H24:H34">
    <cfRule type="expression" dxfId="9" priority="17">
      <formula>$C$6="Low"</formula>
    </cfRule>
  </conditionalFormatting>
  <conditionalFormatting sqref="H7:I10">
    <cfRule type="expression" dxfId="8" priority="28">
      <formula>$C$6="Low"</formula>
    </cfRule>
  </conditionalFormatting>
  <conditionalFormatting sqref="H12:I14">
    <cfRule type="expression" dxfId="7" priority="21">
      <formula>$C$6="Low"</formula>
    </cfRule>
  </conditionalFormatting>
  <conditionalFormatting sqref="I17">
    <cfRule type="expression" dxfId="6" priority="25">
      <formula>$C$16="Low"</formula>
    </cfRule>
  </conditionalFormatting>
  <conditionalFormatting sqref="I19">
    <cfRule type="expression" dxfId="5" priority="24">
      <formula>$C$16="Low"</formula>
    </cfRule>
  </conditionalFormatting>
  <conditionalFormatting sqref="I21">
    <cfRule type="expression" dxfId="4" priority="23">
      <formula>$C$16="Low"</formula>
    </cfRule>
  </conditionalFormatting>
  <conditionalFormatting sqref="I24:I34">
    <cfRule type="expression" dxfId="3" priority="22">
      <formula>$C$16="Low"</formula>
    </cfRule>
  </conditionalFormatting>
  <conditionalFormatting sqref="J19">
    <cfRule type="expression" dxfId="2" priority="16">
      <formula>$C$17="Low"</formula>
    </cfRule>
  </conditionalFormatting>
  <conditionalFormatting sqref="L19:O19">
    <cfRule type="colorScale" priority="1">
      <colorScale>
        <cfvo type="min"/>
        <cfvo type="percentile" val="50"/>
        <cfvo type="max"/>
        <color rgb="FF63BE7B"/>
        <color rgb="FFFFEB84"/>
        <color rgb="FFF8696B"/>
      </colorScale>
    </cfRule>
  </conditionalFormatting>
  <dataValidations count="3">
    <dataValidation type="list" allowBlank="1" showInputMessage="1" showErrorMessage="1" sqref="D6:D22 C11 F12:F22 F6:F10 F24:F34 D32:D34 H6:H34" xr:uid="{00000000-0002-0000-0400-000000000000}">
      <formula1>$S$1:$S$2</formula1>
    </dataValidation>
    <dataValidation type="list" showInputMessage="1" showErrorMessage="1" sqref="B2" xr:uid="{00000000-0002-0000-0400-000001000000}">
      <formula1>Sectors</formula1>
    </dataValidation>
    <dataValidation type="list" allowBlank="1" showInputMessage="1" showErrorMessage="1" sqref="E6:E10 E24:E34 E12:E22" xr:uid="{00000000-0002-0000-0400-000002000000}">
      <formula1>$L$25:$L$28</formula1>
    </dataValidation>
  </dataValidations>
  <pageMargins left="0.7" right="0.7" top="0.75" bottom="0.75" header="0.3" footer="0.3"/>
  <pageSetup paperSize="9" orientation="portrait" horizontalDpi="4294967293"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CT83"/>
  <sheetViews>
    <sheetView showGridLines="0" tabSelected="1" topLeftCell="A41" zoomScale="85" zoomScaleNormal="85" workbookViewId="0">
      <selection activeCell="K24" sqref="K24"/>
    </sheetView>
  </sheetViews>
  <sheetFormatPr defaultColWidth="11.42578125" defaultRowHeight="12.75" outlineLevelCol="1"/>
  <cols>
    <col min="1" max="1" width="24.42578125" bestFit="1" customWidth="1"/>
    <col min="2" max="2" width="20.1406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8.85546875" style="2" customWidth="1"/>
    <col min="9" max="9" width="27.28515625" style="2" customWidth="1"/>
    <col min="10" max="10" width="15" style="2" customWidth="1"/>
    <col min="11" max="11" width="11.140625" style="2" customWidth="1"/>
    <col min="12" max="12" width="21.7109375" style="2" customWidth="1"/>
    <col min="13" max="14" width="24.28515625" style="2" bestFit="1" customWidth="1"/>
    <col min="15" max="15" width="23.140625" style="2" bestFit="1" customWidth="1"/>
    <col min="16" max="25" width="24.28515625" style="2" bestFit="1" customWidth="1"/>
    <col min="26" max="28" width="23.140625" style="2" bestFit="1" customWidth="1"/>
    <col min="29" max="30" width="24.28515625" style="2" bestFit="1" customWidth="1"/>
    <col min="31" max="32" width="23.140625" style="2" bestFit="1" customWidth="1"/>
    <col min="33" max="33" width="14.42578125" customWidth="1"/>
  </cols>
  <sheetData>
    <row r="1" spans="1:40" ht="21" customHeight="1">
      <c r="A1" s="1495" t="s">
        <v>394</v>
      </c>
      <c r="B1" s="1496"/>
      <c r="C1" s="1496"/>
      <c r="D1" s="1496"/>
      <c r="E1" s="1496"/>
      <c r="F1" s="1496"/>
      <c r="G1" s="1496"/>
      <c r="H1" s="1496"/>
      <c r="I1" s="1496"/>
      <c r="J1" s="1496"/>
      <c r="K1" s="1496"/>
      <c r="L1" s="1496"/>
      <c r="M1" s="1496"/>
      <c r="N1" s="1496"/>
      <c r="O1" s="1496"/>
      <c r="P1" s="1496"/>
      <c r="Q1" s="1496"/>
      <c r="R1" s="1496"/>
      <c r="S1" s="1496"/>
      <c r="T1" s="1496"/>
      <c r="U1" s="1496"/>
      <c r="V1" s="1496"/>
      <c r="W1" s="1496"/>
      <c r="X1" s="1496"/>
      <c r="Y1" s="1496"/>
      <c r="Z1" s="1496"/>
      <c r="AA1" s="1496"/>
      <c r="AB1" s="1496"/>
      <c r="AC1" s="1496"/>
      <c r="AD1" s="1496"/>
      <c r="AE1" s="1496"/>
      <c r="AF1" s="1497"/>
      <c r="AG1" s="749"/>
      <c r="AH1" s="11"/>
      <c r="AI1" s="11"/>
      <c r="AJ1" s="11"/>
      <c r="AK1" s="11"/>
      <c r="AL1" s="11"/>
      <c r="AM1" s="11"/>
      <c r="AN1" s="11"/>
    </row>
    <row r="2" spans="1:40" ht="3.75" customHeight="1">
      <c r="A2" s="1498"/>
      <c r="B2" s="1499"/>
      <c r="C2" s="1499"/>
      <c r="D2" s="1499"/>
      <c r="E2" s="1499"/>
      <c r="F2" s="1499"/>
      <c r="G2" s="1499"/>
      <c r="H2" s="1499"/>
      <c r="I2" s="1499"/>
      <c r="J2" s="1499"/>
      <c r="K2" s="1499"/>
      <c r="L2" s="1499"/>
      <c r="M2" s="1499"/>
      <c r="N2" s="1499"/>
      <c r="O2" s="1499"/>
      <c r="P2" s="1499"/>
      <c r="Q2" s="1499"/>
      <c r="R2" s="1499"/>
      <c r="S2" s="1499"/>
      <c r="T2" s="1499"/>
      <c r="U2" s="1499"/>
      <c r="V2" s="1499"/>
      <c r="W2" s="1499"/>
      <c r="X2" s="1499"/>
      <c r="Y2" s="1499"/>
      <c r="Z2" s="1499"/>
      <c r="AA2" s="1499"/>
      <c r="AB2" s="1499"/>
      <c r="AC2" s="1499"/>
      <c r="AD2" s="1499"/>
      <c r="AE2" s="1499"/>
      <c r="AF2" s="1500"/>
      <c r="AG2" s="236"/>
      <c r="AH2" s="11"/>
      <c r="AI2" s="11"/>
      <c r="AJ2" s="11"/>
      <c r="AK2" s="11"/>
      <c r="AL2" s="11"/>
      <c r="AM2" s="11"/>
      <c r="AN2" s="11"/>
    </row>
    <row r="3" spans="1:40" ht="19.5" thickBot="1">
      <c r="A3" s="236"/>
      <c r="B3" s="236"/>
      <c r="C3" s="236"/>
      <c r="D3" s="236"/>
      <c r="E3" s="236"/>
      <c r="F3" s="236"/>
      <c r="G3" s="1513" t="s">
        <v>395</v>
      </c>
      <c r="H3" s="1514"/>
      <c r="I3" s="1514"/>
      <c r="J3" s="1514"/>
      <c r="K3" s="1515" t="s">
        <v>396</v>
      </c>
      <c r="L3" s="1516"/>
      <c r="M3" s="1516"/>
      <c r="N3" s="1516"/>
      <c r="O3" s="1516"/>
      <c r="P3" s="1516"/>
      <c r="Q3" s="1516"/>
      <c r="R3" s="1516"/>
      <c r="S3" s="1516"/>
      <c r="T3" s="1516"/>
      <c r="U3" s="1516"/>
      <c r="V3" s="1516"/>
      <c r="W3" s="1516"/>
      <c r="X3" s="1516"/>
      <c r="Y3" s="1516"/>
      <c r="Z3" s="1516"/>
      <c r="AA3" s="1516"/>
      <c r="AB3" s="1516"/>
      <c r="AC3" s="1516"/>
      <c r="AD3" s="1516"/>
      <c r="AE3" s="1516"/>
      <c r="AF3" s="1517"/>
      <c r="AG3" s="236"/>
      <c r="AH3" s="11"/>
      <c r="AI3" s="11"/>
      <c r="AJ3" s="11"/>
      <c r="AK3" s="11"/>
      <c r="AL3" s="11"/>
      <c r="AM3" s="11"/>
      <c r="AN3" s="11"/>
    </row>
    <row r="4" spans="1:40" ht="15.75" thickBot="1">
      <c r="A4" s="793" t="s">
        <v>397</v>
      </c>
      <c r="B4" s="891" t="s">
        <v>398</v>
      </c>
      <c r="C4" s="892" t="s">
        <v>399</v>
      </c>
      <c r="D4" s="250" t="s">
        <v>400</v>
      </c>
      <c r="E4" s="250" t="s">
        <v>401</v>
      </c>
      <c r="F4" s="251" t="s">
        <v>402</v>
      </c>
      <c r="G4" s="250">
        <v>2023</v>
      </c>
      <c r="H4" s="250">
        <f>G4+1</f>
        <v>2024</v>
      </c>
      <c r="I4" s="250">
        <f t="shared" ref="I4:AF4" si="0">H4+1</f>
        <v>2025</v>
      </c>
      <c r="J4" s="251">
        <f t="shared" si="0"/>
        <v>2026</v>
      </c>
      <c r="K4" s="237">
        <f t="shared" si="0"/>
        <v>2027</v>
      </c>
      <c r="L4" s="237">
        <f t="shared" si="0"/>
        <v>2028</v>
      </c>
      <c r="M4" s="237">
        <f t="shared" si="0"/>
        <v>2029</v>
      </c>
      <c r="N4" s="237">
        <f t="shared" si="0"/>
        <v>2030</v>
      </c>
      <c r="O4" s="237">
        <f t="shared" si="0"/>
        <v>2031</v>
      </c>
      <c r="P4" s="237">
        <f t="shared" si="0"/>
        <v>2032</v>
      </c>
      <c r="Q4" s="237">
        <f t="shared" si="0"/>
        <v>2033</v>
      </c>
      <c r="R4" s="237">
        <f t="shared" si="0"/>
        <v>2034</v>
      </c>
      <c r="S4" s="237">
        <f t="shared" si="0"/>
        <v>2035</v>
      </c>
      <c r="T4" s="237">
        <f t="shared" si="0"/>
        <v>2036</v>
      </c>
      <c r="U4" s="237">
        <f t="shared" si="0"/>
        <v>2037</v>
      </c>
      <c r="V4" s="237">
        <f t="shared" si="0"/>
        <v>2038</v>
      </c>
      <c r="W4" s="237">
        <f t="shared" si="0"/>
        <v>2039</v>
      </c>
      <c r="X4" s="237">
        <f t="shared" si="0"/>
        <v>2040</v>
      </c>
      <c r="Y4" s="237">
        <f t="shared" si="0"/>
        <v>2041</v>
      </c>
      <c r="Z4" s="237">
        <f t="shared" si="0"/>
        <v>2042</v>
      </c>
      <c r="AA4" s="237">
        <f t="shared" si="0"/>
        <v>2043</v>
      </c>
      <c r="AB4" s="237">
        <f t="shared" si="0"/>
        <v>2044</v>
      </c>
      <c r="AC4" s="237">
        <f t="shared" si="0"/>
        <v>2045</v>
      </c>
      <c r="AD4" s="237">
        <f t="shared" si="0"/>
        <v>2046</v>
      </c>
      <c r="AE4" s="237">
        <f t="shared" si="0"/>
        <v>2047</v>
      </c>
      <c r="AF4" s="497">
        <f t="shared" si="0"/>
        <v>2048</v>
      </c>
      <c r="AG4" s="236"/>
      <c r="AH4" s="11"/>
      <c r="AI4" s="11"/>
      <c r="AJ4" s="11"/>
      <c r="AK4" s="11"/>
      <c r="AL4" s="11"/>
      <c r="AM4" s="11"/>
      <c r="AN4" s="11"/>
    </row>
    <row r="5" spans="1:40">
      <c r="A5" s="1504" t="s">
        <v>403</v>
      </c>
      <c r="B5" s="887">
        <v>1</v>
      </c>
      <c r="C5" s="933" t="s">
        <v>296</v>
      </c>
      <c r="D5" s="752">
        <f>'Fin. Data'!D6</f>
        <v>-0.32124226616523111</v>
      </c>
      <c r="E5" s="753">
        <f t="shared" ref="E5:J5" si="1">+E6/D6-1</f>
        <v>0.30705987488829312</v>
      </c>
      <c r="F5" s="754">
        <f t="shared" si="1"/>
        <v>2.5434158348147218E-2</v>
      </c>
      <c r="G5" s="868">
        <f>+G6/F6-1</f>
        <v>2.4999999999999911E-2</v>
      </c>
      <c r="H5" s="783">
        <f t="shared" si="1"/>
        <v>2.750000000000008E-2</v>
      </c>
      <c r="I5" s="783">
        <f t="shared" si="1"/>
        <v>2.750000000000008E-2</v>
      </c>
      <c r="J5" s="1228">
        <f t="shared" si="1"/>
        <v>2.750000000000008E-2</v>
      </c>
      <c r="K5" s="1209">
        <f t="shared" ref="K5:AF5" si="2">+K6/J6-1</f>
        <v>1.4999999999999902E-2</v>
      </c>
      <c r="L5" s="1210">
        <f t="shared" si="2"/>
        <v>1.4000000000000012E-2</v>
      </c>
      <c r="M5" s="1210">
        <f t="shared" si="2"/>
        <v>1.2999999999999901E-2</v>
      </c>
      <c r="N5" s="1210">
        <f t="shared" si="2"/>
        <v>1.2000000000000011E-2</v>
      </c>
      <c r="O5" s="1210">
        <f t="shared" si="2"/>
        <v>1.0999999999999899E-2</v>
      </c>
      <c r="P5" s="1210">
        <f t="shared" si="2"/>
        <v>1.0000000000000009E-2</v>
      </c>
      <c r="Q5" s="1210">
        <f t="shared" si="2"/>
        <v>8.999999999999897E-3</v>
      </c>
      <c r="R5" s="1210">
        <f t="shared" si="2"/>
        <v>8.0000000000000071E-3</v>
      </c>
      <c r="S5" s="1210">
        <f t="shared" si="2"/>
        <v>6.9999999999998952E-3</v>
      </c>
      <c r="T5" s="1210">
        <f t="shared" si="2"/>
        <v>6.0000000000000053E-3</v>
      </c>
      <c r="U5" s="1210">
        <f t="shared" si="2"/>
        <v>4.9999999999998934E-3</v>
      </c>
      <c r="V5" s="1210">
        <f t="shared" si="2"/>
        <v>4.0000000000000036E-3</v>
      </c>
      <c r="W5" s="1210">
        <f t="shared" si="2"/>
        <v>2.9999999999998916E-3</v>
      </c>
      <c r="X5" s="1210">
        <f t="shared" si="2"/>
        <v>2.0000000000000018E-3</v>
      </c>
      <c r="Y5" s="1210">
        <f t="shared" si="2"/>
        <v>9.9999999999988987E-4</v>
      </c>
      <c r="Z5" s="1210">
        <f t="shared" si="2"/>
        <v>0</v>
      </c>
      <c r="AA5" s="1210">
        <f t="shared" si="2"/>
        <v>0</v>
      </c>
      <c r="AB5" s="1210">
        <f t="shared" si="2"/>
        <v>0</v>
      </c>
      <c r="AC5" s="1210">
        <f t="shared" si="2"/>
        <v>0</v>
      </c>
      <c r="AD5" s="1210">
        <f t="shared" si="2"/>
        <v>0</v>
      </c>
      <c r="AE5" s="1210">
        <f t="shared" si="2"/>
        <v>0</v>
      </c>
      <c r="AF5" s="1211">
        <f t="shared" si="2"/>
        <v>0</v>
      </c>
      <c r="AG5" s="1167"/>
      <c r="AH5" s="11"/>
      <c r="AI5" s="11"/>
      <c r="AJ5" s="11"/>
      <c r="AK5" s="11"/>
      <c r="AL5" s="11"/>
      <c r="AM5" s="11"/>
      <c r="AN5" s="11"/>
    </row>
    <row r="6" spans="1:40" ht="15">
      <c r="A6" s="1505"/>
      <c r="B6" s="888">
        <v>2</v>
      </c>
      <c r="C6" s="934" t="s">
        <v>404</v>
      </c>
      <c r="D6" s="794">
        <f>'Fin. Data'!D5</f>
        <v>5595</v>
      </c>
      <c r="E6" s="795">
        <f>'Fin. Data'!C5</f>
        <v>7313</v>
      </c>
      <c r="F6" s="872">
        <f>'Fin. Data'!B5</f>
        <v>7499</v>
      </c>
      <c r="G6" s="869">
        <f>Assumptions!C38</f>
        <v>7686.4749999999995</v>
      </c>
      <c r="H6" s="796">
        <f>Assumptions!D38</f>
        <v>7897.8530625000003</v>
      </c>
      <c r="I6" s="796">
        <f>Assumptions!E38</f>
        <v>8115.0440217187506</v>
      </c>
      <c r="J6" s="1229">
        <f>Assumptions!F38</f>
        <v>8338.2077323160174</v>
      </c>
      <c r="K6" s="1212">
        <f>Assumptions!G38</f>
        <v>8463.2808483007575</v>
      </c>
      <c r="L6" s="796">
        <f>Assumptions!H38</f>
        <v>8581.7667801769676</v>
      </c>
      <c r="M6" s="796">
        <f>Assumptions!I38</f>
        <v>8693.3297483192673</v>
      </c>
      <c r="N6" s="796">
        <f>Assumptions!J38</f>
        <v>8797.6497052990981</v>
      </c>
      <c r="O6" s="796">
        <f>Assumptions!K38</f>
        <v>8894.4238520573872</v>
      </c>
      <c r="P6" s="796">
        <f>Assumptions!L38</f>
        <v>8983.368090577962</v>
      </c>
      <c r="Q6" s="796">
        <f>Assumptions!M38</f>
        <v>9064.2184033931626</v>
      </c>
      <c r="R6" s="796">
        <f>Assumptions!N38</f>
        <v>9136.7321506203079</v>
      </c>
      <c r="S6" s="796">
        <f>Assumptions!O38</f>
        <v>9200.6892756746493</v>
      </c>
      <c r="T6" s="796">
        <f>Assumptions!P38</f>
        <v>9255.8934113286978</v>
      </c>
      <c r="U6" s="796">
        <f>Assumptions!Q38</f>
        <v>9302.1728783853396</v>
      </c>
      <c r="V6" s="796">
        <f>Assumptions!R38</f>
        <v>9339.3815698988801</v>
      </c>
      <c r="W6" s="796">
        <f>Assumptions!S38</f>
        <v>9367.3997146085749</v>
      </c>
      <c r="X6" s="796">
        <f>Assumptions!T38</f>
        <v>9386.1345140377925</v>
      </c>
      <c r="Y6" s="796">
        <f>Assumptions!U38</f>
        <v>9395.5206485518302</v>
      </c>
      <c r="Z6" s="796">
        <f>Assumptions!V38</f>
        <v>9395.5206485518302</v>
      </c>
      <c r="AA6" s="796">
        <f>Assumptions!W38</f>
        <v>9395.5206485518302</v>
      </c>
      <c r="AB6" s="796">
        <f>Assumptions!X38</f>
        <v>9395.5206485518302</v>
      </c>
      <c r="AC6" s="796">
        <f>Assumptions!Y38</f>
        <v>9395.5206485518302</v>
      </c>
      <c r="AD6" s="796">
        <f>Assumptions!Z38</f>
        <v>9395.5206485518302</v>
      </c>
      <c r="AE6" s="796">
        <f>Assumptions!AA38</f>
        <v>9395.5206485518302</v>
      </c>
      <c r="AF6" s="1213">
        <f>Assumptions!AB38</f>
        <v>9395.5206485518302</v>
      </c>
      <c r="AG6" s="1168"/>
      <c r="AH6" s="11"/>
      <c r="AI6" s="11"/>
      <c r="AJ6" s="11"/>
      <c r="AK6" s="11"/>
      <c r="AL6" s="11"/>
      <c r="AM6" s="11"/>
      <c r="AN6" s="11"/>
    </row>
    <row r="7" spans="1:40">
      <c r="A7" s="1505"/>
      <c r="B7" s="889">
        <v>3</v>
      </c>
      <c r="C7" s="935" t="s">
        <v>405</v>
      </c>
      <c r="D7" s="755">
        <f>D8/D6</f>
        <v>9.2940125111706882E-3</v>
      </c>
      <c r="E7" s="750">
        <f t="shared" ref="E7:F7" si="3">E8/E6</f>
        <v>0.13961438534117326</v>
      </c>
      <c r="F7" s="756">
        <f t="shared" si="3"/>
        <v>0.15442058941192158</v>
      </c>
      <c r="G7" s="870">
        <f>Assumptions!C52</f>
        <v>0.14000000000000001</v>
      </c>
      <c r="H7" s="870">
        <f>Assumptions!D52</f>
        <v>0.14000000000000001</v>
      </c>
      <c r="I7" s="870">
        <f>Assumptions!E52</f>
        <v>0.14000000000000001</v>
      </c>
      <c r="J7" s="1230">
        <f>Assumptions!F52</f>
        <v>0.14000000000000001</v>
      </c>
      <c r="K7" s="1214">
        <f>Assumptions!G52</f>
        <v>0.14000000000000001</v>
      </c>
      <c r="L7" s="870">
        <f>Assumptions!H52</f>
        <v>0.14000000000000001</v>
      </c>
      <c r="M7" s="870">
        <f>Assumptions!I52</f>
        <v>0.14000000000000001</v>
      </c>
      <c r="N7" s="870">
        <f>Assumptions!J52</f>
        <v>0.14000000000000001</v>
      </c>
      <c r="O7" s="870">
        <f>Assumptions!K52</f>
        <v>0.14000000000000001</v>
      </c>
      <c r="P7" s="870">
        <f>Assumptions!L52</f>
        <v>0.14000000000000001</v>
      </c>
      <c r="Q7" s="870">
        <f>Assumptions!M52</f>
        <v>0.14000000000000001</v>
      </c>
      <c r="R7" s="870">
        <f>Assumptions!N52</f>
        <v>0.14000000000000001</v>
      </c>
      <c r="S7" s="870">
        <f>Assumptions!O52</f>
        <v>0.14000000000000001</v>
      </c>
      <c r="T7" s="870">
        <f>Assumptions!P52</f>
        <v>0.14000000000000001</v>
      </c>
      <c r="U7" s="870">
        <f>Assumptions!Q52</f>
        <v>0.14000000000000001</v>
      </c>
      <c r="V7" s="870">
        <f>Assumptions!R52</f>
        <v>0.14000000000000001</v>
      </c>
      <c r="W7" s="870">
        <f>Assumptions!S52</f>
        <v>0.14000000000000001</v>
      </c>
      <c r="X7" s="870">
        <f>Assumptions!T52</f>
        <v>0.14000000000000001</v>
      </c>
      <c r="Y7" s="870">
        <f>Assumptions!U52</f>
        <v>0.14000000000000001</v>
      </c>
      <c r="Z7" s="870">
        <f>Assumptions!V52</f>
        <v>0.14000000000000001</v>
      </c>
      <c r="AA7" s="870">
        <f>Assumptions!W52</f>
        <v>0.14000000000000001</v>
      </c>
      <c r="AB7" s="870">
        <f>Assumptions!X52</f>
        <v>0.14000000000000001</v>
      </c>
      <c r="AC7" s="870">
        <f>Assumptions!Y52</f>
        <v>0.14000000000000001</v>
      </c>
      <c r="AD7" s="870">
        <f>Assumptions!Z52</f>
        <v>0.14000000000000001</v>
      </c>
      <c r="AE7" s="870">
        <f>Assumptions!AA52</f>
        <v>0.14000000000000001</v>
      </c>
      <c r="AF7" s="1215">
        <f>Assumptions!AB52</f>
        <v>0.14000000000000001</v>
      </c>
      <c r="AG7" s="1167"/>
      <c r="AH7" s="11"/>
      <c r="AI7" s="11"/>
      <c r="AJ7" s="11"/>
      <c r="AK7" s="11"/>
      <c r="AL7" s="11"/>
      <c r="AM7" s="11"/>
      <c r="AN7" s="11"/>
    </row>
    <row r="8" spans="1:40" ht="15.75" thickBot="1">
      <c r="A8" s="1505"/>
      <c r="B8" s="888">
        <v>4</v>
      </c>
      <c r="C8" s="886" t="s">
        <v>62</v>
      </c>
      <c r="D8" s="799">
        <f>'Fin. Data'!D11</f>
        <v>52</v>
      </c>
      <c r="E8" s="877">
        <f>'Fin. Data'!C11</f>
        <v>1021</v>
      </c>
      <c r="F8" s="878">
        <f>'Fin. Data'!B11</f>
        <v>1158</v>
      </c>
      <c r="G8" s="880">
        <f>G7*G6</f>
        <v>1076.1065000000001</v>
      </c>
      <c r="H8" s="877">
        <f t="shared" ref="H8:AE8" si="4">H7*H6</f>
        <v>1105.6994287500002</v>
      </c>
      <c r="I8" s="877">
        <f t="shared" si="4"/>
        <v>1136.1061630406252</v>
      </c>
      <c r="J8" s="1231">
        <f t="shared" si="4"/>
        <v>1167.3490825242425</v>
      </c>
      <c r="K8" s="1216">
        <f>K7*K6</f>
        <v>1184.8593187621061</v>
      </c>
      <c r="L8" s="877">
        <f t="shared" si="4"/>
        <v>1201.4473492247755</v>
      </c>
      <c r="M8" s="877">
        <f t="shared" si="4"/>
        <v>1217.0661647646975</v>
      </c>
      <c r="N8" s="877">
        <f t="shared" si="4"/>
        <v>1231.6709587418738</v>
      </c>
      <c r="O8" s="877">
        <f t="shared" si="4"/>
        <v>1245.2193392880342</v>
      </c>
      <c r="P8" s="877">
        <f t="shared" si="4"/>
        <v>1257.6715326809149</v>
      </c>
      <c r="Q8" s="877">
        <f t="shared" si="4"/>
        <v>1268.9905764750429</v>
      </c>
      <c r="R8" s="877">
        <f t="shared" si="4"/>
        <v>1279.1425010868431</v>
      </c>
      <c r="S8" s="877">
        <f t="shared" si="4"/>
        <v>1288.0964985944511</v>
      </c>
      <c r="T8" s="877">
        <f t="shared" si="4"/>
        <v>1295.8250775860179</v>
      </c>
      <c r="U8" s="877">
        <f t="shared" si="4"/>
        <v>1302.3042029739477</v>
      </c>
      <c r="V8" s="877">
        <f t="shared" si="4"/>
        <v>1307.5134197858433</v>
      </c>
      <c r="W8" s="877">
        <f t="shared" si="4"/>
        <v>1311.4359600452005</v>
      </c>
      <c r="X8" s="877">
        <f t="shared" si="4"/>
        <v>1314.0588319652911</v>
      </c>
      <c r="Y8" s="877">
        <f t="shared" si="4"/>
        <v>1315.3728907972563</v>
      </c>
      <c r="Z8" s="877">
        <f t="shared" si="4"/>
        <v>1315.3728907972563</v>
      </c>
      <c r="AA8" s="877">
        <f t="shared" si="4"/>
        <v>1315.3728907972563</v>
      </c>
      <c r="AB8" s="877">
        <f t="shared" si="4"/>
        <v>1315.3728907972563</v>
      </c>
      <c r="AC8" s="877">
        <f t="shared" si="4"/>
        <v>1315.3728907972563</v>
      </c>
      <c r="AD8" s="877">
        <f t="shared" si="4"/>
        <v>1315.3728907972563</v>
      </c>
      <c r="AE8" s="877">
        <f t="shared" si="4"/>
        <v>1315.3728907972563</v>
      </c>
      <c r="AF8" s="1217">
        <f>AF7*AF6</f>
        <v>1315.3728907972563</v>
      </c>
      <c r="AG8" s="1168"/>
      <c r="AH8" s="7"/>
      <c r="AI8" s="7"/>
      <c r="AJ8" s="7"/>
      <c r="AK8" s="11"/>
      <c r="AL8" s="11"/>
      <c r="AM8" s="11"/>
      <c r="AN8" s="11"/>
    </row>
    <row r="9" spans="1:40" ht="15">
      <c r="A9" s="1505"/>
      <c r="B9" s="916" t="s">
        <v>406</v>
      </c>
      <c r="C9" s="934" t="s">
        <v>407</v>
      </c>
      <c r="D9" s="797">
        <v>-382.4</v>
      </c>
      <c r="E9" s="798">
        <v>-433.3</v>
      </c>
      <c r="F9" s="873">
        <v>-447.5</v>
      </c>
      <c r="G9" s="871">
        <f>-Assumptions!C67</f>
        <v>-427.30973940673135</v>
      </c>
      <c r="H9" s="782">
        <f>-Assumptions!D67</f>
        <v>-422.82731691252758</v>
      </c>
      <c r="I9" s="782">
        <f>-Assumptions!E67</f>
        <v>-420.46628166688379</v>
      </c>
      <c r="J9" s="1232">
        <f>-Assumptions!F67</f>
        <v>-419.9745957755153</v>
      </c>
      <c r="K9" s="1218">
        <f>-Assumptions!G67</f>
        <v>-420.41561157924332</v>
      </c>
      <c r="L9" s="782">
        <f>-Assumptions!H67</f>
        <v>-427.5479722357357</v>
      </c>
      <c r="M9" s="782">
        <f>-Assumptions!I67</f>
        <v>-440.5528412433718</v>
      </c>
      <c r="N9" s="782">
        <f>-Assumptions!J67</f>
        <v>-458.70737000625587</v>
      </c>
      <c r="O9" s="782">
        <f>-Assumptions!K67</f>
        <v>-481.37070712307923</v>
      </c>
      <c r="P9" s="782">
        <f>-Assumptions!L67</f>
        <v>-507.97201690969109</v>
      </c>
      <c r="Q9" s="782">
        <f>-Assumptions!M67</f>
        <v>-525.46682666869526</v>
      </c>
      <c r="R9" s="782">
        <f>-Assumptions!N67</f>
        <v>-534.92760192226251</v>
      </c>
      <c r="S9" s="782">
        <f>-Assumptions!O67</f>
        <v>-537.29397988708922</v>
      </c>
      <c r="T9" s="782">
        <f>-Assumptions!P67</f>
        <v>-533.39192482119734</v>
      </c>
      <c r="U9" s="782">
        <f>-Assumptions!Q67</f>
        <v>-523.95015970903376</v>
      </c>
      <c r="V9" s="782">
        <f>-Assumptions!R67</f>
        <v>-516.07118878739277</v>
      </c>
      <c r="W9" s="782">
        <f>-Assumptions!S67</f>
        <v>-509.47537867278623</v>
      </c>
      <c r="X9" s="782">
        <f>-Assumptions!T67</f>
        <v>-503.92112027726597</v>
      </c>
      <c r="Y9" s="782">
        <f>-Assumptions!U67</f>
        <v>-499.19976103745677</v>
      </c>
      <c r="Z9" s="782">
        <f>-Assumptions!V67</f>
        <v>-495.13124044809911</v>
      </c>
      <c r="AA9" s="782">
        <f>-Assumptions!W67</f>
        <v>-491.62528825398135</v>
      </c>
      <c r="AB9" s="782">
        <f>-Assumptions!X67</f>
        <v>-488.60411617988859</v>
      </c>
      <c r="AC9" s="782">
        <f>-Assumptions!Y67</f>
        <v>-486.00069200411343</v>
      </c>
      <c r="AD9" s="782">
        <f>-Assumptions!Z67</f>
        <v>-483.75725228178453</v>
      </c>
      <c r="AE9" s="782">
        <f>-Assumptions!AA67</f>
        <v>-481.8240207190774</v>
      </c>
      <c r="AF9" s="1219">
        <f>-Assumptions!AB67</f>
        <v>-480.15810376225039</v>
      </c>
      <c r="AG9" s="1168"/>
      <c r="AH9" s="7"/>
      <c r="AI9" s="7"/>
      <c r="AJ9" s="7"/>
      <c r="AK9" s="11"/>
      <c r="AL9" s="11"/>
      <c r="AM9" s="11"/>
      <c r="AN9" s="11"/>
    </row>
    <row r="10" spans="1:40" ht="15">
      <c r="A10" s="1505"/>
      <c r="B10" s="888" t="s">
        <v>408</v>
      </c>
      <c r="C10" s="934" t="s">
        <v>409</v>
      </c>
      <c r="D10" s="797">
        <v>-43</v>
      </c>
      <c r="E10" s="798">
        <v>-46</v>
      </c>
      <c r="F10" s="873">
        <v>-45.8</v>
      </c>
      <c r="G10" s="871">
        <f>-G6*$C$53</f>
        <v>-46.118849999999995</v>
      </c>
      <c r="H10" s="782">
        <f t="shared" ref="H10:AF10" si="5">-H6*$C$53</f>
        <v>-47.387118375</v>
      </c>
      <c r="I10" s="782">
        <f t="shared" si="5"/>
        <v>-48.690264130312507</v>
      </c>
      <c r="J10" s="1232">
        <f t="shared" si="5"/>
        <v>-50.029246393896102</v>
      </c>
      <c r="K10" s="1218">
        <f t="shared" si="5"/>
        <v>-50.779685089804545</v>
      </c>
      <c r="L10" s="782">
        <f t="shared" si="5"/>
        <v>-51.490600681061807</v>
      </c>
      <c r="M10" s="782">
        <f t="shared" si="5"/>
        <v>-52.159978489915602</v>
      </c>
      <c r="N10" s="782">
        <f t="shared" si="5"/>
        <v>-52.78589823179459</v>
      </c>
      <c r="O10" s="782">
        <f t="shared" si="5"/>
        <v>-53.366543112344324</v>
      </c>
      <c r="P10" s="782">
        <f t="shared" si="5"/>
        <v>-53.90020854346777</v>
      </c>
      <c r="Q10" s="782">
        <f t="shared" si="5"/>
        <v>-54.385310420358977</v>
      </c>
      <c r="R10" s="782">
        <f t="shared" si="5"/>
        <v>-54.820392903721846</v>
      </c>
      <c r="S10" s="782">
        <f t="shared" si="5"/>
        <v>-55.204135654047896</v>
      </c>
      <c r="T10" s="782">
        <f t="shared" si="5"/>
        <v>-55.53536046797219</v>
      </c>
      <c r="U10" s="782">
        <f t="shared" si="5"/>
        <v>-55.813037270312037</v>
      </c>
      <c r="V10" s="782">
        <f t="shared" si="5"/>
        <v>-56.036289419393285</v>
      </c>
      <c r="W10" s="782">
        <f t="shared" si="5"/>
        <v>-56.204398287651451</v>
      </c>
      <c r="X10" s="782">
        <f t="shared" si="5"/>
        <v>-56.31680708422676</v>
      </c>
      <c r="Y10" s="782">
        <f t="shared" si="5"/>
        <v>-56.373123891310982</v>
      </c>
      <c r="Z10" s="782">
        <f t="shared" si="5"/>
        <v>-56.373123891310982</v>
      </c>
      <c r="AA10" s="782">
        <f t="shared" si="5"/>
        <v>-56.373123891310982</v>
      </c>
      <c r="AB10" s="782">
        <f t="shared" si="5"/>
        <v>-56.373123891310982</v>
      </c>
      <c r="AC10" s="782">
        <f t="shared" si="5"/>
        <v>-56.373123891310982</v>
      </c>
      <c r="AD10" s="782">
        <f t="shared" si="5"/>
        <v>-56.373123891310982</v>
      </c>
      <c r="AE10" s="782">
        <f t="shared" si="5"/>
        <v>-56.373123891310982</v>
      </c>
      <c r="AF10" s="1219">
        <f t="shared" si="5"/>
        <v>-56.373123891310982</v>
      </c>
      <c r="AG10" s="1168"/>
      <c r="AH10" s="7"/>
      <c r="AI10" s="7"/>
      <c r="AJ10" s="7"/>
      <c r="AK10" s="11"/>
      <c r="AL10" s="11"/>
      <c r="AM10" s="11"/>
      <c r="AN10" s="11"/>
    </row>
    <row r="11" spans="1:40" ht="15.75" thickBot="1">
      <c r="A11" s="1505"/>
      <c r="B11" s="888" t="s">
        <v>410</v>
      </c>
      <c r="C11" s="934" t="s">
        <v>411</v>
      </c>
      <c r="D11" s="797">
        <f>-D20</f>
        <v>8.5</v>
      </c>
      <c r="E11" s="798">
        <f>-E20</f>
        <v>9.8000000000000007</v>
      </c>
      <c r="F11" s="873">
        <f>-F20</f>
        <v>9.4</v>
      </c>
      <c r="G11" s="871">
        <f>-G6*$C$54</f>
        <v>-10.761064999999999</v>
      </c>
      <c r="H11" s="782">
        <f t="shared" ref="H11:AF11" si="6">-H6*$C$54</f>
        <v>-11.0569942875</v>
      </c>
      <c r="I11" s="782">
        <f t="shared" si="6"/>
        <v>-11.361061630406251</v>
      </c>
      <c r="J11" s="1232">
        <f t="shared" si="6"/>
        <v>-11.673490825242425</v>
      </c>
      <c r="K11" s="1218">
        <f t="shared" si="6"/>
        <v>-11.848593187621061</v>
      </c>
      <c r="L11" s="782">
        <f t="shared" si="6"/>
        <v>-12.014473492247754</v>
      </c>
      <c r="M11" s="782">
        <f t="shared" si="6"/>
        <v>-12.170661647646973</v>
      </c>
      <c r="N11" s="782">
        <f t="shared" si="6"/>
        <v>-12.316709587418737</v>
      </c>
      <c r="O11" s="782">
        <f t="shared" si="6"/>
        <v>-12.452193392880343</v>
      </c>
      <c r="P11" s="782">
        <f t="shared" si="6"/>
        <v>-12.576715326809147</v>
      </c>
      <c r="Q11" s="782">
        <f t="shared" si="6"/>
        <v>-12.689905764750428</v>
      </c>
      <c r="R11" s="782">
        <f t="shared" si="6"/>
        <v>-12.791425010868432</v>
      </c>
      <c r="S11" s="782">
        <f t="shared" si="6"/>
        <v>-12.880964985944509</v>
      </c>
      <c r="T11" s="782">
        <f t="shared" si="6"/>
        <v>-12.958250775860177</v>
      </c>
      <c r="U11" s="782">
        <f t="shared" si="6"/>
        <v>-13.023042029739475</v>
      </c>
      <c r="V11" s="782">
        <f t="shared" si="6"/>
        <v>-13.075134197858432</v>
      </c>
      <c r="W11" s="782">
        <f t="shared" si="6"/>
        <v>-13.114359600452005</v>
      </c>
      <c r="X11" s="782">
        <f t="shared" si="6"/>
        <v>-13.14058831965291</v>
      </c>
      <c r="Y11" s="782">
        <f t="shared" si="6"/>
        <v>-13.153728907972562</v>
      </c>
      <c r="Z11" s="782">
        <f t="shared" si="6"/>
        <v>-13.153728907972562</v>
      </c>
      <c r="AA11" s="782">
        <f t="shared" si="6"/>
        <v>-13.153728907972562</v>
      </c>
      <c r="AB11" s="782">
        <f t="shared" si="6"/>
        <v>-13.153728907972562</v>
      </c>
      <c r="AC11" s="782">
        <f t="shared" si="6"/>
        <v>-13.153728907972562</v>
      </c>
      <c r="AD11" s="782">
        <f t="shared" si="6"/>
        <v>-13.153728907972562</v>
      </c>
      <c r="AE11" s="782">
        <f t="shared" si="6"/>
        <v>-13.153728907972562</v>
      </c>
      <c r="AF11" s="1219">
        <f t="shared" si="6"/>
        <v>-13.153728907972562</v>
      </c>
      <c r="AG11" s="1168"/>
      <c r="AH11" s="7"/>
      <c r="AI11" s="7"/>
      <c r="AJ11" s="7"/>
      <c r="AK11" s="11"/>
      <c r="AL11" s="11"/>
      <c r="AM11" s="11"/>
      <c r="AN11" s="11"/>
    </row>
    <row r="12" spans="1:40" ht="15.75" thickBot="1">
      <c r="A12" s="1505"/>
      <c r="B12" s="888">
        <v>6</v>
      </c>
      <c r="C12" s="886" t="s">
        <v>412</v>
      </c>
      <c r="D12" s="799">
        <f>D8-D9-D10</f>
        <v>477.4</v>
      </c>
      <c r="E12" s="877">
        <f t="shared" ref="E12:AF12" si="7">E8-E9-E10</f>
        <v>1500.3</v>
      </c>
      <c r="F12" s="878">
        <f t="shared" si="7"/>
        <v>1651.3</v>
      </c>
      <c r="G12" s="880">
        <f>G8-G9-G10</f>
        <v>1549.5350894067315</v>
      </c>
      <c r="H12" s="877">
        <f t="shared" si="7"/>
        <v>1575.9138640375277</v>
      </c>
      <c r="I12" s="877">
        <f t="shared" si="7"/>
        <v>1605.2627088378215</v>
      </c>
      <c r="J12" s="1231">
        <f t="shared" si="7"/>
        <v>1637.3529246936539</v>
      </c>
      <c r="K12" s="1216">
        <f t="shared" si="7"/>
        <v>1656.0546154311539</v>
      </c>
      <c r="L12" s="877">
        <f t="shared" si="7"/>
        <v>1680.4859221415729</v>
      </c>
      <c r="M12" s="877">
        <f t="shared" si="7"/>
        <v>1709.778984497985</v>
      </c>
      <c r="N12" s="877">
        <f t="shared" si="7"/>
        <v>1743.1642269799243</v>
      </c>
      <c r="O12" s="877">
        <f t="shared" si="7"/>
        <v>1779.9565895234578</v>
      </c>
      <c r="P12" s="877">
        <f t="shared" si="7"/>
        <v>1819.5437581340736</v>
      </c>
      <c r="Q12" s="877">
        <f t="shared" si="7"/>
        <v>1848.8427135640973</v>
      </c>
      <c r="R12" s="877">
        <f t="shared" si="7"/>
        <v>1868.8904959128274</v>
      </c>
      <c r="S12" s="877">
        <f t="shared" si="7"/>
        <v>1880.5946141355882</v>
      </c>
      <c r="T12" s="877">
        <f t="shared" si="7"/>
        <v>1884.7523628751874</v>
      </c>
      <c r="U12" s="877">
        <f t="shared" si="7"/>
        <v>1882.0673999532935</v>
      </c>
      <c r="V12" s="877">
        <f t="shared" si="7"/>
        <v>1879.6208979926294</v>
      </c>
      <c r="W12" s="877">
        <f t="shared" si="7"/>
        <v>1877.1157370056383</v>
      </c>
      <c r="X12" s="877">
        <f t="shared" si="7"/>
        <v>1874.296759326784</v>
      </c>
      <c r="Y12" s="877">
        <f t="shared" si="7"/>
        <v>1870.9457757260241</v>
      </c>
      <c r="Z12" s="877">
        <f t="shared" si="7"/>
        <v>1866.8772551366665</v>
      </c>
      <c r="AA12" s="877">
        <f t="shared" si="7"/>
        <v>1863.3713029425487</v>
      </c>
      <c r="AB12" s="877">
        <f t="shared" si="7"/>
        <v>1860.3501308684558</v>
      </c>
      <c r="AC12" s="877">
        <f t="shared" si="7"/>
        <v>1857.7467066926808</v>
      </c>
      <c r="AD12" s="877">
        <f t="shared" si="7"/>
        <v>1855.5032669703519</v>
      </c>
      <c r="AE12" s="877">
        <f t="shared" si="7"/>
        <v>1853.5700354076448</v>
      </c>
      <c r="AF12" s="1217">
        <f t="shared" si="7"/>
        <v>1851.9041184508178</v>
      </c>
      <c r="AG12" s="1168"/>
      <c r="AH12" s="7"/>
      <c r="AI12" s="7"/>
      <c r="AJ12" s="7"/>
      <c r="AK12" s="11"/>
      <c r="AL12" s="11"/>
      <c r="AM12" s="11"/>
      <c r="AN12" s="11"/>
    </row>
    <row r="13" spans="1:40" ht="15">
      <c r="A13" s="1505"/>
      <c r="B13" s="889">
        <v>7</v>
      </c>
      <c r="C13" s="934" t="s">
        <v>413</v>
      </c>
      <c r="D13" s="757">
        <f>'Fin. Data'!D14</f>
        <v>-6</v>
      </c>
      <c r="E13" s="751">
        <f>'Fin. Data'!C14</f>
        <v>-1</v>
      </c>
      <c r="F13" s="758">
        <f>'Fin. Data'!B14</f>
        <v>-41</v>
      </c>
      <c r="G13" s="871">
        <f>-(F43*$B$50-F44*$C$56)</f>
        <v>-11.551100000000002</v>
      </c>
      <c r="H13" s="871">
        <f t="shared" ref="H13:AF13" si="8">-(G43*$B$50-G44*$C$56)</f>
        <v>-15.4259733697237</v>
      </c>
      <c r="I13" s="871">
        <f t="shared" si="8"/>
        <v>-20.651207940725573</v>
      </c>
      <c r="J13" s="1233">
        <f t="shared" si="8"/>
        <v>-25.954113912644559</v>
      </c>
      <c r="K13" s="1218">
        <f t="shared" si="8"/>
        <v>-31.532151620535217</v>
      </c>
      <c r="L13" s="871">
        <f t="shared" si="8"/>
        <v>-34.921557351608477</v>
      </c>
      <c r="M13" s="871">
        <f t="shared" si="8"/>
        <v>-37.892768101257779</v>
      </c>
      <c r="N13" s="871">
        <f t="shared" si="8"/>
        <v>-40.914822648735715</v>
      </c>
      <c r="O13" s="871">
        <f t="shared" si="8"/>
        <v>-43.65675156231196</v>
      </c>
      <c r="P13" s="871">
        <f t="shared" si="8"/>
        <v>-47.579247717570397</v>
      </c>
      <c r="Q13" s="871">
        <f t="shared" si="8"/>
        <v>-50.313843083319703</v>
      </c>
      <c r="R13" s="871">
        <f t="shared" si="8"/>
        <v>-53.766602588318733</v>
      </c>
      <c r="S13" s="871">
        <f t="shared" si="8"/>
        <v>-57.874026243447702</v>
      </c>
      <c r="T13" s="871">
        <f t="shared" si="8"/>
        <v>-62.580132622572592</v>
      </c>
      <c r="U13" s="871">
        <f t="shared" si="8"/>
        <v>-67.833704154982513</v>
      </c>
      <c r="V13" s="871">
        <f t="shared" si="8"/>
        <v>-73.59368285302088</v>
      </c>
      <c r="W13" s="871">
        <f t="shared" si="8"/>
        <v>-79.389156016617022</v>
      </c>
      <c r="X13" s="871">
        <f t="shared" si="8"/>
        <v>-85.247083633318894</v>
      </c>
      <c r="Y13" s="871">
        <f t="shared" si="8"/>
        <v>-91.193142012076549</v>
      </c>
      <c r="Z13" s="871">
        <f t="shared" si="8"/>
        <v>-97.335976502417623</v>
      </c>
      <c r="AA13" s="871">
        <f t="shared" si="8"/>
        <v>-103.61535464848654</v>
      </c>
      <c r="AB13" s="871">
        <f t="shared" si="8"/>
        <v>-110.11782837448642</v>
      </c>
      <c r="AC13" s="871">
        <f t="shared" si="8"/>
        <v>-116.86208911151913</v>
      </c>
      <c r="AD13" s="871">
        <f t="shared" si="8"/>
        <v>-123.86698417405424</v>
      </c>
      <c r="AE13" s="871">
        <f t="shared" si="8"/>
        <v>-131.15173331362513</v>
      </c>
      <c r="AF13" s="1220">
        <f t="shared" si="8"/>
        <v>-138.73545968805379</v>
      </c>
      <c r="AG13" s="1168"/>
      <c r="AH13" s="7"/>
      <c r="AI13" s="7"/>
      <c r="AJ13" s="7"/>
      <c r="AK13" s="11"/>
      <c r="AL13" s="11"/>
      <c r="AM13" s="11"/>
      <c r="AN13" s="11"/>
    </row>
    <row r="14" spans="1:40" ht="15.75" thickBot="1">
      <c r="A14" s="1505"/>
      <c r="B14" s="888">
        <v>8</v>
      </c>
      <c r="C14" s="936" t="s">
        <v>414</v>
      </c>
      <c r="D14" s="881">
        <f>'Fin. Data'!D15</f>
        <v>-8</v>
      </c>
      <c r="E14" s="882">
        <f>'Fin. Data'!C15</f>
        <v>-18</v>
      </c>
      <c r="F14" s="883">
        <f>'Fin. Data'!B15</f>
        <v>-37</v>
      </c>
      <c r="G14" s="884">
        <f>AVERAGE(D14:F14)*(1+G5)</f>
        <v>-21.524999999999999</v>
      </c>
      <c r="H14" s="885">
        <f t="shared" ref="H14:AF14" si="9">AVERAGE(E14:G14)*(1+H5)</f>
        <v>-26.209812500000005</v>
      </c>
      <c r="I14" s="885">
        <f t="shared" si="9"/>
        <v>-29.021673281250006</v>
      </c>
      <c r="J14" s="1234">
        <f t="shared" si="9"/>
        <v>-26.289096380078128</v>
      </c>
      <c r="K14" s="1221">
        <f t="shared" si="9"/>
        <v>-27.581130297916022</v>
      </c>
      <c r="L14" s="885">
        <f t="shared" si="9"/>
        <v>-28.017462186224527</v>
      </c>
      <c r="M14" s="885">
        <f t="shared" si="9"/>
        <v>-27.650742939817842</v>
      </c>
      <c r="N14" s="885">
        <f t="shared" si="9"/>
        <v>-28.082775816348633</v>
      </c>
      <c r="O14" s="885">
        <f t="shared" si="9"/>
        <v>-28.224080577585763</v>
      </c>
      <c r="P14" s="885">
        <f t="shared" si="9"/>
        <v>-28.265725109029919</v>
      </c>
      <c r="Q14" s="885">
        <f t="shared" si="9"/>
        <v>-28.444578245496995</v>
      </c>
      <c r="R14" s="885">
        <f t="shared" si="9"/>
        <v>-28.537953001189862</v>
      </c>
      <c r="S14" s="885">
        <f t="shared" si="9"/>
        <v>-28.614998050068927</v>
      </c>
      <c r="T14" s="885">
        <f t="shared" si="9"/>
        <v>-28.703704824178775</v>
      </c>
      <c r="U14" s="885">
        <f t="shared" si="9"/>
        <v>-28.761979718271579</v>
      </c>
      <c r="V14" s="885">
        <f t="shared" si="9"/>
        <v>-28.808335107629787</v>
      </c>
      <c r="W14" s="885">
        <f t="shared" si="9"/>
        <v>-28.844280569676787</v>
      </c>
      <c r="X14" s="885">
        <f t="shared" si="9"/>
        <v>-28.862474862123101</v>
      </c>
      <c r="Y14" s="885">
        <f t="shared" si="9"/>
        <v>-28.867201876656367</v>
      </c>
      <c r="Z14" s="885">
        <f t="shared" si="9"/>
        <v>-28.85798576948542</v>
      </c>
      <c r="AA14" s="885">
        <f t="shared" si="9"/>
        <v>-28.862554169421628</v>
      </c>
      <c r="AB14" s="885">
        <f t="shared" si="9"/>
        <v>-28.862580605187805</v>
      </c>
      <c r="AC14" s="885">
        <f t="shared" si="9"/>
        <v>-28.861040181364952</v>
      </c>
      <c r="AD14" s="885">
        <f t="shared" si="9"/>
        <v>-28.862058318658129</v>
      </c>
      <c r="AE14" s="885">
        <f t="shared" si="9"/>
        <v>-28.861893035070295</v>
      </c>
      <c r="AF14" s="1222">
        <f t="shared" si="9"/>
        <v>-28.861663845031128</v>
      </c>
      <c r="AG14" s="1168"/>
      <c r="AH14" s="7"/>
      <c r="AI14" s="7"/>
      <c r="AJ14" s="7"/>
      <c r="AK14" s="11"/>
      <c r="AL14" s="11"/>
      <c r="AM14" s="11"/>
      <c r="AN14" s="11"/>
    </row>
    <row r="15" spans="1:40" ht="15.75" thickBot="1">
      <c r="A15" s="1505"/>
      <c r="B15" s="888">
        <v>9</v>
      </c>
      <c r="C15" s="886" t="s">
        <v>415</v>
      </c>
      <c r="D15" s="799">
        <f t="shared" ref="D15:AF15" si="10">D8+D13+D14</f>
        <v>38</v>
      </c>
      <c r="E15" s="877">
        <f t="shared" si="10"/>
        <v>1002</v>
      </c>
      <c r="F15" s="878">
        <f t="shared" si="10"/>
        <v>1080</v>
      </c>
      <c r="G15" s="880">
        <f>G8+G13+G14</f>
        <v>1043.0304000000001</v>
      </c>
      <c r="H15" s="877">
        <f>H8+H13+H14</f>
        <v>1064.0636428802763</v>
      </c>
      <c r="I15" s="877">
        <f t="shared" si="10"/>
        <v>1086.4332818186497</v>
      </c>
      <c r="J15" s="1231">
        <f t="shared" si="10"/>
        <v>1115.1058722315199</v>
      </c>
      <c r="K15" s="1216">
        <f t="shared" si="10"/>
        <v>1125.746036843655</v>
      </c>
      <c r="L15" s="877">
        <f t="shared" si="10"/>
        <v>1138.5083296869425</v>
      </c>
      <c r="M15" s="877">
        <f t="shared" si="10"/>
        <v>1151.5226537236219</v>
      </c>
      <c r="N15" s="877">
        <f t="shared" si="10"/>
        <v>1162.6733602767895</v>
      </c>
      <c r="O15" s="877">
        <f t="shared" si="10"/>
        <v>1173.3385071481366</v>
      </c>
      <c r="P15" s="877">
        <f t="shared" si="10"/>
        <v>1181.8265598543146</v>
      </c>
      <c r="Q15" s="877">
        <f t="shared" si="10"/>
        <v>1190.2321551462262</v>
      </c>
      <c r="R15" s="877">
        <f t="shared" si="10"/>
        <v>1196.8379454973344</v>
      </c>
      <c r="S15" s="877">
        <f t="shared" si="10"/>
        <v>1201.6074743009347</v>
      </c>
      <c r="T15" s="877">
        <f t="shared" si="10"/>
        <v>1204.5412401392664</v>
      </c>
      <c r="U15" s="877">
        <f t="shared" si="10"/>
        <v>1205.7085191006936</v>
      </c>
      <c r="V15" s="877">
        <f t="shared" si="10"/>
        <v>1205.1114018251926</v>
      </c>
      <c r="W15" s="877">
        <f t="shared" si="10"/>
        <v>1203.2025234589066</v>
      </c>
      <c r="X15" s="877">
        <f t="shared" si="10"/>
        <v>1199.9492734698492</v>
      </c>
      <c r="Y15" s="877">
        <f t="shared" si="10"/>
        <v>1195.3125469085235</v>
      </c>
      <c r="Z15" s="877">
        <f t="shared" si="10"/>
        <v>1189.1789285253533</v>
      </c>
      <c r="AA15" s="877">
        <f t="shared" si="10"/>
        <v>1182.8949819793481</v>
      </c>
      <c r="AB15" s="877">
        <f t="shared" si="10"/>
        <v>1176.3924818175822</v>
      </c>
      <c r="AC15" s="877">
        <f t="shared" si="10"/>
        <v>1169.6497615043725</v>
      </c>
      <c r="AD15" s="877">
        <f t="shared" si="10"/>
        <v>1162.6438483045438</v>
      </c>
      <c r="AE15" s="877">
        <f t="shared" si="10"/>
        <v>1155.3592644485609</v>
      </c>
      <c r="AF15" s="1217">
        <f t="shared" si="10"/>
        <v>1147.7757672641712</v>
      </c>
      <c r="AG15" s="1168"/>
      <c r="AH15" s="7"/>
      <c r="AI15" s="7"/>
      <c r="AJ15" s="7"/>
      <c r="AK15" s="11"/>
      <c r="AL15" s="11"/>
      <c r="AM15" s="11"/>
      <c r="AN15" s="11"/>
    </row>
    <row r="16" spans="1:40" ht="15.75" thickBot="1">
      <c r="A16" s="1505"/>
      <c r="B16" s="888">
        <v>10</v>
      </c>
      <c r="C16" s="934" t="s">
        <v>416</v>
      </c>
      <c r="D16" s="874">
        <f>'Fin. Data'!D22</f>
        <v>-89</v>
      </c>
      <c r="E16" s="875">
        <f>'Fin. Data'!C22</f>
        <v>-237</v>
      </c>
      <c r="F16" s="876">
        <f>'Fin. Data'!B22</f>
        <v>-273</v>
      </c>
      <c r="G16" s="879">
        <f>-(1*$C$55)*G15</f>
        <v>-245.112144</v>
      </c>
      <c r="H16" s="867">
        <f t="shared" ref="H16:J16" si="11">-(1*$C$55)*H15</f>
        <v>-250.05495607686493</v>
      </c>
      <c r="I16" s="867">
        <f t="shared" si="11"/>
        <v>-255.31182122738267</v>
      </c>
      <c r="J16" s="1235">
        <f t="shared" si="11"/>
        <v>-262.04987997440719</v>
      </c>
      <c r="K16" s="1223">
        <f>-(1*$D$55)*K15</f>
        <v>-258.92158847404068</v>
      </c>
      <c r="L16" s="867">
        <f t="shared" ref="L16:AF16" si="12">-(1*$D$55)*L15</f>
        <v>-261.85691582799677</v>
      </c>
      <c r="M16" s="867">
        <f t="shared" si="12"/>
        <v>-264.85021035643308</v>
      </c>
      <c r="N16" s="867">
        <f t="shared" si="12"/>
        <v>-267.41487286366157</v>
      </c>
      <c r="O16" s="867">
        <f t="shared" si="12"/>
        <v>-269.86785664407142</v>
      </c>
      <c r="P16" s="867">
        <f t="shared" si="12"/>
        <v>-271.82010876649235</v>
      </c>
      <c r="Q16" s="867">
        <f t="shared" si="12"/>
        <v>-273.75339568363205</v>
      </c>
      <c r="R16" s="867">
        <f t="shared" si="12"/>
        <v>-275.27272746438695</v>
      </c>
      <c r="S16" s="867">
        <f t="shared" si="12"/>
        <v>-276.36971908921498</v>
      </c>
      <c r="T16" s="867">
        <f t="shared" si="12"/>
        <v>-277.04448523203126</v>
      </c>
      <c r="U16" s="867">
        <f t="shared" si="12"/>
        <v>-277.31295939315953</v>
      </c>
      <c r="V16" s="867">
        <f t="shared" si="12"/>
        <v>-277.17562241979431</v>
      </c>
      <c r="W16" s="867">
        <f t="shared" si="12"/>
        <v>-276.73658039554851</v>
      </c>
      <c r="X16" s="867">
        <f t="shared" si="12"/>
        <v>-275.98833289806532</v>
      </c>
      <c r="Y16" s="867">
        <f t="shared" si="12"/>
        <v>-274.92188578896042</v>
      </c>
      <c r="Z16" s="867">
        <f t="shared" si="12"/>
        <v>-273.51115356083125</v>
      </c>
      <c r="AA16" s="867">
        <f t="shared" si="12"/>
        <v>-272.06584585525007</v>
      </c>
      <c r="AB16" s="867">
        <f t="shared" si="12"/>
        <v>-270.57027081804392</v>
      </c>
      <c r="AC16" s="867">
        <f t="shared" si="12"/>
        <v>-269.01944514600569</v>
      </c>
      <c r="AD16" s="867">
        <f t="shared" si="12"/>
        <v>-267.40808511004508</v>
      </c>
      <c r="AE16" s="867">
        <f t="shared" si="12"/>
        <v>-265.73263082316902</v>
      </c>
      <c r="AF16" s="1224">
        <f t="shared" si="12"/>
        <v>-263.98842647075941</v>
      </c>
      <c r="AG16" s="1168"/>
      <c r="AH16" s="7"/>
      <c r="AI16" s="7"/>
      <c r="AJ16" s="7"/>
      <c r="AK16" s="11"/>
      <c r="AL16" s="11"/>
      <c r="AM16" s="11"/>
      <c r="AN16" s="11"/>
    </row>
    <row r="17" spans="1:98" ht="15">
      <c r="A17" s="1506"/>
      <c r="B17" s="890">
        <v>11</v>
      </c>
      <c r="C17" s="886" t="s">
        <v>417</v>
      </c>
      <c r="D17" s="799">
        <f>'Fin. Data'!D24</f>
        <v>-51</v>
      </c>
      <c r="E17" s="877">
        <f>'Fin. Data'!C24</f>
        <v>765</v>
      </c>
      <c r="F17" s="878">
        <f>'Fin. Data'!B24</f>
        <v>807</v>
      </c>
      <c r="G17" s="880">
        <f>G16+G15</f>
        <v>797.91825600000016</v>
      </c>
      <c r="H17" s="877">
        <f t="shared" ref="H17:AF17" si="13">H16+H15</f>
        <v>814.00868680341136</v>
      </c>
      <c r="I17" s="877">
        <f t="shared" si="13"/>
        <v>831.12146059126701</v>
      </c>
      <c r="J17" s="1231">
        <f t="shared" si="13"/>
        <v>853.05599225711273</v>
      </c>
      <c r="K17" s="1225">
        <f t="shared" si="13"/>
        <v>866.8244483696144</v>
      </c>
      <c r="L17" s="1226">
        <f t="shared" si="13"/>
        <v>876.65141385894572</v>
      </c>
      <c r="M17" s="1226">
        <f t="shared" si="13"/>
        <v>886.67244336718886</v>
      </c>
      <c r="N17" s="1226">
        <f t="shared" si="13"/>
        <v>895.25848741312791</v>
      </c>
      <c r="O17" s="1226">
        <f t="shared" si="13"/>
        <v>903.47065050406513</v>
      </c>
      <c r="P17" s="1226">
        <f t="shared" si="13"/>
        <v>910.00645108782226</v>
      </c>
      <c r="Q17" s="1226">
        <f t="shared" si="13"/>
        <v>916.4787594625941</v>
      </c>
      <c r="R17" s="1226">
        <f t="shared" si="13"/>
        <v>921.56521803294754</v>
      </c>
      <c r="S17" s="1226">
        <f t="shared" si="13"/>
        <v>925.23775521171967</v>
      </c>
      <c r="T17" s="1226">
        <f t="shared" si="13"/>
        <v>927.49675490723507</v>
      </c>
      <c r="U17" s="1226">
        <f t="shared" si="13"/>
        <v>928.39555970753406</v>
      </c>
      <c r="V17" s="1226">
        <f t="shared" si="13"/>
        <v>927.93577940539831</v>
      </c>
      <c r="W17" s="1226">
        <f t="shared" si="13"/>
        <v>926.46594306335805</v>
      </c>
      <c r="X17" s="1226">
        <f t="shared" si="13"/>
        <v>923.96094057178391</v>
      </c>
      <c r="Y17" s="1226">
        <f t="shared" si="13"/>
        <v>920.39066111956299</v>
      </c>
      <c r="Z17" s="1226">
        <f t="shared" si="13"/>
        <v>915.6677749645221</v>
      </c>
      <c r="AA17" s="1226">
        <f t="shared" si="13"/>
        <v>910.82913612409811</v>
      </c>
      <c r="AB17" s="1226">
        <f t="shared" si="13"/>
        <v>905.82221099953824</v>
      </c>
      <c r="AC17" s="1226">
        <f t="shared" si="13"/>
        <v>900.63031635836683</v>
      </c>
      <c r="AD17" s="1226">
        <f t="shared" si="13"/>
        <v>895.23576319449876</v>
      </c>
      <c r="AE17" s="1226">
        <f t="shared" si="13"/>
        <v>889.62663362539183</v>
      </c>
      <c r="AF17" s="1227">
        <f t="shared" si="13"/>
        <v>883.78734079341189</v>
      </c>
      <c r="AG17" s="1168"/>
      <c r="AH17" s="7"/>
      <c r="AI17" s="7"/>
      <c r="AJ17" s="7"/>
      <c r="AK17" s="11"/>
      <c r="AL17" s="11"/>
      <c r="AM17" s="11"/>
      <c r="AN17" s="11"/>
    </row>
    <row r="18" spans="1:98" ht="15.75" thickBot="1">
      <c r="A18" s="800"/>
      <c r="B18" s="801"/>
      <c r="C18" s="500" t="s">
        <v>418</v>
      </c>
      <c r="D18" s="802" t="s">
        <v>418</v>
      </c>
      <c r="E18" s="802" t="s">
        <v>418</v>
      </c>
      <c r="F18" s="802" t="s">
        <v>418</v>
      </c>
      <c r="G18" s="500" t="s">
        <v>418</v>
      </c>
      <c r="H18" s="500" t="s">
        <v>418</v>
      </c>
      <c r="I18" s="500" t="s">
        <v>418</v>
      </c>
      <c r="J18" s="500" t="s">
        <v>418</v>
      </c>
      <c r="K18" s="500" t="s">
        <v>418</v>
      </c>
      <c r="L18" s="500" t="s">
        <v>418</v>
      </c>
      <c r="M18" s="500" t="s">
        <v>418</v>
      </c>
      <c r="N18" s="500" t="s">
        <v>418</v>
      </c>
      <c r="O18" s="500" t="s">
        <v>418</v>
      </c>
      <c r="P18" s="500" t="s">
        <v>418</v>
      </c>
      <c r="Q18" s="500" t="s">
        <v>418</v>
      </c>
      <c r="R18" s="500" t="s">
        <v>418</v>
      </c>
      <c r="S18" s="500" t="s">
        <v>418</v>
      </c>
      <c r="T18" s="500" t="s">
        <v>418</v>
      </c>
      <c r="U18" s="500" t="s">
        <v>418</v>
      </c>
      <c r="V18" s="500" t="s">
        <v>418</v>
      </c>
      <c r="W18" s="500" t="s">
        <v>418</v>
      </c>
      <c r="X18" s="500" t="s">
        <v>418</v>
      </c>
      <c r="Y18" s="500" t="s">
        <v>418</v>
      </c>
      <c r="Z18" s="500" t="s">
        <v>418</v>
      </c>
      <c r="AA18" s="500" t="s">
        <v>418</v>
      </c>
      <c r="AB18" s="500" t="s">
        <v>418</v>
      </c>
      <c r="AC18" s="500" t="s">
        <v>418</v>
      </c>
      <c r="AD18" s="500" t="s">
        <v>418</v>
      </c>
      <c r="AE18" s="500" t="s">
        <v>418</v>
      </c>
      <c r="AF18" s="252" t="s">
        <v>418</v>
      </c>
      <c r="AG18" s="1168"/>
      <c r="AH18" s="7"/>
      <c r="AI18" s="7"/>
      <c r="AJ18" s="7"/>
      <c r="AK18" s="11"/>
      <c r="AL18" s="11"/>
      <c r="AM18" s="11"/>
      <c r="AN18" s="11"/>
    </row>
    <row r="19" spans="1:98" ht="15">
      <c r="A19" s="1507" t="s">
        <v>419</v>
      </c>
      <c r="B19" s="769">
        <v>12</v>
      </c>
      <c r="C19" s="937" t="s">
        <v>420</v>
      </c>
      <c r="D19" s="803">
        <f>D17-SUM(D9:D11)</f>
        <v>365.9</v>
      </c>
      <c r="E19" s="804">
        <f t="shared" ref="E19:F19" si="14">E17-SUM(E9:E11)</f>
        <v>1234.5</v>
      </c>
      <c r="F19" s="957">
        <f t="shared" si="14"/>
        <v>1290.9000000000001</v>
      </c>
      <c r="G19" s="945">
        <f>G17-G9-G10-G11</f>
        <v>1282.1079104067314</v>
      </c>
      <c r="H19" s="946">
        <f t="shared" ref="H19:AF19" si="15">H17-H9-H10-H11</f>
        <v>1295.2801163784388</v>
      </c>
      <c r="I19" s="946">
        <f t="shared" si="15"/>
        <v>1311.6390680188695</v>
      </c>
      <c r="J19" s="947">
        <f t="shared" si="15"/>
        <v>1334.7333252517665</v>
      </c>
      <c r="K19" s="771">
        <f t="shared" si="15"/>
        <v>1349.8683382262834</v>
      </c>
      <c r="L19" s="771">
        <f t="shared" si="15"/>
        <v>1367.704460267991</v>
      </c>
      <c r="M19" s="771">
        <f t="shared" si="15"/>
        <v>1391.5559247481233</v>
      </c>
      <c r="N19" s="771">
        <f t="shared" si="15"/>
        <v>1419.0684652385971</v>
      </c>
      <c r="O19" s="771">
        <f t="shared" si="15"/>
        <v>1450.6600941323691</v>
      </c>
      <c r="P19" s="771">
        <f t="shared" si="15"/>
        <v>1484.45539186779</v>
      </c>
      <c r="Q19" s="771">
        <f t="shared" si="15"/>
        <v>1509.0208023163989</v>
      </c>
      <c r="R19" s="771">
        <f t="shared" si="15"/>
        <v>1524.1046378698002</v>
      </c>
      <c r="S19" s="771">
        <f t="shared" si="15"/>
        <v>1530.6168357388012</v>
      </c>
      <c r="T19" s="771">
        <f t="shared" si="15"/>
        <v>1529.3822909722649</v>
      </c>
      <c r="U19" s="771">
        <f t="shared" si="15"/>
        <v>1521.1817987166191</v>
      </c>
      <c r="V19" s="771">
        <f t="shared" si="15"/>
        <v>1513.118391810043</v>
      </c>
      <c r="W19" s="771">
        <f t="shared" si="15"/>
        <v>1505.2600796242477</v>
      </c>
      <c r="X19" s="771">
        <f t="shared" si="15"/>
        <v>1497.3394562529295</v>
      </c>
      <c r="Y19" s="771">
        <f t="shared" si="15"/>
        <v>1489.1172749563034</v>
      </c>
      <c r="Z19" s="771">
        <f t="shared" si="15"/>
        <v>1480.3258682119049</v>
      </c>
      <c r="AA19" s="771">
        <f t="shared" si="15"/>
        <v>1471.9812771773632</v>
      </c>
      <c r="AB19" s="771">
        <f t="shared" si="15"/>
        <v>1463.9531799787105</v>
      </c>
      <c r="AC19" s="771">
        <f t="shared" si="15"/>
        <v>1456.157861161764</v>
      </c>
      <c r="AD19" s="771">
        <f t="shared" si="15"/>
        <v>1448.519868275567</v>
      </c>
      <c r="AE19" s="771">
        <f t="shared" si="15"/>
        <v>1440.977507143753</v>
      </c>
      <c r="AF19" s="771">
        <f t="shared" si="15"/>
        <v>1433.472297354946</v>
      </c>
      <c r="AG19" s="1168"/>
      <c r="AH19" s="7"/>
      <c r="AI19" s="7"/>
      <c r="AJ19" s="7"/>
      <c r="AK19" s="11"/>
      <c r="AL19" s="11"/>
      <c r="AM19" s="11"/>
      <c r="AN19" s="11"/>
    </row>
    <row r="20" spans="1:98" ht="15">
      <c r="A20" s="1508"/>
      <c r="B20" s="770">
        <v>13</v>
      </c>
      <c r="C20" s="938" t="s">
        <v>421</v>
      </c>
      <c r="D20" s="805">
        <f>-Assumptions!E9</f>
        <v>-8.5</v>
      </c>
      <c r="E20" s="806">
        <f>-Assumptions!D9</f>
        <v>-9.8000000000000007</v>
      </c>
      <c r="F20" s="958">
        <f>-Assumptions!C9</f>
        <v>-9.4</v>
      </c>
      <c r="G20" s="541">
        <f>G11</f>
        <v>-10.761064999999999</v>
      </c>
      <c r="H20" s="540">
        <f t="shared" ref="H20:AF20" si="16">H11</f>
        <v>-11.0569942875</v>
      </c>
      <c r="I20" s="540">
        <f t="shared" si="16"/>
        <v>-11.361061630406251</v>
      </c>
      <c r="J20" s="544">
        <f t="shared" si="16"/>
        <v>-11.673490825242425</v>
      </c>
      <c r="K20" s="768">
        <f t="shared" si="16"/>
        <v>-11.848593187621061</v>
      </c>
      <c r="L20" s="540">
        <f t="shared" si="16"/>
        <v>-12.014473492247754</v>
      </c>
      <c r="M20" s="540">
        <f t="shared" si="16"/>
        <v>-12.170661647646973</v>
      </c>
      <c r="N20" s="540">
        <f t="shared" si="16"/>
        <v>-12.316709587418737</v>
      </c>
      <c r="O20" s="540">
        <f t="shared" si="16"/>
        <v>-12.452193392880343</v>
      </c>
      <c r="P20" s="540">
        <f t="shared" si="16"/>
        <v>-12.576715326809147</v>
      </c>
      <c r="Q20" s="540">
        <f t="shared" si="16"/>
        <v>-12.689905764750428</v>
      </c>
      <c r="R20" s="540">
        <f t="shared" si="16"/>
        <v>-12.791425010868432</v>
      </c>
      <c r="S20" s="540">
        <f t="shared" si="16"/>
        <v>-12.880964985944509</v>
      </c>
      <c r="T20" s="540">
        <f t="shared" si="16"/>
        <v>-12.958250775860177</v>
      </c>
      <c r="U20" s="540">
        <f t="shared" si="16"/>
        <v>-13.023042029739475</v>
      </c>
      <c r="V20" s="540">
        <f t="shared" si="16"/>
        <v>-13.075134197858432</v>
      </c>
      <c r="W20" s="540">
        <f t="shared" si="16"/>
        <v>-13.114359600452005</v>
      </c>
      <c r="X20" s="540">
        <f t="shared" si="16"/>
        <v>-13.14058831965291</v>
      </c>
      <c r="Y20" s="540">
        <f t="shared" si="16"/>
        <v>-13.153728907972562</v>
      </c>
      <c r="Z20" s="540">
        <f t="shared" si="16"/>
        <v>-13.153728907972562</v>
      </c>
      <c r="AA20" s="540">
        <f t="shared" si="16"/>
        <v>-13.153728907972562</v>
      </c>
      <c r="AB20" s="540">
        <f t="shared" si="16"/>
        <v>-13.153728907972562</v>
      </c>
      <c r="AC20" s="540">
        <f t="shared" si="16"/>
        <v>-13.153728907972562</v>
      </c>
      <c r="AD20" s="540">
        <f t="shared" si="16"/>
        <v>-13.153728907972562</v>
      </c>
      <c r="AE20" s="540">
        <f t="shared" si="16"/>
        <v>-13.153728907972562</v>
      </c>
      <c r="AF20" s="772">
        <f t="shared" si="16"/>
        <v>-13.153728907972562</v>
      </c>
      <c r="AG20" s="1168"/>
      <c r="AH20" s="7"/>
      <c r="AI20" s="7"/>
      <c r="AJ20" s="7"/>
      <c r="AK20" s="11"/>
      <c r="AL20" s="11"/>
      <c r="AM20" s="11"/>
      <c r="AN20" s="11"/>
    </row>
    <row r="21" spans="1:98" ht="15.75" thickBot="1">
      <c r="A21" s="1508"/>
      <c r="B21" s="770">
        <v>14</v>
      </c>
      <c r="C21" s="939" t="s">
        <v>422</v>
      </c>
      <c r="D21" s="807">
        <f>Inputs!D62</f>
        <v>504</v>
      </c>
      <c r="E21" s="808">
        <f>Inputs!C62</f>
        <v>41</v>
      </c>
      <c r="F21" s="959">
        <f>Inputs!B62</f>
        <v>-568</v>
      </c>
      <c r="G21" s="776">
        <f>Assumptions!C164</f>
        <v>131.23249999999962</v>
      </c>
      <c r="H21" s="775">
        <f>Assumptions!D164</f>
        <v>147.96464375000059</v>
      </c>
      <c r="I21" s="775">
        <f>Assumptions!E164</f>
        <v>152.03367145312521</v>
      </c>
      <c r="J21" s="948">
        <f>Assumptions!F164</f>
        <v>156.21459741808675</v>
      </c>
      <c r="K21" s="774">
        <f>Assumptions!G164</f>
        <v>87.551181189318044</v>
      </c>
      <c r="L21" s="775">
        <f>Assumptions!H164</f>
        <v>82.940152313347056</v>
      </c>
      <c r="M21" s="775">
        <f>Assumptions!I164</f>
        <v>78.094077699609798</v>
      </c>
      <c r="N21" s="775">
        <f>Assumptions!J164</f>
        <v>73.023969885881513</v>
      </c>
      <c r="O21" s="775">
        <f>Assumptions!K164</f>
        <v>67.741902730802394</v>
      </c>
      <c r="P21" s="775">
        <f>Assumptions!L164</f>
        <v>62.260966964402357</v>
      </c>
      <c r="Q21" s="775">
        <f>Assumptions!M164</f>
        <v>56.59521897064041</v>
      </c>
      <c r="R21" s="775">
        <f>Assumptions!N164</f>
        <v>50.759623059001747</v>
      </c>
      <c r="S21" s="775">
        <f>Assumptions!O164</f>
        <v>44.769987538038912</v>
      </c>
      <c r="T21" s="775">
        <f>Assumptions!P164</f>
        <v>38.64289495783396</v>
      </c>
      <c r="U21" s="775">
        <f>Assumptions!Q164</f>
        <v>32.395626939649262</v>
      </c>
      <c r="V21" s="775">
        <f>Assumptions!R164</f>
        <v>26.046084059478378</v>
      </c>
      <c r="W21" s="775">
        <f>Assumptions!S164</f>
        <v>19.612701296786327</v>
      </c>
      <c r="X21" s="775">
        <f>Assumptions!T164</f>
        <v>13.114359600452371</v>
      </c>
      <c r="Y21" s="775">
        <f>Assumptions!U164</f>
        <v>6.5702941598263349</v>
      </c>
      <c r="Z21" s="775">
        <f>Assumptions!V164</f>
        <v>0</v>
      </c>
      <c r="AA21" s="775">
        <f>Assumptions!W164</f>
        <v>0</v>
      </c>
      <c r="AB21" s="775">
        <f>Assumptions!X164</f>
        <v>0</v>
      </c>
      <c r="AC21" s="775">
        <f>Assumptions!Y164</f>
        <v>0</v>
      </c>
      <c r="AD21" s="775">
        <f>Assumptions!Z164</f>
        <v>0</v>
      </c>
      <c r="AE21" s="775">
        <f>Assumptions!AA164</f>
        <v>0</v>
      </c>
      <c r="AF21" s="777">
        <f>Assumptions!AB164</f>
        <v>0</v>
      </c>
      <c r="AG21" s="1169"/>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row>
    <row r="22" spans="1:98" ht="15.75" thickBot="1">
      <c r="A22" s="1508"/>
      <c r="B22" s="770">
        <v>15</v>
      </c>
      <c r="C22" s="940" t="s">
        <v>423</v>
      </c>
      <c r="D22" s="809">
        <f t="shared" ref="D22:AF22" si="17">D19+D20+D21</f>
        <v>861.4</v>
      </c>
      <c r="E22" s="810">
        <f t="shared" si="17"/>
        <v>1265.7</v>
      </c>
      <c r="F22" s="960">
        <f t="shared" si="17"/>
        <v>713.5</v>
      </c>
      <c r="G22" s="813">
        <f>G19+G20+G21</f>
        <v>1402.5793454067311</v>
      </c>
      <c r="H22" s="812">
        <f>H19+H20+H21</f>
        <v>1432.1877658409394</v>
      </c>
      <c r="I22" s="812">
        <f t="shared" si="17"/>
        <v>1452.3116778415883</v>
      </c>
      <c r="J22" s="949">
        <f t="shared" si="17"/>
        <v>1479.2744318446107</v>
      </c>
      <c r="K22" s="811">
        <f t="shared" si="17"/>
        <v>1425.5709262279804</v>
      </c>
      <c r="L22" s="812">
        <f t="shared" si="17"/>
        <v>1438.6301390890901</v>
      </c>
      <c r="M22" s="812">
        <f t="shared" si="17"/>
        <v>1457.4793408000862</v>
      </c>
      <c r="N22" s="812">
        <f t="shared" si="17"/>
        <v>1479.77572553706</v>
      </c>
      <c r="O22" s="812">
        <f t="shared" si="17"/>
        <v>1505.949803470291</v>
      </c>
      <c r="P22" s="812">
        <f t="shared" si="17"/>
        <v>1534.1396435053832</v>
      </c>
      <c r="Q22" s="812">
        <f t="shared" si="17"/>
        <v>1552.9261155222889</v>
      </c>
      <c r="R22" s="812">
        <f t="shared" si="17"/>
        <v>1562.0728359179336</v>
      </c>
      <c r="S22" s="812">
        <f t="shared" si="17"/>
        <v>1562.5058582908957</v>
      </c>
      <c r="T22" s="812">
        <f t="shared" si="17"/>
        <v>1555.0669351542385</v>
      </c>
      <c r="U22" s="812">
        <f t="shared" si="17"/>
        <v>1540.554383626529</v>
      </c>
      <c r="V22" s="812">
        <f t="shared" si="17"/>
        <v>1526.0893416716629</v>
      </c>
      <c r="W22" s="812">
        <f t="shared" si="17"/>
        <v>1511.7584213205821</v>
      </c>
      <c r="X22" s="812">
        <f t="shared" si="17"/>
        <v>1497.3132275337291</v>
      </c>
      <c r="Y22" s="812">
        <f t="shared" si="17"/>
        <v>1482.533840208157</v>
      </c>
      <c r="Z22" s="812">
        <f t="shared" si="17"/>
        <v>1467.1721393039322</v>
      </c>
      <c r="AA22" s="812">
        <f t="shared" si="17"/>
        <v>1458.8275482693905</v>
      </c>
      <c r="AB22" s="812">
        <f t="shared" si="17"/>
        <v>1450.7994510707379</v>
      </c>
      <c r="AC22" s="812">
        <f t="shared" si="17"/>
        <v>1443.0041322537913</v>
      </c>
      <c r="AD22" s="812">
        <f t="shared" si="17"/>
        <v>1435.3661393675943</v>
      </c>
      <c r="AE22" s="812">
        <f t="shared" si="17"/>
        <v>1427.8237782357803</v>
      </c>
      <c r="AF22" s="814">
        <f t="shared" si="17"/>
        <v>1420.3185684469734</v>
      </c>
      <c r="AG22" s="1169"/>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row>
    <row r="23" spans="1:98" ht="15">
      <c r="A23" s="1508"/>
      <c r="B23" s="770">
        <v>16</v>
      </c>
      <c r="C23" s="938" t="s">
        <v>424</v>
      </c>
      <c r="D23" s="815">
        <f>'Fin. Data'!D33</f>
        <v>-208</v>
      </c>
      <c r="E23" s="816">
        <f>'Fin. Data'!C33</f>
        <v>-251</v>
      </c>
      <c r="F23" s="961">
        <f>'Fin. Data'!B33</f>
        <v>-339</v>
      </c>
      <c r="G23" s="950">
        <f>-Assumptions!C177</f>
        <v>-384.32375000000002</v>
      </c>
      <c r="H23" s="817">
        <f>-Assumptions!D177</f>
        <v>-394.89265312500004</v>
      </c>
      <c r="I23" s="817">
        <f>-Assumptions!E177</f>
        <v>-405.75220108593754</v>
      </c>
      <c r="J23" s="951">
        <f>-Assumptions!F177</f>
        <v>-416.91038661580092</v>
      </c>
      <c r="K23" s="817">
        <f>-Assumptions!G177</f>
        <v>-423.1640424150379</v>
      </c>
      <c r="L23" s="817">
        <f>-Assumptions!H177</f>
        <v>-471.99717290973319</v>
      </c>
      <c r="M23" s="817">
        <f>-Assumptions!I177</f>
        <v>-521.59978489915602</v>
      </c>
      <c r="N23" s="817">
        <f>-Assumptions!J177</f>
        <v>-571.84723084444136</v>
      </c>
      <c r="O23" s="817">
        <f>-Assumptions!K177</f>
        <v>-622.60966964401712</v>
      </c>
      <c r="P23" s="817">
        <f>-Assumptions!L177</f>
        <v>-673.75260679334713</v>
      </c>
      <c r="Q23" s="817">
        <f>-Assumptions!M177</f>
        <v>-634.49528823752144</v>
      </c>
      <c r="R23" s="817">
        <f>-Assumptions!N177</f>
        <v>-593.88758979032002</v>
      </c>
      <c r="S23" s="817">
        <f>-Assumptions!O177</f>
        <v>-552.04135654047889</v>
      </c>
      <c r="T23" s="817">
        <f>-Assumptions!P177</f>
        <v>-509.0741376230784</v>
      </c>
      <c r="U23" s="817">
        <f>-Assumptions!Q177</f>
        <v>-465.10864391926702</v>
      </c>
      <c r="V23" s="817">
        <f>-Assumptions!R177</f>
        <v>-466.96907849494403</v>
      </c>
      <c r="W23" s="817">
        <f>-Assumptions!S177</f>
        <v>-468.36998573042877</v>
      </c>
      <c r="X23" s="817">
        <f>-Assumptions!T177</f>
        <v>-469.30672570188966</v>
      </c>
      <c r="Y23" s="817">
        <f>-Assumptions!U177</f>
        <v>-469.77603242759153</v>
      </c>
      <c r="Z23" s="817">
        <f>-Assumptions!V177</f>
        <v>-469.77603242759153</v>
      </c>
      <c r="AA23" s="817">
        <f>-Assumptions!W177</f>
        <v>-469.77603242759153</v>
      </c>
      <c r="AB23" s="817">
        <f>-Assumptions!X177</f>
        <v>-469.77603242759153</v>
      </c>
      <c r="AC23" s="817">
        <f>-Assumptions!Y177</f>
        <v>-469.77603242759153</v>
      </c>
      <c r="AD23" s="817">
        <f>-Assumptions!Z177</f>
        <v>-469.77603242759153</v>
      </c>
      <c r="AE23" s="817">
        <f>-Assumptions!AA177</f>
        <v>-469.77603242759153</v>
      </c>
      <c r="AF23" s="817">
        <f>-Assumptions!AB177</f>
        <v>-469.77603242759153</v>
      </c>
      <c r="AG23" s="1170"/>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row>
    <row r="24" spans="1:98" ht="15">
      <c r="A24" s="1508"/>
      <c r="B24" s="773">
        <v>17</v>
      </c>
      <c r="C24" s="938" t="s">
        <v>425</v>
      </c>
      <c r="D24" s="818">
        <f>Inputs!D66</f>
        <v>-177</v>
      </c>
      <c r="E24" s="819">
        <f>'Fin. Data'!C34</f>
        <v>-579</v>
      </c>
      <c r="F24" s="962">
        <f>'Fin. Data'!B34</f>
        <v>-1715</v>
      </c>
      <c r="G24" s="541">
        <f>-Assumptions!C194</f>
        <v>-279.7</v>
      </c>
      <c r="H24" s="540">
        <f>-Assumptions!D194</f>
        <v>-288.09100000000001</v>
      </c>
      <c r="I24" s="540">
        <f>-Assumptions!E194</f>
        <v>-296.73373000000004</v>
      </c>
      <c r="J24" s="544">
        <f>-Assumptions!F194</f>
        <v>-305.63574190000003</v>
      </c>
      <c r="K24" s="768">
        <f>-Assumptions!G194</f>
        <v>-311.74845673800002</v>
      </c>
      <c r="L24" s="540">
        <f>-Assumptions!H194</f>
        <v>-317.98342587275999</v>
      </c>
      <c r="M24" s="540">
        <f>-Assumptions!I194</f>
        <v>-324.34309439021519</v>
      </c>
      <c r="N24" s="540">
        <f>-Assumptions!J194</f>
        <v>-330.82995627801949</v>
      </c>
      <c r="O24" s="540">
        <f>-Assumptions!K194</f>
        <v>-337.44655540357991</v>
      </c>
      <c r="P24" s="540">
        <f>-Assumptions!L194</f>
        <v>-344.1954865116515</v>
      </c>
      <c r="Q24" s="540">
        <f>-Assumptions!M194</f>
        <v>-351.07939624188452</v>
      </c>
      <c r="R24" s="540">
        <f>-Assumptions!N194</f>
        <v>-358.10098416672224</v>
      </c>
      <c r="S24" s="540">
        <f>-Assumptions!O194</f>
        <v>-365.26300385005669</v>
      </c>
      <c r="T24" s="540">
        <f>-Assumptions!P194</f>
        <v>-372.56826392705784</v>
      </c>
      <c r="U24" s="540">
        <f>-Assumptions!Q194</f>
        <v>-380.01962920559902</v>
      </c>
      <c r="V24" s="540">
        <f>-Assumptions!R194</f>
        <v>-387.62002178971102</v>
      </c>
      <c r="W24" s="540">
        <f>-Assumptions!S194</f>
        <v>-395.37242222550526</v>
      </c>
      <c r="X24" s="540">
        <f>-Assumptions!T194</f>
        <v>-403.27987067001538</v>
      </c>
      <c r="Y24" s="540">
        <f>-Assumptions!U194</f>
        <v>-403.27987067001538</v>
      </c>
      <c r="Z24" s="540">
        <f>-Assumptions!V194</f>
        <v>-411.34546808341571</v>
      </c>
      <c r="AA24" s="540">
        <f>-Assumptions!W194</f>
        <v>-419.57237744508404</v>
      </c>
      <c r="AB24" s="540">
        <f>-Assumptions!X194</f>
        <v>-427.96382499398572</v>
      </c>
      <c r="AC24" s="540">
        <f>-Assumptions!Y194</f>
        <v>-436.52310149386545</v>
      </c>
      <c r="AD24" s="540">
        <f>-Assumptions!Z194</f>
        <v>-445.2535635237428</v>
      </c>
      <c r="AE24" s="540">
        <f>-Assumptions!AA194</f>
        <v>-454.15863479421768</v>
      </c>
      <c r="AF24" s="772">
        <f>-Assumptions!AB194</f>
        <v>-463.24180749010202</v>
      </c>
      <c r="AG24" s="1169"/>
      <c r="AH24" s="915"/>
      <c r="AI24" s="11"/>
      <c r="AJ24" s="132"/>
      <c r="AK24" s="132"/>
      <c r="AL24" s="132"/>
      <c r="AM24" s="132"/>
      <c r="AN24" s="132"/>
      <c r="AO24" s="132"/>
      <c r="AP24" s="132"/>
      <c r="AQ24" s="132"/>
      <c r="AR24" s="132"/>
      <c r="AS24" s="132"/>
      <c r="AT24" s="132"/>
      <c r="AU24" s="132"/>
      <c r="AV24" s="132"/>
      <c r="AW24" s="132"/>
      <c r="AX24" s="132"/>
      <c r="AY24" s="132"/>
      <c r="AZ24" s="132"/>
      <c r="BA24" s="132"/>
      <c r="BB24" s="132"/>
      <c r="BC24" s="132"/>
      <c r="BD24" s="132"/>
      <c r="BE24" s="132"/>
      <c r="BF24" s="132"/>
      <c r="BG24" s="132"/>
      <c r="BH24" s="132"/>
      <c r="BI24" s="132"/>
      <c r="BJ24" s="132"/>
      <c r="BK24" s="132"/>
      <c r="BL24" s="132"/>
      <c r="BM24" s="132"/>
      <c r="BN24" s="132"/>
      <c r="BO24" s="132"/>
      <c r="BP24" s="132"/>
      <c r="BQ24" s="132"/>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row>
    <row r="25" spans="1:98">
      <c r="A25" s="1508"/>
      <c r="B25" s="770">
        <v>18</v>
      </c>
      <c r="C25" s="939" t="s">
        <v>426</v>
      </c>
      <c r="D25" s="807">
        <f>Inputs!D67</f>
        <v>259</v>
      </c>
      <c r="E25" s="808">
        <f>Inputs!C67</f>
        <v>103</v>
      </c>
      <c r="F25" s="959">
        <f>Inputs!B67</f>
        <v>1940</v>
      </c>
      <c r="G25" s="822">
        <f>(1+G5)*AVERAGE(D25:E25,176)</f>
        <v>183.81666666666666</v>
      </c>
      <c r="H25" s="821">
        <f>(1+H5)*AVERAGE(D25:E25,G25)</f>
        <v>186.94220833333333</v>
      </c>
      <c r="I25" s="821">
        <f>(1+I5)*AVERAGE(G25:H25,E25)</f>
        <v>162.26241468750001</v>
      </c>
      <c r="J25" s="952">
        <f>(1+J5)*AVERAGE(G25:I25)</f>
        <v>182.55979171796878</v>
      </c>
      <c r="K25" s="820">
        <f t="shared" ref="K25:AF25" si="18">(1+K5)*AVERAGE(H25:J25)</f>
        <v>179.913626986628</v>
      </c>
      <c r="L25" s="821">
        <f t="shared" si="18"/>
        <v>177.3607116865287</v>
      </c>
      <c r="M25" s="821">
        <f t="shared" si="18"/>
        <v>182.28399136207</v>
      </c>
      <c r="N25" s="821">
        <f t="shared" si="18"/>
        <v>182.01100999854981</v>
      </c>
      <c r="O25" s="821">
        <f t="shared" si="18"/>
        <v>182.53797529688904</v>
      </c>
      <c r="P25" s="821">
        <f t="shared" si="18"/>
        <v>184.10043547469468</v>
      </c>
      <c r="Q25" s="821">
        <f t="shared" si="18"/>
        <v>184.52908851902154</v>
      </c>
      <c r="R25" s="821">
        <f t="shared" si="18"/>
        <v>185.19227976164339</v>
      </c>
      <c r="S25" s="821">
        <f t="shared" si="18"/>
        <v>185.89951879388235</v>
      </c>
      <c r="T25" s="821">
        <f t="shared" si="18"/>
        <v>186.31820413233152</v>
      </c>
      <c r="U25" s="821">
        <f t="shared" si="18"/>
        <v>186.73235090043215</v>
      </c>
      <c r="V25" s="821">
        <f t="shared" si="18"/>
        <v>187.06195804065089</v>
      </c>
      <c r="W25" s="821">
        <f t="shared" si="18"/>
        <v>187.26428353754491</v>
      </c>
      <c r="X25" s="821">
        <f t="shared" si="18"/>
        <v>187.39356988786173</v>
      </c>
      <c r="Y25" s="821">
        <f t="shared" si="18"/>
        <v>187.42717709250786</v>
      </c>
      <c r="Z25" s="821">
        <f t="shared" si="18"/>
        <v>187.36167683930481</v>
      </c>
      <c r="AA25" s="821">
        <f t="shared" si="18"/>
        <v>187.39414127322479</v>
      </c>
      <c r="AB25" s="821">
        <f t="shared" si="18"/>
        <v>187.39433173501251</v>
      </c>
      <c r="AC25" s="821">
        <f t="shared" si="18"/>
        <v>187.38338328251405</v>
      </c>
      <c r="AD25" s="821">
        <f t="shared" si="18"/>
        <v>187.39061876358377</v>
      </c>
      <c r="AE25" s="821">
        <f t="shared" si="18"/>
        <v>187.38944459370347</v>
      </c>
      <c r="AF25" s="823">
        <f t="shared" si="18"/>
        <v>187.38781554660045</v>
      </c>
      <c r="AG25" s="117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row>
    <row r="26" spans="1:98" ht="15.75" thickBot="1">
      <c r="A26" s="1508"/>
      <c r="B26" s="770">
        <v>19</v>
      </c>
      <c r="C26" s="940" t="s">
        <v>427</v>
      </c>
      <c r="D26" s="809">
        <f t="shared" ref="D26:AE26" si="19">D23+D24+D25</f>
        <v>-126</v>
      </c>
      <c r="E26" s="810">
        <f t="shared" si="19"/>
        <v>-727</v>
      </c>
      <c r="F26" s="963">
        <f>F23+F24+F25</f>
        <v>-114</v>
      </c>
      <c r="G26" s="813">
        <f t="shared" si="19"/>
        <v>-480.2070833333334</v>
      </c>
      <c r="H26" s="812">
        <f t="shared" si="19"/>
        <v>-496.04144479166672</v>
      </c>
      <c r="I26" s="812">
        <f t="shared" si="19"/>
        <v>-540.2235163984376</v>
      </c>
      <c r="J26" s="949">
        <f t="shared" si="19"/>
        <v>-539.98633679783222</v>
      </c>
      <c r="K26" s="811">
        <f t="shared" si="19"/>
        <v>-554.99887216640991</v>
      </c>
      <c r="L26" s="812">
        <f t="shared" si="19"/>
        <v>-612.61988709596449</v>
      </c>
      <c r="M26" s="812">
        <f t="shared" si="19"/>
        <v>-663.65888792730118</v>
      </c>
      <c r="N26" s="812">
        <f t="shared" si="19"/>
        <v>-720.66617712391098</v>
      </c>
      <c r="O26" s="812">
        <f t="shared" si="19"/>
        <v>-777.51824975070804</v>
      </c>
      <c r="P26" s="812">
        <f t="shared" si="19"/>
        <v>-833.84765783030389</v>
      </c>
      <c r="Q26" s="812">
        <f t="shared" si="19"/>
        <v>-801.04559596038439</v>
      </c>
      <c r="R26" s="812">
        <f t="shared" si="19"/>
        <v>-766.7962941953989</v>
      </c>
      <c r="S26" s="812">
        <f t="shared" si="19"/>
        <v>-731.40484159665311</v>
      </c>
      <c r="T26" s="812">
        <f t="shared" si="19"/>
        <v>-695.32419741780473</v>
      </c>
      <c r="U26" s="812">
        <f t="shared" si="19"/>
        <v>-658.39592222443389</v>
      </c>
      <c r="V26" s="812">
        <f t="shared" si="19"/>
        <v>-667.52714224400415</v>
      </c>
      <c r="W26" s="812">
        <f t="shared" si="19"/>
        <v>-676.47812441838914</v>
      </c>
      <c r="X26" s="812">
        <f t="shared" si="19"/>
        <v>-685.19302648404323</v>
      </c>
      <c r="Y26" s="812">
        <f t="shared" si="19"/>
        <v>-685.628726005099</v>
      </c>
      <c r="Z26" s="812">
        <f t="shared" si="19"/>
        <v>-693.75982367170252</v>
      </c>
      <c r="AA26" s="812">
        <f t="shared" si="19"/>
        <v>-701.95426859945076</v>
      </c>
      <c r="AB26" s="812">
        <f t="shared" si="19"/>
        <v>-710.34552568656466</v>
      </c>
      <c r="AC26" s="812">
        <f t="shared" si="19"/>
        <v>-718.915750638943</v>
      </c>
      <c r="AD26" s="812">
        <f t="shared" si="19"/>
        <v>-727.63897718775058</v>
      </c>
      <c r="AE26" s="812">
        <f t="shared" si="19"/>
        <v>-736.54522262810565</v>
      </c>
      <c r="AF26" s="814">
        <f>AF23+AF24+AF25</f>
        <v>-745.6300243710931</v>
      </c>
      <c r="AG26" s="1169"/>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row>
    <row r="27" spans="1:98" ht="15">
      <c r="A27" s="1508"/>
      <c r="B27" s="770">
        <v>20</v>
      </c>
      <c r="C27" s="938" t="s">
        <v>428</v>
      </c>
      <c r="D27" s="824">
        <v>0</v>
      </c>
      <c r="E27" s="825">
        <v>0</v>
      </c>
      <c r="F27" s="964">
        <v>0</v>
      </c>
      <c r="G27" s="780">
        <v>0</v>
      </c>
      <c r="H27" s="779">
        <v>0</v>
      </c>
      <c r="I27" s="779">
        <v>0</v>
      </c>
      <c r="J27" s="953">
        <v>0</v>
      </c>
      <c r="K27" s="778">
        <v>0</v>
      </c>
      <c r="L27" s="784">
        <v>0</v>
      </c>
      <c r="M27" s="779">
        <v>0</v>
      </c>
      <c r="N27" s="779">
        <v>0</v>
      </c>
      <c r="O27" s="779">
        <v>0</v>
      </c>
      <c r="P27" s="779">
        <v>0</v>
      </c>
      <c r="Q27" s="779">
        <v>0</v>
      </c>
      <c r="R27" s="779">
        <v>0</v>
      </c>
      <c r="S27" s="779">
        <v>0</v>
      </c>
      <c r="T27" s="779">
        <v>0</v>
      </c>
      <c r="U27" s="779">
        <v>0</v>
      </c>
      <c r="V27" s="779">
        <v>0</v>
      </c>
      <c r="W27" s="779">
        <v>0</v>
      </c>
      <c r="X27" s="779">
        <v>0</v>
      </c>
      <c r="Y27" s="779">
        <v>0</v>
      </c>
      <c r="Z27" s="779">
        <v>0</v>
      </c>
      <c r="AA27" s="779">
        <v>0</v>
      </c>
      <c r="AB27" s="779">
        <v>0</v>
      </c>
      <c r="AC27" s="779">
        <v>0</v>
      </c>
      <c r="AD27" s="779">
        <v>0</v>
      </c>
      <c r="AE27" s="779">
        <v>0</v>
      </c>
      <c r="AF27" s="781">
        <v>0</v>
      </c>
      <c r="AG27" s="1169"/>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row>
    <row r="28" spans="1:98" ht="15">
      <c r="A28" s="1508"/>
      <c r="B28" s="770">
        <v>21</v>
      </c>
      <c r="C28" s="938" t="s">
        <v>429</v>
      </c>
      <c r="D28" s="805">
        <f>Inputs!D71</f>
        <v>20</v>
      </c>
      <c r="E28" s="806">
        <f>Inputs!C71</f>
        <v>-37</v>
      </c>
      <c r="F28" s="958">
        <f>Inputs!B71</f>
        <v>1</v>
      </c>
      <c r="G28" s="541">
        <f>G44-F44</f>
        <v>38.486052682201944</v>
      </c>
      <c r="H28" s="540">
        <f t="shared" ref="H28:AF28" si="20">H44-G44</f>
        <v>8.6709325591115274</v>
      </c>
      <c r="I28" s="540">
        <f>I44-H44</f>
        <v>1.0272095680102851</v>
      </c>
      <c r="J28" s="544">
        <f t="shared" si="20"/>
        <v>1.1231575549541333</v>
      </c>
      <c r="K28" s="768">
        <f t="shared" si="20"/>
        <v>17.215105330124032</v>
      </c>
      <c r="L28" s="540">
        <f t="shared" si="20"/>
        <v>17.904268023384589</v>
      </c>
      <c r="M28" s="540">
        <f t="shared" si="20"/>
        <v>10.160013352092591</v>
      </c>
      <c r="N28" s="540">
        <f t="shared" si="20"/>
        <v>10.718935683815985</v>
      </c>
      <c r="O28" s="540">
        <f t="shared" si="20"/>
        <v>-24.30784527752219</v>
      </c>
      <c r="P28" s="540">
        <f t="shared" si="20"/>
        <v>1.9793584305307945</v>
      </c>
      <c r="Q28" s="540">
        <f t="shared" si="20"/>
        <v>1.4649477715011727</v>
      </c>
      <c r="R28" s="540">
        <f t="shared" si="20"/>
        <v>1.0023891174365076</v>
      </c>
      <c r="S28" s="540">
        <f t="shared" si="20"/>
        <v>0.58520591113804699</v>
      </c>
      <c r="T28" s="540">
        <f t="shared" si="20"/>
        <v>0.20788743697995926</v>
      </c>
      <c r="U28" s="540">
        <f t="shared" si="20"/>
        <v>-0.13424814609469138</v>
      </c>
      <c r="V28" s="540">
        <f t="shared" si="20"/>
        <v>-0.12232509803321534</v>
      </c>
      <c r="W28" s="540">
        <f t="shared" si="20"/>
        <v>-0.12525804934955431</v>
      </c>
      <c r="X28" s="540">
        <f t="shared" si="20"/>
        <v>-0.14094888394271265</v>
      </c>
      <c r="Y28" s="540">
        <f t="shared" si="20"/>
        <v>-0.16754918003799446</v>
      </c>
      <c r="Z28" s="540">
        <f t="shared" si="20"/>
        <v>-0.20342602946787736</v>
      </c>
      <c r="AA28" s="540">
        <f t="shared" si="20"/>
        <v>-0.17529760970589336</v>
      </c>
      <c r="AB28" s="540">
        <f t="shared" si="20"/>
        <v>-0.15105860370464086</v>
      </c>
      <c r="AC28" s="540">
        <f t="shared" si="20"/>
        <v>-0.13017120878875232</v>
      </c>
      <c r="AD28" s="540">
        <f t="shared" si="20"/>
        <v>-0.11217198611645074</v>
      </c>
      <c r="AE28" s="540">
        <f t="shared" si="20"/>
        <v>-9.6661578135353921E-2</v>
      </c>
      <c r="AF28" s="772">
        <f t="shared" si="20"/>
        <v>-8.3295847841341697E-2</v>
      </c>
      <c r="AG28" s="1169"/>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row>
    <row r="29" spans="1:98" ht="15">
      <c r="A29" s="1508"/>
      <c r="B29" s="770">
        <v>22</v>
      </c>
      <c r="C29" s="938" t="s">
        <v>430</v>
      </c>
      <c r="D29" s="805">
        <f>'Fin. Data'!D29</f>
        <v>0</v>
      </c>
      <c r="E29" s="819">
        <f>'Fin. Data'!C29</f>
        <v>-12</v>
      </c>
      <c r="F29" s="958">
        <f>'Fin. Data'!B29</f>
        <v>-2</v>
      </c>
      <c r="G29" s="541">
        <f>-Assumptions!C238</f>
        <v>-49.492623000000037</v>
      </c>
      <c r="H29" s="540">
        <f>-Assumptions!D238</f>
        <v>-39.581801788997154</v>
      </c>
      <c r="I29" s="540">
        <f>-Assumptions!E238</f>
        <v>-29.180575619424133</v>
      </c>
      <c r="J29" s="544">
        <f>-Assumptions!F238</f>
        <v>-19.946000310949444</v>
      </c>
      <c r="K29" s="768">
        <f>-Assumptions!G238</f>
        <v>-49.597697342176389</v>
      </c>
      <c r="L29" s="540">
        <f>-Assumptions!H238</f>
        <v>-37.357941580510555</v>
      </c>
      <c r="M29" s="540">
        <f>-Assumptions!I238</f>
        <v>-24.448509771515319</v>
      </c>
      <c r="N29" s="540">
        <f>-Assumptions!J238</f>
        <v>-10.020602507825345</v>
      </c>
      <c r="O29" s="540">
        <f>-Assumptions!K238</f>
        <v>5.4310350368611466</v>
      </c>
      <c r="P29" s="540">
        <f>-Assumptions!L238</f>
        <v>22.595051655047769</v>
      </c>
      <c r="Q29" s="540">
        <f>-Assumptions!M238</f>
        <v>40.70409273827994</v>
      </c>
      <c r="R29" s="540">
        <f>-Assumptions!N238</f>
        <v>60.460164938483558</v>
      </c>
      <c r="S29" s="540">
        <f>-Assumptions!O238</f>
        <v>81.919957351126584</v>
      </c>
      <c r="T29" s="540">
        <f>-Assumptions!P238</f>
        <v>105.12783840010093</v>
      </c>
      <c r="U29" s="540">
        <f>-Assumptions!Q238</f>
        <v>130.10368952477887</v>
      </c>
      <c r="V29" s="540">
        <f>-Assumptions!R238</f>
        <v>156.89534001064271</v>
      </c>
      <c r="W29" s="540">
        <f>-Assumptions!S238</f>
        <v>185.37933403449313</v>
      </c>
      <c r="X29" s="540">
        <f>-Assumptions!T238</f>
        <v>215.62130712591369</v>
      </c>
      <c r="Y29" s="540">
        <f>-Assumptions!U238</f>
        <v>247.69176852144312</v>
      </c>
      <c r="Z29" s="540">
        <f>-Assumptions!V238</f>
        <v>281.69231641240719</v>
      </c>
      <c r="AA29" s="540">
        <f>-Assumptions!W238</f>
        <v>317.16504747939405</v>
      </c>
      <c r="AB29" s="540">
        <f>-Assumptions!X238</f>
        <v>354.1994584190582</v>
      </c>
      <c r="AC29" s="540">
        <f>-Assumptions!Y238</f>
        <v>392.86994797271291</v>
      </c>
      <c r="AD29" s="540">
        <f>-Assumptions!Z238</f>
        <v>433.25437142876706</v>
      </c>
      <c r="AE29" s="540">
        <f>-Assumptions!AA238</f>
        <v>475.43078426143086</v>
      </c>
      <c r="AF29" s="772">
        <f>-Assumptions!AB238</f>
        <v>519.48230017505136</v>
      </c>
      <c r="AG29" s="1169"/>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row>
    <row r="30" spans="1:98" s="7" customFormat="1" ht="15">
      <c r="A30" s="1508"/>
      <c r="B30" s="770">
        <v>23</v>
      </c>
      <c r="C30" s="938" t="s">
        <v>431</v>
      </c>
      <c r="D30" s="818">
        <f>'Fin. Data'!D28</f>
        <v>-295</v>
      </c>
      <c r="E30" s="819">
        <f>'Fin. Data'!C28</f>
        <v>-196</v>
      </c>
      <c r="F30" s="962">
        <f>'Fin. Data'!B28</f>
        <v>-300</v>
      </c>
      <c r="G30" s="541">
        <f>-Assumptions!C237</f>
        <v>-309.57059220000002</v>
      </c>
      <c r="H30" s="540">
        <f>-Assumptions!D237</f>
        <v>-326.72210727253798</v>
      </c>
      <c r="I30" s="540">
        <f>-Assumptions!E237</f>
        <v>-344.82408164664605</v>
      </c>
      <c r="J30" s="544">
        <f>-Assumptions!F237</f>
        <v>-363.92919620475129</v>
      </c>
      <c r="K30" s="768">
        <f>-Assumptions!G237</f>
        <v>-383.81452684263081</v>
      </c>
      <c r="L30" s="540">
        <f>-Assumptions!H237</f>
        <v>-400.9677653489623</v>
      </c>
      <c r="M30" s="540">
        <f>-Assumptions!I237</f>
        <v>-418.88771191207911</v>
      </c>
      <c r="N30" s="540">
        <f>-Assumptions!J237</f>
        <v>-437.60864119873861</v>
      </c>
      <c r="O30" s="540">
        <f>-Assumptions!K237</f>
        <v>-457.16636028889371</v>
      </c>
      <c r="P30" s="540">
        <f>-Assumptions!L237</f>
        <v>-477.5982771989589</v>
      </c>
      <c r="Q30" s="540">
        <f>-Assumptions!M237</f>
        <v>-498.94347246957699</v>
      </c>
      <c r="R30" s="540">
        <f>-Assumptions!N237</f>
        <v>-521.24277395495733</v>
      </c>
      <c r="S30" s="540">
        <f>-Assumptions!O237</f>
        <v>-544.53883495698642</v>
      </c>
      <c r="T30" s="540">
        <f>-Assumptions!P237</f>
        <v>-568.87621585371846</v>
      </c>
      <c r="U30" s="540">
        <f>-Assumptions!Q237</f>
        <v>-594.3014693785459</v>
      </c>
      <c r="V30" s="540">
        <f>-Assumptions!R237</f>
        <v>-620.86322971334187</v>
      </c>
      <c r="W30" s="540">
        <f>-Assumptions!S237</f>
        <v>-648.61230556617215</v>
      </c>
      <c r="X30" s="540">
        <f>-Assumptions!T237</f>
        <v>-677.60177741180564</v>
      </c>
      <c r="Y30" s="540">
        <f>-Assumptions!U237</f>
        <v>-707.88709908122462</v>
      </c>
      <c r="Z30" s="540">
        <f>-Assumptions!V237</f>
        <v>-739.52620389466824</v>
      </c>
      <c r="AA30" s="540">
        <f>-Assumptions!W237</f>
        <v>-772.5796155414431</v>
      </c>
      <c r="AB30" s="540">
        <f>-Assumptions!X237</f>
        <v>-807.11056391882732</v>
      </c>
      <c r="AC30" s="540">
        <f>-Assumptions!Y237</f>
        <v>-843.18510615189632</v>
      </c>
      <c r="AD30" s="540">
        <f>-Assumptions!Z237</f>
        <v>-880.87225302601644</v>
      </c>
      <c r="AE30" s="540">
        <f>-Assumptions!AA237</f>
        <v>-920.24410107412677</v>
      </c>
      <c r="AF30" s="772">
        <f>-Assumptions!AB237</f>
        <v>-961.37597057175731</v>
      </c>
      <c r="AG30" s="1169"/>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row>
    <row r="31" spans="1:98" s="3" customFormat="1" ht="15.75" thickBot="1">
      <c r="A31" s="1508"/>
      <c r="B31" s="770">
        <v>24</v>
      </c>
      <c r="C31" s="939" t="s">
        <v>432</v>
      </c>
      <c r="D31" s="826">
        <f>Inputs!D76</f>
        <v>24</v>
      </c>
      <c r="E31" s="827">
        <f>Inputs!C76</f>
        <v>11</v>
      </c>
      <c r="F31" s="965">
        <f>Inputs!B76</f>
        <v>1</v>
      </c>
      <c r="G31" s="822">
        <f>(1+G5)*AVERAGE(D31:F31)</f>
        <v>12.299999999999999</v>
      </c>
      <c r="H31" s="821">
        <f t="shared" ref="H31:AF31" si="21">(1+H5)*AVERAGE(E31:G31)</f>
        <v>8.322750000000001</v>
      </c>
      <c r="I31" s="821">
        <f t="shared" si="21"/>
        <v>7.4057918750000002</v>
      </c>
      <c r="J31" s="952">
        <f t="shared" si="21"/>
        <v>9.5997755921875001</v>
      </c>
      <c r="K31" s="820">
        <f t="shared" si="21"/>
        <v>8.5694140763984379</v>
      </c>
      <c r="L31" s="821">
        <f t="shared" si="21"/>
        <v>8.6443437617320473</v>
      </c>
      <c r="M31" s="821">
        <f t="shared" si="21"/>
        <v>9.0540364549707046</v>
      </c>
      <c r="N31" s="821">
        <f t="shared" si="21"/>
        <v>8.8610026082061353</v>
      </c>
      <c r="O31" s="821">
        <f t="shared" si="21"/>
        <v>8.9505120119942934</v>
      </c>
      <c r="P31" s="821">
        <f t="shared" si="21"/>
        <v>9.044735528640949</v>
      </c>
      <c r="Q31" s="821">
        <f t="shared" si="21"/>
        <v>9.0326521333936487</v>
      </c>
      <c r="R31" s="821">
        <f t="shared" si="21"/>
        <v>9.0813742904737058</v>
      </c>
      <c r="S31" s="821">
        <f t="shared" si="21"/>
        <v>9.1162910953919525</v>
      </c>
      <c r="T31" s="821">
        <f t="shared" si="21"/>
        <v>9.1312331414582886</v>
      </c>
      <c r="U31" s="821">
        <f t="shared" si="21"/>
        <v>9.1551810066535211</v>
      </c>
      <c r="V31" s="821">
        <f t="shared" si="21"/>
        <v>9.1707720214925921</v>
      </c>
      <c r="W31" s="821">
        <f t="shared" si="21"/>
        <v>9.1798525760377387</v>
      </c>
      <c r="X31" s="821">
        <f t="shared" si="21"/>
        <v>9.186939071797406</v>
      </c>
      <c r="Y31" s="821">
        <f t="shared" si="21"/>
        <v>9.1883670776656867</v>
      </c>
      <c r="Z31" s="821">
        <f t="shared" si="21"/>
        <v>9.1850529085002766</v>
      </c>
      <c r="AA31" s="821">
        <f t="shared" si="21"/>
        <v>9.1867863526544564</v>
      </c>
      <c r="AB31" s="821">
        <f t="shared" si="21"/>
        <v>9.1867354462734738</v>
      </c>
      <c r="AC31" s="821">
        <f t="shared" si="21"/>
        <v>9.1861915691427356</v>
      </c>
      <c r="AD31" s="821">
        <f t="shared" si="21"/>
        <v>9.1865711226902231</v>
      </c>
      <c r="AE31" s="821">
        <f t="shared" si="21"/>
        <v>9.1864993793688114</v>
      </c>
      <c r="AF31" s="823">
        <f t="shared" si="21"/>
        <v>9.1864206904005901</v>
      </c>
      <c r="AG31" s="1169"/>
      <c r="AH31" s="340"/>
      <c r="AI31" s="340"/>
      <c r="AJ31" s="340"/>
      <c r="AK31" s="340"/>
      <c r="AL31" s="340"/>
      <c r="AM31" s="340"/>
      <c r="AN31" s="340"/>
      <c r="AO31" s="340"/>
      <c r="AP31" s="340"/>
      <c r="AQ31" s="340"/>
      <c r="AR31" s="340"/>
      <c r="AS31" s="340"/>
      <c r="AT31" s="340"/>
      <c r="AU31" s="340"/>
      <c r="AV31" s="340"/>
      <c r="AW31" s="340"/>
      <c r="AX31" s="340"/>
      <c r="AY31" s="340"/>
      <c r="AZ31" s="340"/>
      <c r="BA31" s="340"/>
      <c r="BB31" s="340"/>
      <c r="BC31" s="340"/>
      <c r="BD31" s="340"/>
      <c r="BE31" s="340"/>
      <c r="BF31" s="340"/>
      <c r="BG31" s="340"/>
      <c r="BH31" s="340"/>
      <c r="BI31" s="340"/>
      <c r="BJ31" s="340"/>
      <c r="BK31" s="340"/>
      <c r="BL31" s="340"/>
      <c r="BM31" s="340"/>
      <c r="BN31" s="340"/>
      <c r="BO31" s="340"/>
      <c r="BP31" s="340"/>
      <c r="BQ31" s="340"/>
      <c r="BR31" s="340"/>
      <c r="BS31" s="340"/>
      <c r="BT31" s="340"/>
      <c r="BU31" s="340"/>
      <c r="BV31" s="340"/>
      <c r="BW31" s="340"/>
      <c r="BX31" s="340"/>
      <c r="BY31" s="340"/>
      <c r="BZ31" s="340"/>
      <c r="CA31" s="340"/>
      <c r="CB31" s="340"/>
      <c r="CC31" s="340"/>
      <c r="CD31" s="340"/>
      <c r="CE31" s="340"/>
      <c r="CF31" s="340"/>
      <c r="CG31" s="340"/>
      <c r="CH31" s="340"/>
      <c r="CI31" s="340"/>
      <c r="CJ31" s="340"/>
      <c r="CK31" s="340"/>
      <c r="CL31" s="340"/>
      <c r="CM31" s="340"/>
      <c r="CN31" s="340"/>
      <c r="CO31" s="340"/>
      <c r="CP31" s="340"/>
      <c r="CQ31" s="340"/>
      <c r="CR31" s="340"/>
      <c r="CS31" s="340"/>
      <c r="CT31" s="340"/>
    </row>
    <row r="32" spans="1:98" s="7" customFormat="1" ht="16.5" customHeight="1" thickBot="1">
      <c r="A32" s="1509"/>
      <c r="B32" s="6">
        <v>25</v>
      </c>
      <c r="C32" s="940" t="s">
        <v>433</v>
      </c>
      <c r="D32" s="828">
        <f t="shared" ref="D32:AF32" si="22">D27+D28+D29+D30+D31</f>
        <v>-251</v>
      </c>
      <c r="E32" s="829">
        <f t="shared" si="22"/>
        <v>-234</v>
      </c>
      <c r="F32" s="963">
        <f t="shared" si="22"/>
        <v>-300</v>
      </c>
      <c r="G32" s="954">
        <f>G27+G28+G29+G30+G31</f>
        <v>-308.2771625177981</v>
      </c>
      <c r="H32" s="955">
        <f t="shared" si="22"/>
        <v>-349.31022650242363</v>
      </c>
      <c r="I32" s="955">
        <f>I27+I28+I29+I30+I31</f>
        <v>-365.57165582305993</v>
      </c>
      <c r="J32" s="956">
        <f t="shared" si="22"/>
        <v>-373.15226336855915</v>
      </c>
      <c r="K32" s="830">
        <f t="shared" si="22"/>
        <v>-407.62770477828468</v>
      </c>
      <c r="L32" s="831">
        <f t="shared" si="22"/>
        <v>-411.77709514435622</v>
      </c>
      <c r="M32" s="831">
        <f>M27+M28+M29+M30+M31</f>
        <v>-424.12217187653113</v>
      </c>
      <c r="N32" s="831">
        <f t="shared" si="22"/>
        <v>-428.04930541454183</v>
      </c>
      <c r="O32" s="831">
        <f t="shared" si="22"/>
        <v>-467.09265851756044</v>
      </c>
      <c r="P32" s="831">
        <f t="shared" si="22"/>
        <v>-443.97913158473938</v>
      </c>
      <c r="Q32" s="831">
        <f t="shared" si="22"/>
        <v>-447.74177982640225</v>
      </c>
      <c r="R32" s="831">
        <f t="shared" si="22"/>
        <v>-450.69884560856354</v>
      </c>
      <c r="S32" s="831">
        <f t="shared" si="22"/>
        <v>-452.91738059932982</v>
      </c>
      <c r="T32" s="831">
        <f t="shared" si="22"/>
        <v>-454.40925687517932</v>
      </c>
      <c r="U32" s="831">
        <f t="shared" si="22"/>
        <v>-455.17684699320819</v>
      </c>
      <c r="V32" s="831">
        <f t="shared" si="22"/>
        <v>-454.91944277923977</v>
      </c>
      <c r="W32" s="831">
        <f t="shared" si="22"/>
        <v>-454.17837700499086</v>
      </c>
      <c r="X32" s="831">
        <f t="shared" si="22"/>
        <v>-452.93448009803728</v>
      </c>
      <c r="Y32" s="831">
        <f t="shared" si="22"/>
        <v>-451.1745126621538</v>
      </c>
      <c r="Z32" s="831">
        <f t="shared" si="22"/>
        <v>-448.85226060322867</v>
      </c>
      <c r="AA32" s="831">
        <f t="shared" si="22"/>
        <v>-446.40307931910053</v>
      </c>
      <c r="AB32" s="831">
        <f t="shared" si="22"/>
        <v>-443.8754286572003</v>
      </c>
      <c r="AC32" s="831">
        <f t="shared" si="22"/>
        <v>-441.2591378188294</v>
      </c>
      <c r="AD32" s="831">
        <f t="shared" si="22"/>
        <v>-438.54348246067559</v>
      </c>
      <c r="AE32" s="831">
        <f t="shared" si="22"/>
        <v>-435.72347901146247</v>
      </c>
      <c r="AF32" s="832">
        <f t="shared" si="22"/>
        <v>-432.79054555414666</v>
      </c>
      <c r="AG32" s="1169"/>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row>
    <row r="33" spans="1:98" ht="13.5" thickBot="1">
      <c r="A33" s="1491"/>
      <c r="B33" s="1492"/>
      <c r="C33" s="1493"/>
      <c r="D33" s="1493"/>
      <c r="E33" s="1493"/>
      <c r="F33" s="1493"/>
      <c r="G33" s="1493"/>
      <c r="H33" s="1493"/>
      <c r="I33" s="1493"/>
      <c r="J33" s="1493"/>
      <c r="K33" s="1493"/>
      <c r="L33" s="1493"/>
      <c r="M33" s="1493"/>
      <c r="N33" s="1493"/>
      <c r="O33" s="1493"/>
      <c r="P33" s="1493"/>
      <c r="Q33" s="1493"/>
      <c r="R33" s="1493"/>
      <c r="S33" s="1493"/>
      <c r="T33" s="1493"/>
      <c r="U33" s="1493"/>
      <c r="V33" s="1493"/>
      <c r="W33" s="1493"/>
      <c r="X33" s="1493"/>
      <c r="Y33" s="1493"/>
      <c r="Z33" s="1493"/>
      <c r="AA33" s="1493"/>
      <c r="AB33" s="1493"/>
      <c r="AC33" s="1493"/>
      <c r="AD33" s="1493"/>
      <c r="AE33" s="1493"/>
      <c r="AF33" s="1494"/>
      <c r="AG33" s="117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row>
    <row r="34" spans="1:98" ht="15">
      <c r="A34" s="1525" t="s">
        <v>434</v>
      </c>
      <c r="B34" s="770">
        <v>26</v>
      </c>
      <c r="C34" s="922" t="s">
        <v>435</v>
      </c>
      <c r="D34" s="925">
        <f>D32+D26+D22-D30-D31</f>
        <v>755.4</v>
      </c>
      <c r="E34" s="926">
        <f t="shared" ref="E34:AF34" si="23">E32+E26+E22-E30-E31</f>
        <v>489.70000000000005</v>
      </c>
      <c r="F34" s="927">
        <f t="shared" si="23"/>
        <v>598.5</v>
      </c>
      <c r="G34" s="760">
        <f>G32+G26+G22-G30-G31</f>
        <v>911.36569175559976</v>
      </c>
      <c r="H34" s="761">
        <f t="shared" si="23"/>
        <v>905.23545181938698</v>
      </c>
      <c r="I34" s="761">
        <f t="shared" si="23"/>
        <v>883.93479539173688</v>
      </c>
      <c r="J34" s="762">
        <f t="shared" si="23"/>
        <v>920.46525229078316</v>
      </c>
      <c r="K34" s="760">
        <f t="shared" si="23"/>
        <v>838.18946204951828</v>
      </c>
      <c r="L34" s="761">
        <f t="shared" si="23"/>
        <v>806.55657843599954</v>
      </c>
      <c r="M34" s="761">
        <f t="shared" si="23"/>
        <v>779.53195645336234</v>
      </c>
      <c r="N34" s="761">
        <f t="shared" si="23"/>
        <v>759.8078815891397</v>
      </c>
      <c r="O34" s="761">
        <f t="shared" si="23"/>
        <v>709.55474347892186</v>
      </c>
      <c r="P34" s="761">
        <f t="shared" si="23"/>
        <v>724.86639576065784</v>
      </c>
      <c r="Q34" s="761">
        <f t="shared" si="23"/>
        <v>794.04956007168562</v>
      </c>
      <c r="R34" s="761">
        <f t="shared" si="23"/>
        <v>856.73909577845473</v>
      </c>
      <c r="S34" s="761">
        <f t="shared" si="23"/>
        <v>913.60617995650728</v>
      </c>
      <c r="T34" s="761">
        <f t="shared" si="23"/>
        <v>965.07846357351457</v>
      </c>
      <c r="U34" s="761">
        <f t="shared" si="23"/>
        <v>1012.1279027807794</v>
      </c>
      <c r="V34" s="761">
        <f t="shared" si="23"/>
        <v>1015.3352143402682</v>
      </c>
      <c r="W34" s="761">
        <f t="shared" si="23"/>
        <v>1020.5343728873365</v>
      </c>
      <c r="X34" s="761">
        <f t="shared" si="23"/>
        <v>1027.6005592916567</v>
      </c>
      <c r="Y34" s="761">
        <f t="shared" si="23"/>
        <v>1044.4293335444631</v>
      </c>
      <c r="Z34" s="761">
        <f t="shared" si="23"/>
        <v>1054.901206015169</v>
      </c>
      <c r="AA34" s="761">
        <f t="shared" si="23"/>
        <v>1073.8630295396279</v>
      </c>
      <c r="AB34" s="761">
        <f t="shared" si="23"/>
        <v>1094.5023251995267</v>
      </c>
      <c r="AC34" s="761">
        <f t="shared" si="23"/>
        <v>1116.8281583787727</v>
      </c>
      <c r="AD34" s="761">
        <f t="shared" si="23"/>
        <v>1140.8693616224946</v>
      </c>
      <c r="AE34" s="761">
        <f t="shared" si="23"/>
        <v>1166.6126782909703</v>
      </c>
      <c r="AF34" s="762">
        <f t="shared" si="23"/>
        <v>1194.0875484030903</v>
      </c>
      <c r="AG34" s="1168"/>
      <c r="AH34" s="7"/>
      <c r="AI34" s="7"/>
      <c r="AJ34" s="7"/>
      <c r="AK34" s="11"/>
      <c r="AL34" s="11"/>
      <c r="AM34" s="11"/>
      <c r="AN34" s="11"/>
    </row>
    <row r="35" spans="1:98" s="3" customFormat="1" ht="15">
      <c r="A35" s="1525"/>
      <c r="B35" s="770">
        <v>27</v>
      </c>
      <c r="C35" s="923" t="s">
        <v>436</v>
      </c>
      <c r="D35" s="833">
        <f>-1*(D29+D30)</f>
        <v>295</v>
      </c>
      <c r="E35" s="834">
        <f t="shared" ref="E35:AF35" si="24">-1*(E29+E30)</f>
        <v>208</v>
      </c>
      <c r="F35" s="928">
        <f t="shared" si="24"/>
        <v>302</v>
      </c>
      <c r="G35" s="763">
        <f>-1*(G29+G30)</f>
        <v>359.06321520000006</v>
      </c>
      <c r="H35" s="759">
        <f t="shared" si="24"/>
        <v>366.30390906153514</v>
      </c>
      <c r="I35" s="759">
        <f t="shared" si="24"/>
        <v>374.00465726607018</v>
      </c>
      <c r="J35" s="764">
        <f t="shared" si="24"/>
        <v>383.87519651570074</v>
      </c>
      <c r="K35" s="763">
        <f t="shared" si="24"/>
        <v>433.4122241848072</v>
      </c>
      <c r="L35" s="759">
        <f t="shared" si="24"/>
        <v>438.32570692947286</v>
      </c>
      <c r="M35" s="759">
        <f t="shared" si="24"/>
        <v>443.33622168359443</v>
      </c>
      <c r="N35" s="759">
        <f t="shared" si="24"/>
        <v>447.62924370656395</v>
      </c>
      <c r="O35" s="759">
        <f t="shared" si="24"/>
        <v>451.73532525203257</v>
      </c>
      <c r="P35" s="759">
        <f t="shared" si="24"/>
        <v>455.00322554391113</v>
      </c>
      <c r="Q35" s="759">
        <f t="shared" si="24"/>
        <v>458.23937973129705</v>
      </c>
      <c r="R35" s="759">
        <f t="shared" si="24"/>
        <v>460.78260901647377</v>
      </c>
      <c r="S35" s="759">
        <f t="shared" si="24"/>
        <v>462.61887760585984</v>
      </c>
      <c r="T35" s="759">
        <f t="shared" si="24"/>
        <v>463.74837745361754</v>
      </c>
      <c r="U35" s="759">
        <f t="shared" si="24"/>
        <v>464.19777985376703</v>
      </c>
      <c r="V35" s="759">
        <f t="shared" si="24"/>
        <v>463.96788970269915</v>
      </c>
      <c r="W35" s="759">
        <f t="shared" si="24"/>
        <v>463.23297153167903</v>
      </c>
      <c r="X35" s="759">
        <f t="shared" si="24"/>
        <v>461.98047028589195</v>
      </c>
      <c r="Y35" s="759">
        <f t="shared" si="24"/>
        <v>460.1953305597815</v>
      </c>
      <c r="Z35" s="759">
        <f t="shared" si="24"/>
        <v>457.83388748226105</v>
      </c>
      <c r="AA35" s="759">
        <f t="shared" si="24"/>
        <v>455.41456806204906</v>
      </c>
      <c r="AB35" s="759">
        <f t="shared" si="24"/>
        <v>452.91110549976912</v>
      </c>
      <c r="AC35" s="759">
        <f t="shared" si="24"/>
        <v>450.31515817918341</v>
      </c>
      <c r="AD35" s="759">
        <f t="shared" si="24"/>
        <v>447.61788159724938</v>
      </c>
      <c r="AE35" s="759">
        <f t="shared" si="24"/>
        <v>444.81331681269592</v>
      </c>
      <c r="AF35" s="764">
        <f t="shared" si="24"/>
        <v>441.89367039670594</v>
      </c>
      <c r="AG35" s="1168"/>
      <c r="AH35" s="342"/>
      <c r="AI35" s="342"/>
      <c r="AJ35" s="342"/>
      <c r="AK35" s="340"/>
      <c r="AL35" s="340"/>
      <c r="AM35" s="340"/>
      <c r="AN35" s="340"/>
    </row>
    <row r="36" spans="1:98" s="7" customFormat="1" ht="15.75" thickBot="1">
      <c r="A36" s="1525"/>
      <c r="B36" s="6">
        <v>28</v>
      </c>
      <c r="C36" s="924" t="s">
        <v>437</v>
      </c>
      <c r="D36" s="836">
        <f>D34-D35</f>
        <v>460.4</v>
      </c>
      <c r="E36" s="837">
        <f>E34-E35</f>
        <v>281.70000000000005</v>
      </c>
      <c r="F36" s="929">
        <f>F34-F35</f>
        <v>296.5</v>
      </c>
      <c r="G36" s="765">
        <f>G34-G35</f>
        <v>552.3024765555997</v>
      </c>
      <c r="H36" s="766">
        <f>H34-H35</f>
        <v>538.93154275785184</v>
      </c>
      <c r="I36" s="766">
        <f t="shared" ref="I36:AF36" si="25">I34-I35</f>
        <v>509.9301381256667</v>
      </c>
      <c r="J36" s="767">
        <f t="shared" si="25"/>
        <v>536.59005577508242</v>
      </c>
      <c r="K36" s="765">
        <f t="shared" si="25"/>
        <v>404.77723786471108</v>
      </c>
      <c r="L36" s="766">
        <f>L34-L35</f>
        <v>368.23087150652668</v>
      </c>
      <c r="M36" s="766">
        <f t="shared" si="25"/>
        <v>336.19573476976791</v>
      </c>
      <c r="N36" s="766">
        <f>N34-N35</f>
        <v>312.17863788257574</v>
      </c>
      <c r="O36" s="766">
        <f t="shared" si="25"/>
        <v>257.8194182268893</v>
      </c>
      <c r="P36" s="766">
        <f t="shared" si="25"/>
        <v>269.86317021674671</v>
      </c>
      <c r="Q36" s="766">
        <f t="shared" si="25"/>
        <v>335.81018034038857</v>
      </c>
      <c r="R36" s="766">
        <f t="shared" si="25"/>
        <v>395.95648676198095</v>
      </c>
      <c r="S36" s="766">
        <f t="shared" si="25"/>
        <v>450.98730235064744</v>
      </c>
      <c r="T36" s="766">
        <f t="shared" si="25"/>
        <v>501.33008611989703</v>
      </c>
      <c r="U36" s="766">
        <f t="shared" si="25"/>
        <v>547.93012292701246</v>
      </c>
      <c r="V36" s="766">
        <f t="shared" si="25"/>
        <v>551.36732463756903</v>
      </c>
      <c r="W36" s="766">
        <f t="shared" si="25"/>
        <v>557.3014013556575</v>
      </c>
      <c r="X36" s="766">
        <f t="shared" si="25"/>
        <v>565.62008900576484</v>
      </c>
      <c r="Y36" s="766">
        <f t="shared" si="25"/>
        <v>584.23400298468164</v>
      </c>
      <c r="Z36" s="766">
        <f t="shared" si="25"/>
        <v>597.06731853290796</v>
      </c>
      <c r="AA36" s="766">
        <f t="shared" si="25"/>
        <v>618.4484614775788</v>
      </c>
      <c r="AB36" s="766">
        <f t="shared" si="25"/>
        <v>641.59121969975763</v>
      </c>
      <c r="AC36" s="766">
        <f t="shared" si="25"/>
        <v>666.51300019958933</v>
      </c>
      <c r="AD36" s="766">
        <f t="shared" si="25"/>
        <v>693.2514800252452</v>
      </c>
      <c r="AE36" s="766">
        <f t="shared" si="25"/>
        <v>721.79936147827436</v>
      </c>
      <c r="AF36" s="767">
        <f t="shared" si="25"/>
        <v>752.19387800638435</v>
      </c>
      <c r="AG36" s="1168"/>
      <c r="AK36" s="11"/>
      <c r="AL36" s="11"/>
      <c r="AM36" s="11"/>
      <c r="AN36" s="11"/>
    </row>
    <row r="37" spans="1:98" ht="15.75" thickBot="1">
      <c r="A37" s="838"/>
      <c r="B37" s="239"/>
      <c r="C37" s="895"/>
      <c r="D37" s="839"/>
      <c r="E37" s="839"/>
      <c r="F37" s="839"/>
      <c r="G37" s="839"/>
      <c r="H37" s="839"/>
      <c r="I37" s="839"/>
      <c r="J37" s="839"/>
      <c r="K37" s="839"/>
      <c r="L37" s="839"/>
      <c r="M37" s="839"/>
      <c r="N37" s="839"/>
      <c r="O37" s="839"/>
      <c r="P37" s="839"/>
      <c r="Q37" s="839"/>
      <c r="R37" s="839"/>
      <c r="S37" s="839"/>
      <c r="T37" s="839"/>
      <c r="U37" s="839"/>
      <c r="V37" s="839"/>
      <c r="W37" s="839"/>
      <c r="X37" s="839"/>
      <c r="Y37" s="839"/>
      <c r="Z37" s="839"/>
      <c r="AA37" s="839"/>
      <c r="AB37" s="839"/>
      <c r="AC37" s="839"/>
      <c r="AD37" s="839"/>
      <c r="AE37" s="839"/>
      <c r="AF37" s="917"/>
      <c r="AG37" s="1168"/>
      <c r="AH37" s="7"/>
      <c r="AI37" s="7"/>
      <c r="AJ37" s="7"/>
      <c r="AK37" s="11"/>
      <c r="AL37" s="11"/>
      <c r="AM37" s="11"/>
      <c r="AN37" s="11"/>
    </row>
    <row r="38" spans="1:98" ht="15">
      <c r="A38" s="1526" t="s">
        <v>438</v>
      </c>
      <c r="B38" s="893">
        <v>29</v>
      </c>
      <c r="C38" s="930" t="s">
        <v>439</v>
      </c>
      <c r="D38" s="840">
        <v>616</v>
      </c>
      <c r="E38" s="841">
        <v>628</v>
      </c>
      <c r="F38" s="842">
        <v>654</v>
      </c>
      <c r="G38" s="785">
        <f>+F38+(-G10)</f>
        <v>700.11884999999995</v>
      </c>
      <c r="H38" s="786">
        <f t="shared" ref="H38:AF38" si="26">+G38+(-H10)</f>
        <v>747.50596837499995</v>
      </c>
      <c r="I38" s="786">
        <f t="shared" si="26"/>
        <v>796.19623250531242</v>
      </c>
      <c r="J38" s="787">
        <f t="shared" si="26"/>
        <v>846.2254788992085</v>
      </c>
      <c r="K38" s="788">
        <f t="shared" si="26"/>
        <v>897.005163989013</v>
      </c>
      <c r="L38" s="786">
        <f t="shared" si="26"/>
        <v>948.49576467007478</v>
      </c>
      <c r="M38" s="786">
        <f t="shared" si="26"/>
        <v>1000.6557431599904</v>
      </c>
      <c r="N38" s="786">
        <f t="shared" si="26"/>
        <v>1053.441641391785</v>
      </c>
      <c r="O38" s="786">
        <f t="shared" si="26"/>
        <v>1106.8081845041293</v>
      </c>
      <c r="P38" s="786">
        <f t="shared" si="26"/>
        <v>1160.7083930475969</v>
      </c>
      <c r="Q38" s="786">
        <f t="shared" si="26"/>
        <v>1215.0937034679559</v>
      </c>
      <c r="R38" s="786">
        <f t="shared" si="26"/>
        <v>1269.9140963716777</v>
      </c>
      <c r="S38" s="786">
        <f t="shared" si="26"/>
        <v>1325.1182320257255</v>
      </c>
      <c r="T38" s="786">
        <f t="shared" si="26"/>
        <v>1380.6535924936977</v>
      </c>
      <c r="U38" s="786">
        <f t="shared" si="26"/>
        <v>1436.4666297640097</v>
      </c>
      <c r="V38" s="786">
        <f t="shared" si="26"/>
        <v>1492.502919183403</v>
      </c>
      <c r="W38" s="786">
        <f t="shared" si="26"/>
        <v>1548.7073174710545</v>
      </c>
      <c r="X38" s="786">
        <f t="shared" si="26"/>
        <v>1605.0241245552813</v>
      </c>
      <c r="Y38" s="786">
        <f t="shared" si="26"/>
        <v>1661.3972484465924</v>
      </c>
      <c r="Z38" s="786">
        <f t="shared" si="26"/>
        <v>1717.7703723379034</v>
      </c>
      <c r="AA38" s="786">
        <f t="shared" si="26"/>
        <v>1774.1434962292144</v>
      </c>
      <c r="AB38" s="786">
        <f t="shared" si="26"/>
        <v>1830.5166201205254</v>
      </c>
      <c r="AC38" s="786">
        <f t="shared" si="26"/>
        <v>1886.8897440118365</v>
      </c>
      <c r="AD38" s="786">
        <f t="shared" si="26"/>
        <v>1943.2628679031475</v>
      </c>
      <c r="AE38" s="786">
        <f t="shared" si="26"/>
        <v>1999.6359917944585</v>
      </c>
      <c r="AF38" s="787">
        <f t="shared" si="26"/>
        <v>2056.0091156857693</v>
      </c>
      <c r="AG38" s="1172"/>
      <c r="AH38" s="7"/>
      <c r="AI38" s="7"/>
      <c r="AJ38" s="7"/>
      <c r="AK38" s="11"/>
      <c r="AL38" s="11"/>
      <c r="AM38" s="11"/>
      <c r="AN38" s="11"/>
    </row>
    <row r="39" spans="1:98" ht="15">
      <c r="A39" s="1525"/>
      <c r="B39" s="893">
        <v>30</v>
      </c>
      <c r="C39" s="931" t="s">
        <v>440</v>
      </c>
      <c r="D39" s="833">
        <v>453</v>
      </c>
      <c r="E39" s="834">
        <v>470</v>
      </c>
      <c r="F39" s="835">
        <v>497</v>
      </c>
      <c r="G39" s="789">
        <f>F39-G10</f>
        <v>543.11884999999995</v>
      </c>
      <c r="H39" s="790">
        <f t="shared" ref="H39:AF39" si="27">G39-H10</f>
        <v>590.50596837499995</v>
      </c>
      <c r="I39" s="790">
        <f t="shared" si="27"/>
        <v>639.19623250531242</v>
      </c>
      <c r="J39" s="791">
        <f t="shared" si="27"/>
        <v>689.2254788992085</v>
      </c>
      <c r="K39" s="792">
        <f t="shared" si="27"/>
        <v>740.005163989013</v>
      </c>
      <c r="L39" s="790">
        <f t="shared" si="27"/>
        <v>791.49576467007478</v>
      </c>
      <c r="M39" s="790">
        <f t="shared" si="27"/>
        <v>843.65574315999038</v>
      </c>
      <c r="N39" s="790">
        <f t="shared" si="27"/>
        <v>896.44164139178497</v>
      </c>
      <c r="O39" s="790">
        <f t="shared" si="27"/>
        <v>949.80818450412926</v>
      </c>
      <c r="P39" s="790">
        <f t="shared" si="27"/>
        <v>1003.708393047597</v>
      </c>
      <c r="Q39" s="790">
        <f t="shared" si="27"/>
        <v>1058.0937034679559</v>
      </c>
      <c r="R39" s="790">
        <f t="shared" si="27"/>
        <v>1112.9140963716777</v>
      </c>
      <c r="S39" s="790">
        <f t="shared" si="27"/>
        <v>1168.1182320257255</v>
      </c>
      <c r="T39" s="790">
        <f t="shared" si="27"/>
        <v>1223.6535924936977</v>
      </c>
      <c r="U39" s="790">
        <f t="shared" si="27"/>
        <v>1279.4666297640097</v>
      </c>
      <c r="V39" s="790">
        <f t="shared" si="27"/>
        <v>1335.502919183403</v>
      </c>
      <c r="W39" s="790">
        <f t="shared" si="27"/>
        <v>1391.7073174710545</v>
      </c>
      <c r="X39" s="790">
        <f t="shared" si="27"/>
        <v>1448.0241245552813</v>
      </c>
      <c r="Y39" s="790">
        <f t="shared" si="27"/>
        <v>1504.3972484465924</v>
      </c>
      <c r="Z39" s="790">
        <f t="shared" si="27"/>
        <v>1560.7703723379034</v>
      </c>
      <c r="AA39" s="790">
        <f t="shared" si="27"/>
        <v>1617.1434962292144</v>
      </c>
      <c r="AB39" s="790">
        <f t="shared" si="27"/>
        <v>1673.5166201205254</v>
      </c>
      <c r="AC39" s="790">
        <f t="shared" si="27"/>
        <v>1729.8897440118365</v>
      </c>
      <c r="AD39" s="790">
        <f t="shared" si="27"/>
        <v>1786.2628679031475</v>
      </c>
      <c r="AE39" s="790">
        <f t="shared" si="27"/>
        <v>1842.6359917944585</v>
      </c>
      <c r="AF39" s="791">
        <f t="shared" si="27"/>
        <v>1899.0091156857695</v>
      </c>
      <c r="AG39" s="1172"/>
      <c r="AH39" s="7"/>
      <c r="AI39" s="7"/>
      <c r="AJ39" s="7"/>
      <c r="AK39" s="11"/>
      <c r="AL39" s="11"/>
      <c r="AM39" s="11"/>
      <c r="AN39" s="11"/>
    </row>
    <row r="40" spans="1:98" ht="15">
      <c r="A40" s="1525"/>
      <c r="B40" s="893">
        <v>31</v>
      </c>
      <c r="C40" s="931" t="s">
        <v>441</v>
      </c>
      <c r="D40" s="833">
        <v>8677</v>
      </c>
      <c r="E40" s="834">
        <v>8437</v>
      </c>
      <c r="F40" s="835">
        <v>8435</v>
      </c>
      <c r="G40" s="789">
        <f>F40+(-G23)</f>
        <v>8819.3237499999996</v>
      </c>
      <c r="H40" s="790">
        <f t="shared" ref="H40:AF40" si="28">G40+(-H23)</f>
        <v>9214.2164031249995</v>
      </c>
      <c r="I40" s="790">
        <f t="shared" si="28"/>
        <v>9619.968604210937</v>
      </c>
      <c r="J40" s="791">
        <f t="shared" si="28"/>
        <v>10036.878990826737</v>
      </c>
      <c r="K40" s="792">
        <f t="shared" si="28"/>
        <v>10460.043033241775</v>
      </c>
      <c r="L40" s="790">
        <f t="shared" si="28"/>
        <v>10932.040206151507</v>
      </c>
      <c r="M40" s="790">
        <f t="shared" si="28"/>
        <v>11453.639991050663</v>
      </c>
      <c r="N40" s="790">
        <f t="shared" si="28"/>
        <v>12025.487221895104</v>
      </c>
      <c r="O40" s="790">
        <f t="shared" si="28"/>
        <v>12648.09689153912</v>
      </c>
      <c r="P40" s="790">
        <f t="shared" si="28"/>
        <v>13321.849498332467</v>
      </c>
      <c r="Q40" s="790">
        <f t="shared" si="28"/>
        <v>13956.344786569989</v>
      </c>
      <c r="R40" s="790">
        <f t="shared" si="28"/>
        <v>14550.232376360309</v>
      </c>
      <c r="S40" s="790">
        <f t="shared" si="28"/>
        <v>15102.273732900789</v>
      </c>
      <c r="T40" s="790">
        <f t="shared" si="28"/>
        <v>15611.347870523867</v>
      </c>
      <c r="U40" s="790">
        <f t="shared" si="28"/>
        <v>16076.456514443134</v>
      </c>
      <c r="V40" s="790">
        <f t="shared" si="28"/>
        <v>16543.425592938078</v>
      </c>
      <c r="W40" s="790">
        <f t="shared" si="28"/>
        <v>17011.795578668505</v>
      </c>
      <c r="X40" s="790">
        <f t="shared" si="28"/>
        <v>17481.102304370394</v>
      </c>
      <c r="Y40" s="790">
        <f t="shared" si="28"/>
        <v>17950.878336797985</v>
      </c>
      <c r="Z40" s="790">
        <f t="shared" si="28"/>
        <v>18420.654369225576</v>
      </c>
      <c r="AA40" s="790">
        <f t="shared" si="28"/>
        <v>18890.430401653168</v>
      </c>
      <c r="AB40" s="790">
        <f t="shared" si="28"/>
        <v>19360.206434080759</v>
      </c>
      <c r="AC40" s="790">
        <f t="shared" si="28"/>
        <v>19829.982466508351</v>
      </c>
      <c r="AD40" s="790">
        <f t="shared" si="28"/>
        <v>20299.758498935942</v>
      </c>
      <c r="AE40" s="790">
        <f t="shared" si="28"/>
        <v>20769.534531363533</v>
      </c>
      <c r="AF40" s="791">
        <f t="shared" si="28"/>
        <v>21239.310563791125</v>
      </c>
      <c r="AG40" s="1172"/>
      <c r="AH40" s="7"/>
      <c r="AI40" s="7"/>
      <c r="AJ40" s="7"/>
      <c r="AK40" s="11"/>
      <c r="AL40" s="11"/>
      <c r="AM40" s="11"/>
      <c r="AN40" s="11"/>
    </row>
    <row r="41" spans="1:98" ht="15">
      <c r="A41" s="1527"/>
      <c r="B41" s="894">
        <v>32</v>
      </c>
      <c r="C41" s="932" t="s">
        <v>442</v>
      </c>
      <c r="D41" s="843">
        <v>5368</v>
      </c>
      <c r="E41" s="844">
        <v>5399</v>
      </c>
      <c r="F41" s="845">
        <v>5507</v>
      </c>
      <c r="G41" s="918">
        <f>F41-G9</f>
        <v>5934.3097394067318</v>
      </c>
      <c r="H41" s="919">
        <f t="shared" ref="H41:AF41" si="29">G41-H9</f>
        <v>6357.1370563192595</v>
      </c>
      <c r="I41" s="919">
        <f t="shared" si="29"/>
        <v>6777.6033379861437</v>
      </c>
      <c r="J41" s="920">
        <f t="shared" si="29"/>
        <v>7197.5779337616586</v>
      </c>
      <c r="K41" s="921">
        <f t="shared" si="29"/>
        <v>7617.9935453409016</v>
      </c>
      <c r="L41" s="919">
        <f t="shared" si="29"/>
        <v>8045.5415175766375</v>
      </c>
      <c r="M41" s="919">
        <f t="shared" si="29"/>
        <v>8486.0943588200098</v>
      </c>
      <c r="N41" s="919">
        <f t="shared" si="29"/>
        <v>8944.8017288262654</v>
      </c>
      <c r="O41" s="919">
        <f t="shared" si="29"/>
        <v>9426.1724359493455</v>
      </c>
      <c r="P41" s="919">
        <f t="shared" si="29"/>
        <v>9934.1444528590364</v>
      </c>
      <c r="Q41" s="919">
        <f t="shared" si="29"/>
        <v>10459.611279527731</v>
      </c>
      <c r="R41" s="919">
        <f t="shared" si="29"/>
        <v>10994.538881449993</v>
      </c>
      <c r="S41" s="919">
        <f t="shared" si="29"/>
        <v>11531.832861337081</v>
      </c>
      <c r="T41" s="919">
        <f t="shared" si="29"/>
        <v>12065.224786158278</v>
      </c>
      <c r="U41" s="919">
        <f t="shared" si="29"/>
        <v>12589.174945867311</v>
      </c>
      <c r="V41" s="919">
        <f t="shared" si="29"/>
        <v>13105.246134654704</v>
      </c>
      <c r="W41" s="919">
        <f t="shared" si="29"/>
        <v>13614.721513327491</v>
      </c>
      <c r="X41" s="919">
        <f t="shared" si="29"/>
        <v>14118.642633604757</v>
      </c>
      <c r="Y41" s="919">
        <f t="shared" si="29"/>
        <v>14617.842394642214</v>
      </c>
      <c r="Z41" s="919">
        <f t="shared" si="29"/>
        <v>15112.973635090313</v>
      </c>
      <c r="AA41" s="919">
        <f t="shared" si="29"/>
        <v>15604.598923344294</v>
      </c>
      <c r="AB41" s="919">
        <f t="shared" si="29"/>
        <v>16093.203039524184</v>
      </c>
      <c r="AC41" s="919">
        <f t="shared" si="29"/>
        <v>16579.203731528298</v>
      </c>
      <c r="AD41" s="919">
        <f t="shared" si="29"/>
        <v>17062.960983810081</v>
      </c>
      <c r="AE41" s="919">
        <f t="shared" si="29"/>
        <v>17544.785004529156</v>
      </c>
      <c r="AF41" s="920">
        <f t="shared" si="29"/>
        <v>18024.943108291405</v>
      </c>
      <c r="AG41" s="1172"/>
      <c r="AH41" s="7"/>
      <c r="AI41" s="7"/>
      <c r="AJ41" s="7"/>
      <c r="AK41" s="11"/>
      <c r="AL41" s="11"/>
      <c r="AM41" s="11"/>
      <c r="AN41" s="11"/>
    </row>
    <row r="42" spans="1:98" s="7" customFormat="1" ht="15">
      <c r="A42" s="1518"/>
      <c r="B42" s="1519"/>
      <c r="C42" s="1519"/>
      <c r="D42" s="1519"/>
      <c r="E42" s="1519"/>
      <c r="F42" s="1519"/>
      <c r="G42" s="1519"/>
      <c r="H42" s="1519"/>
      <c r="I42" s="1519"/>
      <c r="J42" s="1519"/>
      <c r="K42" s="1519"/>
      <c r="L42" s="1519"/>
      <c r="M42" s="1519"/>
      <c r="N42" s="1519"/>
      <c r="O42" s="1519"/>
      <c r="P42" s="1519"/>
      <c r="Q42" s="1519"/>
      <c r="R42" s="1519"/>
      <c r="S42" s="1519"/>
      <c r="T42" s="1519"/>
      <c r="U42" s="1519"/>
      <c r="V42" s="1519"/>
      <c r="W42" s="1519"/>
      <c r="X42" s="1519"/>
      <c r="Y42" s="1519"/>
      <c r="Z42" s="1519"/>
      <c r="AA42" s="1519"/>
      <c r="AB42" s="1519"/>
      <c r="AC42" s="1519"/>
      <c r="AD42" s="1519"/>
      <c r="AE42" s="1519"/>
      <c r="AF42" s="1520"/>
      <c r="AG42" s="1168"/>
      <c r="AK42" s="11"/>
      <c r="AL42" s="11"/>
      <c r="AM42" s="11"/>
      <c r="AN42" s="11"/>
    </row>
    <row r="43" spans="1:98" ht="15" customHeight="1">
      <c r="A43" s="1510" t="s">
        <v>443</v>
      </c>
      <c r="B43" s="966">
        <v>33</v>
      </c>
      <c r="C43" s="969" t="s">
        <v>444</v>
      </c>
      <c r="D43" s="896">
        <f>'Fin. Data'!D40</f>
        <v>560</v>
      </c>
      <c r="E43" s="846">
        <f>E36+D43</f>
        <v>841.7</v>
      </c>
      <c r="F43" s="847">
        <f>F36+E43</f>
        <v>1138.2</v>
      </c>
      <c r="G43" s="848">
        <f>G36+F43</f>
        <v>1690.5024765555997</v>
      </c>
      <c r="H43" s="849">
        <f t="shared" ref="H43:AF43" si="30">H36+G43</f>
        <v>2229.4340193134517</v>
      </c>
      <c r="I43" s="849">
        <f t="shared" si="30"/>
        <v>2739.3641574391186</v>
      </c>
      <c r="J43" s="850">
        <f t="shared" si="30"/>
        <v>3275.954213214201</v>
      </c>
      <c r="K43" s="848">
        <f t="shared" si="30"/>
        <v>3680.731451078912</v>
      </c>
      <c r="L43" s="849">
        <f t="shared" si="30"/>
        <v>4048.9623225854384</v>
      </c>
      <c r="M43" s="849">
        <f t="shared" si="30"/>
        <v>4385.1580573552064</v>
      </c>
      <c r="N43" s="849">
        <f t="shared" si="30"/>
        <v>4697.3366952377819</v>
      </c>
      <c r="O43" s="849">
        <f t="shared" si="30"/>
        <v>4955.1561134646709</v>
      </c>
      <c r="P43" s="849">
        <f t="shared" si="30"/>
        <v>5225.0192836814176</v>
      </c>
      <c r="Q43" s="849">
        <f t="shared" si="30"/>
        <v>5560.8294640218064</v>
      </c>
      <c r="R43" s="849">
        <f t="shared" si="30"/>
        <v>5956.7859507837875</v>
      </c>
      <c r="S43" s="849">
        <f t="shared" si="30"/>
        <v>6407.7732531344345</v>
      </c>
      <c r="T43" s="849">
        <f t="shared" si="30"/>
        <v>6909.1033392543313</v>
      </c>
      <c r="U43" s="849">
        <f t="shared" si="30"/>
        <v>7457.0334621813436</v>
      </c>
      <c r="V43" s="849">
        <f t="shared" si="30"/>
        <v>8008.4007868189128</v>
      </c>
      <c r="W43" s="849">
        <f t="shared" si="30"/>
        <v>8565.7021881745695</v>
      </c>
      <c r="X43" s="849">
        <f t="shared" si="30"/>
        <v>9131.3222771803339</v>
      </c>
      <c r="Y43" s="849">
        <f t="shared" si="30"/>
        <v>9715.5562801650158</v>
      </c>
      <c r="Z43" s="849">
        <f t="shared" si="30"/>
        <v>10312.623598697925</v>
      </c>
      <c r="AA43" s="849">
        <f t="shared" si="30"/>
        <v>10931.072060175504</v>
      </c>
      <c r="AB43" s="849">
        <f t="shared" si="30"/>
        <v>11572.663279875262</v>
      </c>
      <c r="AC43" s="849">
        <f t="shared" si="30"/>
        <v>12239.176280074851</v>
      </c>
      <c r="AD43" s="849">
        <f t="shared" si="30"/>
        <v>12932.427760100096</v>
      </c>
      <c r="AE43" s="849">
        <f t="shared" si="30"/>
        <v>13654.227121578369</v>
      </c>
      <c r="AF43" s="851">
        <f t="shared" si="30"/>
        <v>14406.420999584754</v>
      </c>
      <c r="AG43" s="1168"/>
      <c r="AH43" s="7"/>
      <c r="AI43" s="7"/>
      <c r="AJ43" s="7"/>
      <c r="AK43" s="11"/>
      <c r="AL43" s="11"/>
      <c r="AM43" s="11"/>
      <c r="AN43" s="11"/>
    </row>
    <row r="44" spans="1:98" ht="15">
      <c r="A44" s="1511"/>
      <c r="B44" s="967">
        <v>34</v>
      </c>
      <c r="C44" s="970" t="s">
        <v>293</v>
      </c>
      <c r="D44" s="897">
        <f>'Fin. Data'!D59</f>
        <v>46</v>
      </c>
      <c r="E44" s="852">
        <f>'Fin. Data'!C59</f>
        <v>7</v>
      </c>
      <c r="F44" s="853">
        <f>'Fin. Data'!B59</f>
        <v>8</v>
      </c>
      <c r="G44" s="541">
        <f>Assumptions!C252</f>
        <v>46.486052682201944</v>
      </c>
      <c r="H44" s="540">
        <f>Assumptions!D252</f>
        <v>55.156985241313471</v>
      </c>
      <c r="I44" s="540">
        <f>Assumptions!E252</f>
        <v>56.184194809323756</v>
      </c>
      <c r="J44" s="555">
        <f>Assumptions!F252</f>
        <v>57.307352364277889</v>
      </c>
      <c r="K44" s="541">
        <f>Assumptions!G252</f>
        <v>74.522457694401922</v>
      </c>
      <c r="L44" s="540">
        <f>Assumptions!H252</f>
        <v>92.42672571778651</v>
      </c>
      <c r="M44" s="540">
        <f>Assumptions!I252</f>
        <v>102.5867390698791</v>
      </c>
      <c r="N44" s="540">
        <f>Assumptions!J252</f>
        <v>113.30567475369509</v>
      </c>
      <c r="O44" s="540">
        <f>Assumptions!K252</f>
        <v>88.997829476172896</v>
      </c>
      <c r="P44" s="540">
        <f>Assumptions!L252</f>
        <v>90.977187906703691</v>
      </c>
      <c r="Q44" s="540">
        <f>Assumptions!M252</f>
        <v>92.442135678204863</v>
      </c>
      <c r="R44" s="540">
        <f>Assumptions!N252</f>
        <v>93.444524795641371</v>
      </c>
      <c r="S44" s="540">
        <f>Assumptions!O252</f>
        <v>94.029730706779418</v>
      </c>
      <c r="T44" s="540">
        <f>Assumptions!P252</f>
        <v>94.237618143759377</v>
      </c>
      <c r="U44" s="540">
        <f>Assumptions!Q252</f>
        <v>94.103369997664686</v>
      </c>
      <c r="V44" s="540">
        <f>Assumptions!R252</f>
        <v>93.98104489963147</v>
      </c>
      <c r="W44" s="540">
        <f>Assumptions!S252</f>
        <v>93.855786850281916</v>
      </c>
      <c r="X44" s="540">
        <f>Assumptions!T252</f>
        <v>93.714837966339203</v>
      </c>
      <c r="Y44" s="540">
        <f>Assumptions!U252</f>
        <v>93.547288786301209</v>
      </c>
      <c r="Z44" s="540">
        <f>Assumptions!V252</f>
        <v>93.343862756833332</v>
      </c>
      <c r="AA44" s="540">
        <f>Assumptions!W252</f>
        <v>93.168565147127438</v>
      </c>
      <c r="AB44" s="540">
        <f>Assumptions!X252</f>
        <v>93.017506543422797</v>
      </c>
      <c r="AC44" s="540">
        <f>Assumptions!Y252</f>
        <v>92.887335334634045</v>
      </c>
      <c r="AD44" s="540">
        <f>Assumptions!Z252</f>
        <v>92.775163348517594</v>
      </c>
      <c r="AE44" s="540">
        <f>Assumptions!AA252</f>
        <v>92.67850177038224</v>
      </c>
      <c r="AF44" s="544">
        <f>Assumptions!AB252</f>
        <v>92.595205922540899</v>
      </c>
      <c r="AG44" s="1168"/>
      <c r="AH44" s="11"/>
      <c r="AI44" s="11"/>
      <c r="AJ44" s="11"/>
      <c r="AK44" s="11"/>
      <c r="AL44" s="11"/>
      <c r="AM44" s="11"/>
      <c r="AN44" s="11"/>
    </row>
    <row r="45" spans="1:98" ht="15">
      <c r="A45" s="1511"/>
      <c r="B45" s="967">
        <v>35</v>
      </c>
      <c r="C45" s="971" t="s">
        <v>445</v>
      </c>
      <c r="D45" s="898"/>
      <c r="E45" s="854"/>
      <c r="F45" s="855">
        <f>1/((1+$E$50)^G50)</f>
        <v>1</v>
      </c>
      <c r="G45" s="856">
        <f>1/((1+$E$50)^G49)</f>
        <v>0.92264574376854336</v>
      </c>
      <c r="H45" s="857">
        <f t="shared" ref="H45:AF45" si="31">1/((1+$E$50)^H49)</f>
        <v>0.85127516849420848</v>
      </c>
      <c r="I45" s="857">
        <f t="shared" si="31"/>
        <v>0.785425410987031</v>
      </c>
      <c r="J45" s="858">
        <f t="shared" si="31"/>
        <v>0.72466941249484296</v>
      </c>
      <c r="K45" s="856">
        <f t="shared" si="31"/>
        <v>0.66861314907761771</v>
      </c>
      <c r="L45" s="857">
        <f t="shared" si="31"/>
        <v>0.61689307622414646</v>
      </c>
      <c r="M45" s="857">
        <f t="shared" si="31"/>
        <v>0.56917377113849232</v>
      </c>
      <c r="N45" s="857">
        <f t="shared" si="31"/>
        <v>0.52514575740562086</v>
      </c>
      <c r="O45" s="857">
        <f t="shared" si="31"/>
        <v>0.48452349792840405</v>
      </c>
      <c r="P45" s="857">
        <f t="shared" si="31"/>
        <v>0.44704354311948857</v>
      </c>
      <c r="Q45" s="857">
        <f t="shared" si="31"/>
        <v>0.41246282233840542</v>
      </c>
      <c r="R45" s="857">
        <f t="shared" si="31"/>
        <v>0.38055706749329055</v>
      </c>
      <c r="S45" s="857">
        <f t="shared" si="31"/>
        <v>0.35111935858372284</v>
      </c>
      <c r="T45" s="857">
        <f t="shared" si="31"/>
        <v>0.32395878175201281</v>
      </c>
      <c r="U45" s="857">
        <f t="shared" si="31"/>
        <v>0.29889919113993701</v>
      </c>
      <c r="V45" s="857">
        <f t="shared" si="31"/>
        <v>0.27577806652112319</v>
      </c>
      <c r="W45" s="857">
        <f t="shared" si="31"/>
        <v>0.2544454593004325</v>
      </c>
      <c r="X45" s="857">
        <f t="shared" si="31"/>
        <v>0.23476302004477614</v>
      </c>
      <c r="Y45" s="857">
        <f t="shared" si="31"/>
        <v>0.21660310123856194</v>
      </c>
      <c r="Z45" s="857">
        <f t="shared" si="31"/>
        <v>0.19984792944482607</v>
      </c>
      <c r="AA45" s="857">
        <f t="shared" si="31"/>
        <v>0.1843888415032249</v>
      </c>
      <c r="AB45" s="857">
        <f t="shared" si="31"/>
        <v>0.17012557981136298</v>
      </c>
      <c r="AC45" s="857">
        <f t="shared" si="31"/>
        <v>0.15696564211910966</v>
      </c>
      <c r="AD45" s="857">
        <f t="shared" si="31"/>
        <v>0.14482368161909293</v>
      </c>
      <c r="AE45" s="857">
        <f t="shared" si="31"/>
        <v>0.13362095344274669</v>
      </c>
      <c r="AF45" s="859">
        <f t="shared" si="31"/>
        <v>0.12328480397224492</v>
      </c>
      <c r="AG45" s="1168"/>
      <c r="AH45" s="11"/>
      <c r="AI45" s="11"/>
      <c r="AJ45" s="11"/>
      <c r="AK45" s="11"/>
      <c r="AL45" s="11"/>
      <c r="AM45" s="11"/>
      <c r="AN45" s="11"/>
    </row>
    <row r="46" spans="1:98" ht="15">
      <c r="A46" s="1511"/>
      <c r="B46" s="967">
        <v>36</v>
      </c>
      <c r="C46" s="971" t="s">
        <v>446</v>
      </c>
      <c r="D46" s="898"/>
      <c r="E46" s="860" t="s">
        <v>447</v>
      </c>
      <c r="F46" s="855">
        <f>1/((1+$E$50+0.001)^G50)</f>
        <v>1</v>
      </c>
      <c r="G46" s="856">
        <f t="shared" ref="G46:AF46" si="32">1/((1+$E$50+0.001)^G49)</f>
        <v>0.92179525330145873</v>
      </c>
      <c r="H46" s="857">
        <f t="shared" si="32"/>
        <v>0.84970648900910051</v>
      </c>
      <c r="I46" s="857">
        <f t="shared" si="32"/>
        <v>0.78325540826803697</v>
      </c>
      <c r="J46" s="858">
        <f t="shared" si="32"/>
        <v>0.72200111746417261</v>
      </c>
      <c r="K46" s="856">
        <f t="shared" si="32"/>
        <v>0.66553720295682328</v>
      </c>
      <c r="L46" s="857">
        <f t="shared" si="32"/>
        <v>0.61348903458112924</v>
      </c>
      <c r="M46" s="857">
        <f t="shared" si="32"/>
        <v>0.56551128002937945</v>
      </c>
      <c r="N46" s="857">
        <f t="shared" si="32"/>
        <v>0.52128561361951387</v>
      </c>
      <c r="O46" s="857">
        <f t="shared" si="32"/>
        <v>0.48051860424880616</v>
      </c>
      <c r="P46" s="857">
        <f t="shared" si="32"/>
        <v>0.44293976851959171</v>
      </c>
      <c r="Q46" s="857">
        <f t="shared" si="32"/>
        <v>0.40829977611980656</v>
      </c>
      <c r="R46" s="857">
        <f t="shared" si="32"/>
        <v>0.37636879555128594</v>
      </c>
      <c r="S46" s="857">
        <f t="shared" si="32"/>
        <v>0.34693496922996259</v>
      </c>
      <c r="T46" s="857">
        <f t="shared" si="32"/>
        <v>0.31980300784046711</v>
      </c>
      <c r="U46" s="857">
        <f t="shared" si="32"/>
        <v>0.29479289461887176</v>
      </c>
      <c r="V46" s="857">
        <f t="shared" si="32"/>
        <v>0.27173869096667314</v>
      </c>
      <c r="W46" s="857">
        <f t="shared" si="32"/>
        <v>0.25048743547143126</v>
      </c>
      <c r="X46" s="857">
        <f t="shared" si="32"/>
        <v>0.23089812902922077</v>
      </c>
      <c r="Y46" s="857">
        <f t="shared" si="32"/>
        <v>0.21284079933532346</v>
      </c>
      <c r="Z46" s="857">
        <f t="shared" si="32"/>
        <v>0.19619563853618943</v>
      </c>
      <c r="AA46" s="857">
        <f t="shared" si="32"/>
        <v>0.18085220832110818</v>
      </c>
      <c r="AB46" s="857">
        <f t="shared" si="32"/>
        <v>0.16670870717948411</v>
      </c>
      <c r="AC46" s="857">
        <f t="shared" si="32"/>
        <v>0.15367129496207127</v>
      </c>
      <c r="AD46" s="857">
        <f t="shared" si="32"/>
        <v>0.14165347026472563</v>
      </c>
      <c r="AE46" s="857">
        <f t="shared" si="32"/>
        <v>0.13057549650370343</v>
      </c>
      <c r="AF46" s="859">
        <f t="shared" si="32"/>
        <v>0.12036387287459506</v>
      </c>
      <c r="AG46" s="1168"/>
      <c r="AH46" s="11"/>
      <c r="AI46" s="11"/>
      <c r="AJ46" s="11"/>
      <c r="AK46" s="11"/>
      <c r="AL46" s="11"/>
      <c r="AM46" s="11"/>
      <c r="AN46" s="11"/>
    </row>
    <row r="47" spans="1:98" ht="15">
      <c r="A47" s="1512"/>
      <c r="B47" s="968">
        <v>37</v>
      </c>
      <c r="C47" s="972" t="s">
        <v>448</v>
      </c>
      <c r="D47" s="899"/>
      <c r="E47" s="861" t="s">
        <v>449</v>
      </c>
      <c r="F47" s="862">
        <f>1/((1+$E$50+0.005)^G50)</f>
        <v>1</v>
      </c>
      <c r="G47" s="863">
        <f t="shared" ref="G47:AF47" si="33">1/((1+$E$50+0.005)^G49)</f>
        <v>0.91840891339363473</v>
      </c>
      <c r="H47" s="864">
        <f t="shared" si="33"/>
        <v>0.84347493220087688</v>
      </c>
      <c r="I47" s="864">
        <f t="shared" si="33"/>
        <v>0.77465489595737713</v>
      </c>
      <c r="J47" s="865">
        <f t="shared" si="33"/>
        <v>0.71144996125127369</v>
      </c>
      <c r="K47" s="863">
        <f t="shared" si="33"/>
        <v>0.65340198584672593</v>
      </c>
      <c r="L47" s="864">
        <f t="shared" si="33"/>
        <v>0.60009020783073463</v>
      </c>
      <c r="M47" s="864">
        <f t="shared" si="33"/>
        <v>0.55112819571198546</v>
      </c>
      <c r="N47" s="864">
        <f t="shared" si="33"/>
        <v>0.5061610473644389</v>
      </c>
      <c r="O47" s="864">
        <f t="shared" si="33"/>
        <v>0.46486281751215841</v>
      </c>
      <c r="P47" s="864">
        <f t="shared" si="33"/>
        <v>0.4269341551084449</v>
      </c>
      <c r="Q47" s="864">
        <f t="shared" si="33"/>
        <v>0.39210013348377648</v>
      </c>
      <c r="R47" s="864">
        <f t="shared" si="33"/>
        <v>0.36010825753433418</v>
      </c>
      <c r="S47" s="864">
        <f t="shared" si="33"/>
        <v>0.33072663350618303</v>
      </c>
      <c r="T47" s="864">
        <f t="shared" si="33"/>
        <v>0.30374228810874843</v>
      </c>
      <c r="U47" s="864">
        <f t="shared" si="33"/>
        <v>0.27895962477365199</v>
      </c>
      <c r="V47" s="864">
        <f t="shared" si="33"/>
        <v>0.25619900586906574</v>
      </c>
      <c r="W47" s="864">
        <f t="shared" si="33"/>
        <v>0.23529545059273815</v>
      </c>
      <c r="X47" s="864">
        <f t="shared" si="33"/>
        <v>0.21609743910534229</v>
      </c>
      <c r="Y47" s="864">
        <f t="shared" si="33"/>
        <v>0.19846581423588458</v>
      </c>
      <c r="Z47" s="864">
        <f t="shared" si="33"/>
        <v>0.1822727727981617</v>
      </c>
      <c r="AA47" s="864">
        <f t="shared" si="33"/>
        <v>0.16740093920680457</v>
      </c>
      <c r="AB47" s="864">
        <f t="shared" si="33"/>
        <v>0.15374251467799527</v>
      </c>
      <c r="AC47" s="864">
        <f t="shared" si="33"/>
        <v>0.1411984958478226</v>
      </c>
      <c r="AD47" s="864">
        <f t="shared" si="33"/>
        <v>0.12967795714441435</v>
      </c>
      <c r="AE47" s="864">
        <f t="shared" si="33"/>
        <v>0.11909739171210793</v>
      </c>
      <c r="AF47" s="866">
        <f t="shared" si="33"/>
        <v>0.10938010611033311</v>
      </c>
      <c r="AG47" s="1168"/>
      <c r="AH47" s="11"/>
      <c r="AI47" s="11"/>
      <c r="AJ47" s="11"/>
      <c r="AK47" s="11"/>
      <c r="AL47" s="11"/>
      <c r="AM47" s="11"/>
      <c r="AN47" s="11"/>
    </row>
    <row r="48" spans="1:98" ht="15">
      <c r="A48" s="1521" t="s">
        <v>418</v>
      </c>
      <c r="B48" s="1522"/>
      <c r="C48" s="1522"/>
      <c r="D48" s="1522"/>
      <c r="E48" s="1523"/>
      <c r="F48" s="1522"/>
      <c r="G48" s="1522"/>
      <c r="H48" s="1522"/>
      <c r="I48" s="1522"/>
      <c r="J48" s="1522"/>
      <c r="K48" s="1522"/>
      <c r="L48" s="1522"/>
      <c r="M48" s="1522"/>
      <c r="N48" s="1522"/>
      <c r="O48" s="1522"/>
      <c r="P48" s="1522"/>
      <c r="Q48" s="1522"/>
      <c r="R48" s="1522"/>
      <c r="S48" s="1522"/>
      <c r="T48" s="1522"/>
      <c r="U48" s="1522"/>
      <c r="V48" s="1522"/>
      <c r="W48" s="1522"/>
      <c r="X48" s="1522"/>
      <c r="Y48" s="1522"/>
      <c r="Z48" s="1522"/>
      <c r="AA48" s="1522"/>
      <c r="AB48" s="1522"/>
      <c r="AC48" s="1522"/>
      <c r="AD48" s="1522"/>
      <c r="AE48" s="1522"/>
      <c r="AF48" s="1524"/>
      <c r="AG48" s="1168"/>
      <c r="AH48" s="11"/>
      <c r="AI48" s="11"/>
      <c r="AJ48" s="341"/>
      <c r="AK48" s="11"/>
      <c r="AL48" s="11"/>
      <c r="AM48" s="11"/>
      <c r="AN48" s="11"/>
    </row>
    <row r="49" spans="1:40" ht="15">
      <c r="A49" s="1528" t="s">
        <v>450</v>
      </c>
      <c r="B49" s="242" t="s">
        <v>451</v>
      </c>
      <c r="C49" s="238" t="s">
        <v>452</v>
      </c>
      <c r="D49" s="238" t="s">
        <v>453</v>
      </c>
      <c r="E49" s="900" t="s">
        <v>454</v>
      </c>
      <c r="G49" s="268">
        <v>1</v>
      </c>
      <c r="H49" s="269">
        <v>2</v>
      </c>
      <c r="I49" s="269">
        <v>3</v>
      </c>
      <c r="J49" s="268">
        <v>4</v>
      </c>
      <c r="K49" s="269">
        <v>5</v>
      </c>
      <c r="L49" s="269">
        <v>6</v>
      </c>
      <c r="M49" s="268">
        <v>7</v>
      </c>
      <c r="N49" s="269">
        <v>8</v>
      </c>
      <c r="O49" s="269">
        <v>9</v>
      </c>
      <c r="P49" s="268">
        <v>10</v>
      </c>
      <c r="Q49" s="269">
        <v>11</v>
      </c>
      <c r="R49" s="269">
        <v>12</v>
      </c>
      <c r="S49" s="268">
        <v>13</v>
      </c>
      <c r="T49" s="269">
        <v>14</v>
      </c>
      <c r="U49" s="269">
        <v>15</v>
      </c>
      <c r="V49" s="268">
        <v>16</v>
      </c>
      <c r="W49" s="269">
        <v>17</v>
      </c>
      <c r="X49" s="269">
        <v>18</v>
      </c>
      <c r="Y49" s="268">
        <v>19</v>
      </c>
      <c r="Z49" s="269">
        <v>20</v>
      </c>
      <c r="AA49" s="269">
        <v>21</v>
      </c>
      <c r="AB49" s="268">
        <v>22</v>
      </c>
      <c r="AC49" s="269">
        <v>23</v>
      </c>
      <c r="AD49" s="269">
        <v>24</v>
      </c>
      <c r="AE49" s="268">
        <v>25</v>
      </c>
      <c r="AF49" s="269">
        <v>26</v>
      </c>
      <c r="AG49" s="902"/>
      <c r="AH49" s="11"/>
      <c r="AI49" s="11"/>
      <c r="AJ49" s="11"/>
      <c r="AK49" s="11"/>
      <c r="AL49" s="11"/>
      <c r="AM49" s="11"/>
      <c r="AN49" s="11"/>
    </row>
    <row r="50" spans="1:40" ht="15.75" thickBot="1">
      <c r="A50" s="1529"/>
      <c r="B50" s="240">
        <v>1.0500000000000001E-2</v>
      </c>
      <c r="C50" s="241">
        <f>Assumptions!H27</f>
        <v>5.8339606646320791E-2</v>
      </c>
      <c r="D50" s="241">
        <v>1.4999999999999999E-2</v>
      </c>
      <c r="E50" s="901">
        <f>D50+C50+B50</f>
        <v>8.3839606646320786E-2</v>
      </c>
      <c r="G50" s="268">
        <v>0</v>
      </c>
      <c r="S50" s="236"/>
      <c r="T50" s="236"/>
      <c r="U50" s="236"/>
      <c r="V50" s="236"/>
      <c r="W50" s="236"/>
      <c r="X50" s="236"/>
      <c r="Y50" s="236"/>
      <c r="Z50" s="236"/>
      <c r="AA50" s="236"/>
      <c r="AB50" s="236"/>
      <c r="AC50" s="236"/>
      <c r="AD50" s="236"/>
      <c r="AE50" s="236"/>
      <c r="AF50" s="236"/>
      <c r="AG50" s="902"/>
      <c r="AH50" s="11"/>
      <c r="AI50" s="11"/>
      <c r="AJ50" s="11"/>
      <c r="AK50" s="11"/>
      <c r="AL50" s="11"/>
      <c r="AM50" s="11"/>
      <c r="AN50" s="11"/>
    </row>
    <row r="51" spans="1:40" ht="15">
      <c r="A51" s="236"/>
      <c r="C51" s="236"/>
      <c r="D51" s="236"/>
      <c r="H51" s="236"/>
      <c r="I51" s="236"/>
      <c r="J51" s="236"/>
      <c r="K51" s="236"/>
      <c r="S51" s="236"/>
      <c r="T51" s="236"/>
      <c r="U51" s="236"/>
      <c r="V51" s="236"/>
      <c r="W51" s="236"/>
      <c r="X51" s="236"/>
      <c r="Y51" s="236"/>
      <c r="Z51" s="236"/>
      <c r="AA51" s="236"/>
      <c r="AB51" s="236"/>
      <c r="AC51" s="236"/>
      <c r="AD51" s="236"/>
      <c r="AE51" s="236"/>
      <c r="AF51" s="236"/>
      <c r="AG51" s="902"/>
      <c r="AH51" s="11"/>
      <c r="AI51" s="11"/>
      <c r="AJ51" s="11"/>
      <c r="AK51" s="11"/>
      <c r="AL51" s="11"/>
      <c r="AM51" s="11"/>
      <c r="AN51" s="11"/>
    </row>
    <row r="52" spans="1:40" ht="15" customHeight="1">
      <c r="A52" s="1501" t="s">
        <v>455</v>
      </c>
      <c r="B52" s="973" t="s">
        <v>418</v>
      </c>
      <c r="C52" s="531" t="s">
        <v>395</v>
      </c>
      <c r="D52" s="532" t="s">
        <v>396</v>
      </c>
      <c r="E52" s="533" t="s">
        <v>456</v>
      </c>
      <c r="G52" s="236"/>
      <c r="H52" s="1501" t="s">
        <v>109</v>
      </c>
      <c r="I52" s="980"/>
      <c r="J52" s="1194" t="s">
        <v>457</v>
      </c>
      <c r="L52" s="1195" t="s">
        <v>458</v>
      </c>
      <c r="S52" s="236"/>
      <c r="T52" s="236"/>
      <c r="U52" s="236"/>
      <c r="V52" s="236"/>
      <c r="W52" s="236"/>
      <c r="X52" s="236"/>
      <c r="Y52" s="236"/>
      <c r="Z52" s="236"/>
      <c r="AA52" s="236"/>
      <c r="AB52" s="236"/>
      <c r="AC52" s="236"/>
      <c r="AD52" s="236"/>
      <c r="AE52" s="236"/>
      <c r="AF52" s="236"/>
      <c r="AG52" s="339"/>
      <c r="AH52" s="11"/>
      <c r="AI52" s="11"/>
      <c r="AJ52" s="11"/>
      <c r="AK52" s="11"/>
      <c r="AL52" s="11"/>
      <c r="AM52" s="11"/>
      <c r="AN52" s="11"/>
    </row>
    <row r="53" spans="1:40" ht="15" customHeight="1">
      <c r="A53" s="1530"/>
      <c r="B53" s="974" t="s">
        <v>459</v>
      </c>
      <c r="C53" s="534">
        <f>Assumptions!F77</f>
        <v>6.0000000000000001E-3</v>
      </c>
      <c r="D53" s="535">
        <f>Assumptions!F78</f>
        <v>5.0000000000000001E-3</v>
      </c>
      <c r="E53" s="528" t="s">
        <v>460</v>
      </c>
      <c r="G53" s="236"/>
      <c r="H53" s="1502"/>
      <c r="I53" s="108" t="s">
        <v>461</v>
      </c>
      <c r="J53" s="1018">
        <f>SUMPRODUCT(G35:AF35,G45:AF45)+((AF43-AF44)*AF45)</f>
        <v>6221.2813433807569</v>
      </c>
      <c r="L53" s="1082">
        <f>J53/J55</f>
        <v>0.84904692537284621</v>
      </c>
      <c r="S53" s="236"/>
      <c r="T53" s="236"/>
      <c r="U53" s="236"/>
      <c r="V53" s="236"/>
      <c r="W53" s="236"/>
      <c r="X53" s="236"/>
      <c r="Y53" s="236"/>
      <c r="Z53" s="236"/>
      <c r="AA53" s="236"/>
      <c r="AB53" s="236"/>
      <c r="AC53" s="236"/>
      <c r="AD53" s="236"/>
      <c r="AE53" s="236"/>
      <c r="AF53" s="236"/>
      <c r="AG53" s="339"/>
      <c r="AH53" s="11"/>
      <c r="AI53" s="11"/>
      <c r="AJ53" s="11"/>
      <c r="AK53" s="11"/>
      <c r="AL53" s="11"/>
      <c r="AM53" s="11"/>
      <c r="AN53" s="11"/>
    </row>
    <row r="54" spans="1:40" ht="15" customHeight="1">
      <c r="A54" s="1530"/>
      <c r="B54" s="975" t="s">
        <v>462</v>
      </c>
      <c r="C54" s="299">
        <f>Assumptions!F94</f>
        <v>1.4E-3</v>
      </c>
      <c r="D54" s="976">
        <f>Assumptions!F95</f>
        <v>1.5E-3</v>
      </c>
      <c r="E54" s="529" t="s">
        <v>463</v>
      </c>
      <c r="G54" s="236"/>
      <c r="H54" s="1502"/>
      <c r="I54" s="1165" t="s">
        <v>464</v>
      </c>
      <c r="J54" s="1019">
        <f>(AF36/(E50-AF5))*AF45</f>
        <v>1106.0890968911688</v>
      </c>
      <c r="L54" s="1081">
        <f>J54/J55</f>
        <v>0.15095307462715379</v>
      </c>
      <c r="M54" s="236"/>
      <c r="N54" s="236"/>
      <c r="O54" s="236"/>
      <c r="P54" s="236"/>
      <c r="Q54" s="236"/>
      <c r="R54" s="236"/>
      <c r="S54" s="236"/>
      <c r="T54" s="236"/>
      <c r="U54" s="236"/>
      <c r="V54" s="236"/>
      <c r="W54" s="236"/>
      <c r="X54" s="236"/>
      <c r="Y54" s="236"/>
      <c r="Z54" s="236"/>
      <c r="AA54" s="236"/>
      <c r="AB54" s="236"/>
      <c r="AC54" s="236"/>
      <c r="AD54" s="236"/>
      <c r="AE54" s="236"/>
      <c r="AF54" s="236"/>
      <c r="AG54" s="339"/>
      <c r="AH54" s="11"/>
      <c r="AI54" s="11"/>
      <c r="AJ54" s="11"/>
      <c r="AK54" s="11"/>
      <c r="AL54" s="11"/>
      <c r="AM54" s="11"/>
      <c r="AN54" s="11"/>
    </row>
    <row r="55" spans="1:40" ht="15" customHeight="1">
      <c r="A55" s="1530"/>
      <c r="B55" s="977" t="s">
        <v>465</v>
      </c>
      <c r="C55" s="298">
        <f>Assumptions!F260</f>
        <v>0.23499999999999999</v>
      </c>
      <c r="D55" s="300">
        <f>Assumptions!F261</f>
        <v>0.23</v>
      </c>
      <c r="E55" s="529" t="s">
        <v>466</v>
      </c>
      <c r="G55" s="236"/>
      <c r="H55" s="1502"/>
      <c r="I55" s="943" t="s">
        <v>467</v>
      </c>
      <c r="J55" s="1019">
        <f>J53+J54</f>
        <v>7327.3704402719259</v>
      </c>
      <c r="M55" s="236"/>
      <c r="N55" s="236"/>
      <c r="O55" s="236"/>
      <c r="P55" s="236"/>
      <c r="Q55" s="236"/>
      <c r="R55" s="236"/>
      <c r="S55" s="236"/>
      <c r="T55" s="236"/>
      <c r="U55" s="236"/>
      <c r="V55" s="236"/>
      <c r="W55" s="236"/>
      <c r="X55" s="236"/>
      <c r="Y55" s="236"/>
      <c r="Z55" s="236"/>
      <c r="AA55" s="236"/>
      <c r="AB55" s="236"/>
      <c r="AC55" s="236"/>
      <c r="AD55" s="236"/>
      <c r="AE55" s="236"/>
      <c r="AF55" s="236"/>
      <c r="AG55" s="339"/>
      <c r="AH55" s="11"/>
      <c r="AI55" s="11"/>
      <c r="AJ55" s="11"/>
      <c r="AK55" s="11"/>
      <c r="AL55" s="11"/>
      <c r="AM55" s="11"/>
      <c r="AN55" s="11"/>
    </row>
    <row r="56" spans="1:40" ht="15" customHeight="1">
      <c r="A56" s="1530"/>
      <c r="B56" s="978" t="s">
        <v>468</v>
      </c>
      <c r="C56" s="301">
        <v>0.05</v>
      </c>
      <c r="D56" s="976">
        <v>0.05</v>
      </c>
      <c r="E56" s="528" t="s">
        <v>469</v>
      </c>
      <c r="G56" s="236"/>
      <c r="H56" s="1502"/>
      <c r="I56" s="1196" t="s">
        <v>470</v>
      </c>
      <c r="J56" s="1197">
        <f>OP!C20</f>
        <v>43.65</v>
      </c>
      <c r="L56" s="270"/>
      <c r="M56" s="236"/>
      <c r="N56" s="236"/>
      <c r="O56" s="236"/>
      <c r="P56" s="236"/>
      <c r="Q56" s="236"/>
      <c r="R56" s="236"/>
      <c r="S56" s="236"/>
      <c r="T56" s="236"/>
      <c r="U56" s="236"/>
      <c r="V56" s="236"/>
      <c r="W56" s="236"/>
      <c r="X56" s="236"/>
      <c r="Y56" s="236"/>
      <c r="Z56" s="236"/>
      <c r="AA56" s="236"/>
      <c r="AB56" s="236"/>
      <c r="AC56" s="236"/>
      <c r="AD56" s="236"/>
      <c r="AE56" s="236"/>
      <c r="AF56" s="236"/>
      <c r="AG56" s="339"/>
      <c r="AH56" s="11"/>
      <c r="AI56" s="11"/>
      <c r="AJ56" s="11"/>
      <c r="AK56" s="11"/>
      <c r="AL56" s="11"/>
      <c r="AM56" s="11"/>
      <c r="AN56" s="11"/>
    </row>
    <row r="57" spans="1:40" ht="15" customHeight="1">
      <c r="A57" s="1531"/>
      <c r="B57" s="979" t="s">
        <v>471</v>
      </c>
      <c r="C57" s="562">
        <f>Assumptions!F172</f>
        <v>0.05</v>
      </c>
      <c r="D57" s="562">
        <f>Assumptions!F173</f>
        <v>0.05</v>
      </c>
      <c r="E57" s="530" t="s">
        <v>460</v>
      </c>
      <c r="G57" s="236"/>
      <c r="H57" s="1502"/>
      <c r="I57" s="1196" t="s">
        <v>472</v>
      </c>
      <c r="J57" s="942">
        <f>J58/J56-1</f>
        <v>0.15090927430234147</v>
      </c>
      <c r="L57"/>
      <c r="M57" s="248"/>
      <c r="N57" s="248"/>
      <c r="O57" s="236"/>
      <c r="P57" s="236"/>
      <c r="Q57" s="236"/>
      <c r="R57" s="236"/>
      <c r="S57" s="236"/>
      <c r="T57" s="236"/>
      <c r="U57" s="236"/>
      <c r="V57" s="236"/>
      <c r="W57" s="236"/>
      <c r="X57" s="236"/>
      <c r="Y57" s="236"/>
      <c r="Z57" s="236"/>
      <c r="AA57" s="236"/>
      <c r="AB57" s="236"/>
      <c r="AC57" s="236"/>
      <c r="AD57" s="236"/>
      <c r="AE57" s="236"/>
      <c r="AF57" s="236"/>
      <c r="AG57" s="339"/>
      <c r="AH57" s="11"/>
      <c r="AI57" s="11"/>
      <c r="AJ57" s="11"/>
      <c r="AK57" s="11"/>
      <c r="AL57" s="11"/>
      <c r="AM57" s="11"/>
      <c r="AN57" s="11"/>
    </row>
    <row r="58" spans="1:40" ht="15" customHeight="1">
      <c r="C58" s="236"/>
      <c r="D58" s="236"/>
      <c r="E58" s="236"/>
      <c r="G58" s="236"/>
      <c r="H58" s="1503"/>
      <c r="I58" s="944" t="s">
        <v>473</v>
      </c>
      <c r="J58" s="1198">
        <f>J55*1000000/OP!C21</f>
        <v>50.237189823297207</v>
      </c>
      <c r="L58"/>
      <c r="M58" s="249"/>
      <c r="N58" s="248"/>
      <c r="O58" s="236"/>
      <c r="P58" s="236"/>
      <c r="Q58" s="236"/>
      <c r="R58" s="236"/>
      <c r="S58" s="236"/>
      <c r="T58" s="236"/>
      <c r="U58" s="236"/>
      <c r="V58" s="236"/>
      <c r="W58" s="236"/>
      <c r="X58" s="236"/>
      <c r="Y58" s="236"/>
      <c r="Z58" s="236"/>
      <c r="AA58" s="236"/>
      <c r="AB58" s="236"/>
      <c r="AC58" s="236"/>
      <c r="AD58" s="236"/>
      <c r="AE58" s="236"/>
      <c r="AF58" s="236"/>
      <c r="AG58" s="339"/>
      <c r="AH58" s="11"/>
      <c r="AI58" s="11"/>
      <c r="AJ58" s="11"/>
      <c r="AK58" s="11"/>
      <c r="AL58" s="11"/>
      <c r="AM58" s="11"/>
      <c r="AN58" s="11"/>
    </row>
    <row r="59" spans="1:40" ht="15" customHeight="1">
      <c r="G59" s="236"/>
      <c r="H59" s="236"/>
      <c r="I59" s="236"/>
      <c r="J59" s="248"/>
      <c r="K59" s="248"/>
      <c r="L59" s="248"/>
      <c r="M59" s="248"/>
      <c r="N59" s="248"/>
      <c r="O59" s="236"/>
      <c r="P59" s="236"/>
      <c r="Q59" s="236"/>
      <c r="R59" s="236"/>
      <c r="S59" s="236"/>
      <c r="T59" s="236"/>
      <c r="U59" s="236"/>
      <c r="V59" s="236"/>
      <c r="W59" s="236"/>
      <c r="X59" s="236"/>
      <c r="Y59" s="236"/>
      <c r="Z59" s="236"/>
      <c r="AA59" s="236"/>
      <c r="AB59" s="236"/>
      <c r="AC59" s="236"/>
      <c r="AD59" s="236"/>
      <c r="AE59" s="236"/>
      <c r="AF59" s="236"/>
      <c r="AG59" s="339"/>
      <c r="AH59" s="11"/>
      <c r="AI59" s="11"/>
      <c r="AJ59" s="11"/>
      <c r="AK59" s="11"/>
      <c r="AL59" s="11"/>
      <c r="AM59" s="11"/>
      <c r="AN59" s="11"/>
    </row>
    <row r="60" spans="1:40" ht="15" customHeight="1">
      <c r="G60" s="236"/>
      <c r="H60" s="236"/>
      <c r="I60" s="236"/>
      <c r="J60" s="236"/>
      <c r="K60" s="236"/>
      <c r="L60" s="236"/>
      <c r="M60" s="236"/>
      <c r="N60" s="236"/>
      <c r="O60" s="236"/>
      <c r="P60" s="236"/>
      <c r="Q60" s="236"/>
      <c r="R60" s="236"/>
      <c r="S60" s="236"/>
      <c r="T60" s="236"/>
      <c r="U60" s="236"/>
      <c r="V60" s="236"/>
      <c r="W60" s="236"/>
      <c r="X60" s="236"/>
      <c r="Y60" s="236"/>
      <c r="Z60" s="236"/>
      <c r="AA60" s="236"/>
      <c r="AB60" s="236"/>
      <c r="AC60" s="236"/>
      <c r="AD60" s="236"/>
      <c r="AE60" s="236"/>
      <c r="AF60" s="236"/>
      <c r="AG60" s="339"/>
      <c r="AH60" s="11"/>
      <c r="AI60" s="11"/>
      <c r="AJ60" s="11"/>
      <c r="AK60" s="11"/>
      <c r="AL60" s="11"/>
      <c r="AM60" s="11"/>
      <c r="AN60" s="11"/>
    </row>
    <row r="61" spans="1:40" ht="15" customHeight="1">
      <c r="G61" s="236"/>
      <c r="H61" s="236"/>
      <c r="I61" s="236"/>
      <c r="J61" s="236"/>
      <c r="K61" s="236"/>
      <c r="L61" s="236"/>
      <c r="M61" s="236"/>
      <c r="N61" s="236"/>
      <c r="O61" s="236"/>
      <c r="P61" s="236"/>
      <c r="Q61" s="236"/>
      <c r="R61" s="236"/>
      <c r="S61" s="236"/>
      <c r="T61" s="236"/>
      <c r="U61" s="236"/>
      <c r="V61" s="236"/>
      <c r="W61" s="236"/>
      <c r="X61" s="236"/>
      <c r="Y61" s="236"/>
      <c r="Z61" s="236"/>
      <c r="AA61" s="236"/>
      <c r="AB61" s="236"/>
      <c r="AC61" s="236"/>
      <c r="AD61" s="236"/>
      <c r="AE61" s="236"/>
      <c r="AF61" s="236"/>
      <c r="AG61" s="339"/>
      <c r="AH61" s="11"/>
      <c r="AI61" s="11"/>
      <c r="AJ61" s="11"/>
      <c r="AK61" s="11"/>
      <c r="AL61" s="11"/>
      <c r="AM61" s="11"/>
      <c r="AN61" s="11"/>
    </row>
    <row r="62" spans="1:40" ht="15" customHeight="1">
      <c r="G62" s="236"/>
      <c r="I62" s="236"/>
      <c r="J62" s="236"/>
      <c r="K62" s="236"/>
      <c r="L62" s="236"/>
      <c r="M62" s="236"/>
      <c r="N62" s="236"/>
      <c r="O62" s="236"/>
      <c r="P62" s="236"/>
      <c r="Q62" s="236"/>
      <c r="R62" s="236"/>
      <c r="S62" s="236"/>
      <c r="T62" s="236"/>
      <c r="U62" s="236"/>
      <c r="V62" s="236"/>
      <c r="W62" s="236"/>
      <c r="X62" s="236"/>
      <c r="Y62" s="236"/>
      <c r="Z62" s="236"/>
      <c r="AA62" s="236"/>
      <c r="AB62" s="236"/>
      <c r="AC62" s="236"/>
      <c r="AD62" s="236"/>
      <c r="AE62" s="236"/>
      <c r="AF62" s="236"/>
      <c r="AG62" s="236"/>
    </row>
    <row r="63" spans="1:40" ht="15.75" customHeight="1">
      <c r="G63" s="236"/>
      <c r="J63" s="236"/>
      <c r="K63" s="236"/>
      <c r="L63" s="236"/>
      <c r="M63" s="236"/>
      <c r="N63" s="236"/>
      <c r="O63" s="236"/>
      <c r="P63" s="236"/>
      <c r="Q63" s="236"/>
      <c r="R63" s="236"/>
      <c r="S63" s="236"/>
      <c r="T63" s="236"/>
      <c r="U63" s="236"/>
      <c r="V63" s="236"/>
      <c r="W63" s="236"/>
      <c r="X63" s="236"/>
      <c r="Y63" s="236"/>
      <c r="Z63" s="236"/>
      <c r="AA63" s="236"/>
      <c r="AB63" s="236"/>
      <c r="AC63" s="236"/>
      <c r="AD63" s="236"/>
      <c r="AE63" s="236"/>
      <c r="AF63" s="236"/>
      <c r="AG63" s="236"/>
    </row>
    <row r="64" spans="1:40" ht="15">
      <c r="F64" s="236"/>
      <c r="G64" s="236"/>
      <c r="H64" s="236"/>
      <c r="I64" s="236"/>
      <c r="J64" s="236"/>
      <c r="K64" s="236"/>
      <c r="L64" s="236"/>
      <c r="M64" s="236"/>
      <c r="N64" s="236"/>
      <c r="O64" s="236"/>
      <c r="P64" s="236"/>
      <c r="Q64" s="236"/>
      <c r="R64" s="236"/>
      <c r="S64" s="236"/>
      <c r="T64" s="236"/>
      <c r="U64" s="236"/>
      <c r="V64" s="236"/>
      <c r="W64" s="236"/>
      <c r="X64" s="236"/>
      <c r="Y64" s="236"/>
      <c r="Z64" s="236"/>
      <c r="AA64" s="236"/>
      <c r="AB64" s="236"/>
      <c r="AC64" s="236"/>
      <c r="AD64" s="236"/>
      <c r="AE64" s="236"/>
      <c r="AF64" s="236"/>
      <c r="AG64" s="236"/>
    </row>
    <row r="65" spans="1:33" ht="15">
      <c r="G65" s="236"/>
      <c r="H65" s="236"/>
      <c r="I65" s="236"/>
      <c r="J65" s="236"/>
      <c r="K65" s="236"/>
      <c r="L65" s="236"/>
      <c r="M65" s="236"/>
      <c r="N65" s="236"/>
      <c r="O65" s="236"/>
      <c r="P65" s="236"/>
      <c r="Q65" s="236"/>
      <c r="R65" s="236"/>
      <c r="S65" s="236"/>
      <c r="T65" s="236"/>
      <c r="U65" s="236"/>
      <c r="V65" s="236"/>
      <c r="W65" s="236"/>
      <c r="X65" s="236"/>
      <c r="Y65" s="236"/>
      <c r="Z65" s="236"/>
      <c r="AA65" s="236"/>
      <c r="AB65" s="236"/>
      <c r="AC65" s="236"/>
      <c r="AD65" s="236"/>
      <c r="AE65" s="236"/>
      <c r="AF65" s="236"/>
      <c r="AG65" s="236"/>
    </row>
    <row r="66" spans="1:33" ht="15">
      <c r="C66" s="270"/>
      <c r="D66" s="302"/>
      <c r="G66" s="236"/>
      <c r="H66" s="236"/>
      <c r="I66" s="236"/>
      <c r="J66" s="236"/>
      <c r="K66" s="236"/>
      <c r="L66" s="236"/>
      <c r="M66" s="236"/>
      <c r="N66" s="236"/>
      <c r="O66" s="236"/>
      <c r="P66" s="236"/>
      <c r="Q66" s="236"/>
      <c r="R66" s="236"/>
      <c r="S66" s="236"/>
      <c r="T66" s="236"/>
      <c r="U66" s="236"/>
      <c r="V66" s="236"/>
      <c r="W66" s="236"/>
      <c r="X66" s="236"/>
      <c r="Y66" s="236"/>
      <c r="Z66" s="236"/>
      <c r="AA66" s="236"/>
      <c r="AB66" s="236"/>
      <c r="AC66" s="236"/>
      <c r="AD66" s="236"/>
      <c r="AE66" s="236"/>
      <c r="AF66" s="236"/>
      <c r="AG66" s="236"/>
    </row>
    <row r="67" spans="1:33" ht="15">
      <c r="C67" s="311" t="s">
        <v>474</v>
      </c>
      <c r="D67" s="303">
        <f>(SUMPRODUCT(G35:AF35,G45:AF45)+((AF43-AF44)*AF45)+(AF34/(E50+0.001-AF5))*AF45)*1000000/OP!C21</f>
        <v>54.550369976127698</v>
      </c>
      <c r="E67" s="304">
        <f>D67/J58-1</f>
        <v>8.5856318157953027E-2</v>
      </c>
      <c r="G67" s="236" t="s">
        <v>221</v>
      </c>
      <c r="H67" s="236"/>
      <c r="I67" s="236"/>
      <c r="J67" s="236"/>
      <c r="K67" s="236"/>
      <c r="L67" s="236"/>
      <c r="M67" s="236"/>
      <c r="N67" s="236"/>
      <c r="O67" s="236"/>
      <c r="P67" s="236"/>
      <c r="Q67" s="236"/>
      <c r="R67" s="236"/>
      <c r="S67" s="236"/>
      <c r="T67" s="236"/>
      <c r="U67" s="236"/>
      <c r="V67" s="236"/>
      <c r="W67" s="236"/>
      <c r="X67" s="236"/>
      <c r="Y67" s="236"/>
      <c r="Z67" s="236"/>
      <c r="AA67" s="236"/>
      <c r="AB67" s="236"/>
      <c r="AC67" s="236"/>
      <c r="AD67" s="236"/>
      <c r="AE67" s="236"/>
      <c r="AF67" s="236"/>
      <c r="AG67" s="236"/>
    </row>
    <row r="68" spans="1:33" ht="15">
      <c r="A68" s="556" t="s">
        <v>475</v>
      </c>
      <c r="C68" s="311" t="s">
        <v>476</v>
      </c>
      <c r="D68" s="303">
        <f>(SUMPRODUCT(G35:AF35,G45:AF45)+((AF43-AF44)*AF45)+(AF34/(E50+0.005-AF5))*AF45)*1000000/OP!C21</f>
        <v>54.014724271857673</v>
      </c>
      <c r="E68" s="304">
        <f>D68/J58-1</f>
        <v>7.5193984015575976E-2</v>
      </c>
      <c r="G68" s="236"/>
      <c r="H68" s="236"/>
      <c r="I68" s="236"/>
      <c r="J68" s="236"/>
      <c r="K68" s="236"/>
      <c r="L68" s="236"/>
      <c r="M68" s="236"/>
      <c r="N68" s="236"/>
      <c r="O68" s="236"/>
      <c r="P68" s="236"/>
      <c r="Q68" s="236"/>
      <c r="R68" s="236"/>
      <c r="S68" s="236"/>
      <c r="T68" s="236"/>
      <c r="U68" s="236"/>
      <c r="V68" s="236"/>
      <c r="W68" s="236"/>
      <c r="X68" s="236"/>
      <c r="Y68" s="236"/>
      <c r="Z68" s="236"/>
      <c r="AA68" s="236"/>
      <c r="AB68" s="236"/>
      <c r="AC68" s="236"/>
      <c r="AD68" s="236"/>
      <c r="AE68" s="236"/>
      <c r="AF68" s="236"/>
      <c r="AG68" s="236"/>
    </row>
    <row r="69" spans="1:33" ht="15">
      <c r="A69" s="557"/>
      <c r="C69" s="310"/>
      <c r="D69" s="302"/>
      <c r="E69" s="304"/>
      <c r="G69" s="236"/>
      <c r="H69" s="236"/>
      <c r="I69" s="236"/>
      <c r="J69" s="236"/>
      <c r="K69" s="236"/>
      <c r="L69" s="236"/>
      <c r="M69" s="236"/>
      <c r="N69" s="236"/>
      <c r="O69" s="236"/>
      <c r="P69" s="236"/>
      <c r="Q69" s="236"/>
      <c r="R69" s="236"/>
      <c r="S69" s="236"/>
      <c r="T69" s="236"/>
      <c r="U69" s="236"/>
      <c r="V69" s="236"/>
      <c r="W69" s="236"/>
      <c r="X69" s="236"/>
      <c r="Y69" s="236"/>
      <c r="Z69" s="236"/>
      <c r="AA69" s="236"/>
      <c r="AB69" s="236"/>
      <c r="AC69" s="236"/>
      <c r="AD69" s="236"/>
      <c r="AE69" s="236"/>
      <c r="AF69" s="236"/>
      <c r="AG69" s="236"/>
    </row>
    <row r="70" spans="1:33" ht="15">
      <c r="A70" s="309"/>
      <c r="H70" s="236"/>
      <c r="I70" s="236"/>
      <c r="J70" s="236"/>
      <c r="K70" s="236"/>
      <c r="L70" s="236"/>
      <c r="M70" s="236"/>
      <c r="N70" s="236"/>
      <c r="O70" s="236"/>
      <c r="P70" s="236"/>
      <c r="Q70" s="236"/>
      <c r="R70" s="236"/>
      <c r="S70" s="236"/>
      <c r="T70" s="236"/>
      <c r="U70" s="236"/>
      <c r="V70" s="236"/>
      <c r="W70" s="236"/>
      <c r="X70" s="236"/>
      <c r="Y70" s="236"/>
      <c r="Z70" s="236"/>
      <c r="AA70" s="236"/>
      <c r="AB70" s="236"/>
      <c r="AC70" s="236"/>
      <c r="AD70" s="236"/>
      <c r="AE70" s="236"/>
      <c r="AF70" s="236"/>
      <c r="AG70" s="236"/>
    </row>
    <row r="71" spans="1:33" ht="15">
      <c r="A71" s="312" t="s">
        <v>477</v>
      </c>
    </row>
    <row r="73" spans="1:33" ht="12.75" customHeight="1"/>
    <row r="74" spans="1:33" ht="12.75" customHeight="1"/>
    <row r="76" spans="1:33">
      <c r="J76" s="5"/>
    </row>
    <row r="77" spans="1:33">
      <c r="G77" s="1"/>
      <c r="H77" s="1"/>
      <c r="I77" s="1"/>
      <c r="J77" s="4"/>
    </row>
    <row r="78" spans="1:33">
      <c r="G78" s="1"/>
      <c r="H78" s="1"/>
      <c r="I78" s="1"/>
      <c r="J78" s="4"/>
    </row>
    <row r="79" spans="1:33">
      <c r="G79" s="1"/>
      <c r="H79" s="1"/>
      <c r="I79" s="1"/>
      <c r="K79" s="4"/>
    </row>
    <row r="80" spans="1:33">
      <c r="L80" s="5"/>
    </row>
    <row r="81" spans="7:9">
      <c r="G81" s="1"/>
      <c r="H81" s="1"/>
      <c r="I81" s="1"/>
    </row>
    <row r="82" spans="7:9">
      <c r="G82" s="1"/>
      <c r="H82" s="1"/>
      <c r="I82" s="1"/>
    </row>
    <row r="83" spans="7:9">
      <c r="G83" s="1"/>
      <c r="H83" s="1"/>
      <c r="I83" s="1"/>
    </row>
  </sheetData>
  <mergeCells count="14">
    <mergeCell ref="A33:AF33"/>
    <mergeCell ref="A1:AF2"/>
    <mergeCell ref="H52:H58"/>
    <mergeCell ref="A5:A17"/>
    <mergeCell ref="A19:A32"/>
    <mergeCell ref="A43:A47"/>
    <mergeCell ref="G3:J3"/>
    <mergeCell ref="K3:AF3"/>
    <mergeCell ref="A42:AF42"/>
    <mergeCell ref="A48:AF48"/>
    <mergeCell ref="A34:A36"/>
    <mergeCell ref="A38:A41"/>
    <mergeCell ref="A49:A50"/>
    <mergeCell ref="A52:A57"/>
  </mergeCells>
  <phoneticPr fontId="0" type="noConversion"/>
  <conditionalFormatting sqref="J57">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C262"/>
  <sheetViews>
    <sheetView topLeftCell="A133" workbookViewId="0">
      <selection activeCell="C143" sqref="C143"/>
    </sheetView>
  </sheetViews>
  <sheetFormatPr defaultColWidth="9.140625" defaultRowHeight="12.75"/>
  <cols>
    <col min="1" max="1" width="3.42578125" style="2" customWidth="1"/>
    <col min="2" max="2" width="41.28515625" style="2" customWidth="1"/>
    <col min="3" max="3" width="13" style="2" customWidth="1"/>
    <col min="4" max="4" width="17.7109375" style="2" bestFit="1" customWidth="1"/>
    <col min="5" max="5" width="19.28515625" style="2" bestFit="1" customWidth="1"/>
    <col min="6" max="6" width="21.28515625" style="2" bestFit="1" customWidth="1"/>
    <col min="7" max="13" width="17.7109375" style="2" bestFit="1" customWidth="1"/>
    <col min="14" max="14" width="10.5703125" style="2" bestFit="1" customWidth="1"/>
    <col min="15" max="15" width="12.140625" style="2" bestFit="1" customWidth="1"/>
    <col min="16" max="19" width="10.42578125" style="2" bestFit="1" customWidth="1"/>
    <col min="20" max="20" width="11.42578125" style="2" customWidth="1"/>
    <col min="21" max="21" width="12.28515625" style="2" customWidth="1"/>
    <col min="22" max="22" width="11" style="2" customWidth="1"/>
    <col min="23" max="28" width="10.42578125" style="2" bestFit="1" customWidth="1"/>
    <col min="29" max="16384" width="9.140625" style="2"/>
  </cols>
  <sheetData>
    <row r="2" spans="2:14" ht="13.5" thickBot="1">
      <c r="B2" s="6"/>
    </row>
    <row r="3" spans="2:14" ht="13.5" thickBot="1">
      <c r="B3" s="6" t="s">
        <v>478</v>
      </c>
      <c r="C3" s="636">
        <v>2022</v>
      </c>
      <c r="D3" s="637">
        <v>2021</v>
      </c>
      <c r="E3" s="637">
        <v>2020</v>
      </c>
      <c r="F3" s="637">
        <v>2019</v>
      </c>
      <c r="G3" s="637">
        <v>2018</v>
      </c>
      <c r="H3" s="637">
        <v>2017</v>
      </c>
      <c r="I3" s="637">
        <v>2016</v>
      </c>
      <c r="J3" s="637">
        <v>2015</v>
      </c>
      <c r="K3" s="637">
        <v>2014</v>
      </c>
      <c r="L3" s="637">
        <v>2013</v>
      </c>
      <c r="M3" s="637">
        <v>2012</v>
      </c>
      <c r="N3" s="638">
        <v>2011</v>
      </c>
    </row>
    <row r="4" spans="2:14" ht="12.75" customHeight="1">
      <c r="B4" s="737" t="s">
        <v>479</v>
      </c>
      <c r="C4" s="738">
        <f>'Fin. Data'!B5</f>
        <v>7499</v>
      </c>
      <c r="D4" s="739">
        <f>'Fin. Data'!C5</f>
        <v>7313</v>
      </c>
      <c r="E4" s="739">
        <f>'Fin. Data'!D5</f>
        <v>5595</v>
      </c>
      <c r="F4" s="739">
        <f>'Fin. Data'!E5</f>
        <v>8243</v>
      </c>
      <c r="G4" s="739">
        <f>'Fin. Data'!F5</f>
        <v>8475</v>
      </c>
      <c r="H4" s="739">
        <f>'Fin. Data'!G5</f>
        <v>7989</v>
      </c>
      <c r="I4" s="739">
        <f>'Fin. Data'!H5</f>
        <v>7553</v>
      </c>
      <c r="J4" s="739">
        <f>'Fin. Data'!I5</f>
        <v>8451</v>
      </c>
      <c r="K4" s="739">
        <f>'Fin. Data'!J5</f>
        <v>8709</v>
      </c>
      <c r="L4" s="739">
        <f>'Fin. Data'!K5</f>
        <v>8456</v>
      </c>
      <c r="M4" s="739">
        <f>'Fin. Data'!L5</f>
        <v>7796</v>
      </c>
      <c r="N4" s="740">
        <f>'Fin. Data'!M5</f>
        <v>6852</v>
      </c>
    </row>
    <row r="5" spans="2:14">
      <c r="B5" s="727" t="s">
        <v>296</v>
      </c>
      <c r="C5" s="649">
        <f t="shared" ref="C5:M5" si="0">C4/D4-1</f>
        <v>2.5434158348147218E-2</v>
      </c>
      <c r="D5" s="542">
        <f t="shared" si="0"/>
        <v>0.30705987488829312</v>
      </c>
      <c r="E5" s="542">
        <f t="shared" si="0"/>
        <v>-0.32124226616523111</v>
      </c>
      <c r="F5" s="542">
        <f t="shared" si="0"/>
        <v>-2.7374631268436533E-2</v>
      </c>
      <c r="G5" s="542">
        <f t="shared" si="0"/>
        <v>6.083364626361254E-2</v>
      </c>
      <c r="H5" s="542">
        <f t="shared" si="0"/>
        <v>5.7725407122997563E-2</v>
      </c>
      <c r="I5" s="542">
        <f t="shared" si="0"/>
        <v>-0.10625961424683472</v>
      </c>
      <c r="J5" s="542">
        <f t="shared" si="0"/>
        <v>-2.9624526352049596E-2</v>
      </c>
      <c r="K5" s="542">
        <f t="shared" si="0"/>
        <v>2.9919583727530785E-2</v>
      </c>
      <c r="L5" s="542">
        <f t="shared" si="0"/>
        <v>8.4658799384299543E-2</v>
      </c>
      <c r="M5" s="542">
        <f t="shared" si="0"/>
        <v>0.1377699941622883</v>
      </c>
      <c r="N5" s="650" t="s">
        <v>69</v>
      </c>
    </row>
    <row r="6" spans="2:14">
      <c r="B6" s="741" t="s">
        <v>62</v>
      </c>
      <c r="C6" s="742" cm="1">
        <f t="array" ref="C6:N6">'Fin. Data'!B17:M17</f>
        <v>1195</v>
      </c>
      <c r="D6" s="743">
        <v>1039</v>
      </c>
      <c r="E6" s="743">
        <v>60</v>
      </c>
      <c r="F6" s="743">
        <v>1049</v>
      </c>
      <c r="G6" s="743">
        <v>1173</v>
      </c>
      <c r="H6" s="743">
        <v>1000</v>
      </c>
      <c r="I6" s="743">
        <v>824</v>
      </c>
      <c r="J6" s="743">
        <v>1481</v>
      </c>
      <c r="K6" s="743">
        <v>1782</v>
      </c>
      <c r="L6" s="743">
        <v>2302</v>
      </c>
      <c r="M6" s="743">
        <v>1966</v>
      </c>
      <c r="N6" s="744">
        <v>1621</v>
      </c>
    </row>
    <row r="7" spans="2:14">
      <c r="B7" s="727" t="s">
        <v>417</v>
      </c>
      <c r="C7" s="651">
        <f>'Fin. Data'!B24</f>
        <v>807</v>
      </c>
      <c r="D7" s="652">
        <f>'Fin. Data'!C24</f>
        <v>765</v>
      </c>
      <c r="E7" s="652">
        <f>'Fin. Data'!D24</f>
        <v>-51</v>
      </c>
      <c r="F7" s="652">
        <f>'Fin. Data'!E24</f>
        <v>730</v>
      </c>
      <c r="G7" s="652">
        <f>'Fin. Data'!F24</f>
        <v>845</v>
      </c>
      <c r="H7" s="652">
        <f>'Fin. Data'!G24</f>
        <v>733</v>
      </c>
      <c r="I7" s="652">
        <f>'Fin. Data'!H24</f>
        <v>574</v>
      </c>
      <c r="J7" s="652">
        <f>'Fin. Data'!I24</f>
        <v>1089</v>
      </c>
      <c r="K7" s="652">
        <f>'Fin. Data'!J24</f>
        <v>1384</v>
      </c>
      <c r="L7" s="652">
        <f>'Fin. Data'!K24</f>
        <v>1921</v>
      </c>
      <c r="M7" s="652">
        <f>'Fin. Data'!L24</f>
        <v>1596</v>
      </c>
      <c r="N7" s="653">
        <f>'Fin. Data'!M24</f>
        <v>1269</v>
      </c>
    </row>
    <row r="8" spans="2:14">
      <c r="B8" s="741" t="s">
        <v>480</v>
      </c>
      <c r="C8" s="742" cm="1">
        <f t="array" ref="C8:N8">'Fin. Data'!B22:M22</f>
        <v>-273</v>
      </c>
      <c r="D8" s="743">
        <v>-237</v>
      </c>
      <c r="E8" s="743">
        <v>-89</v>
      </c>
      <c r="F8" s="743">
        <v>-256</v>
      </c>
      <c r="G8" s="743">
        <v>-266</v>
      </c>
      <c r="H8" s="743">
        <v>-252</v>
      </c>
      <c r="I8" s="743">
        <v>-184</v>
      </c>
      <c r="J8" s="743">
        <v>-285</v>
      </c>
      <c r="K8" s="743">
        <v>-349</v>
      </c>
      <c r="L8" s="743">
        <v>-428</v>
      </c>
      <c r="M8" s="743">
        <v>-407</v>
      </c>
      <c r="N8" s="744">
        <v>-335</v>
      </c>
    </row>
    <row r="9" spans="2:14">
      <c r="B9" s="727" t="s">
        <v>481</v>
      </c>
      <c r="C9" s="654">
        <v>9.4</v>
      </c>
      <c r="D9" s="635">
        <v>9.8000000000000007</v>
      </c>
      <c r="E9" s="635">
        <v>8.5</v>
      </c>
      <c r="F9" s="635">
        <v>12.1</v>
      </c>
      <c r="G9" s="635">
        <v>16.399999999999999</v>
      </c>
      <c r="H9" s="635">
        <v>14.2</v>
      </c>
      <c r="I9" s="635">
        <v>15.2</v>
      </c>
      <c r="J9" s="635" t="s">
        <v>482</v>
      </c>
      <c r="K9" s="635" t="s">
        <v>482</v>
      </c>
      <c r="L9" s="635" t="s">
        <v>482</v>
      </c>
      <c r="M9" s="635" t="s">
        <v>482</v>
      </c>
      <c r="N9" s="655">
        <v>18</v>
      </c>
    </row>
    <row r="10" spans="2:14">
      <c r="B10" s="741" t="s">
        <v>483</v>
      </c>
      <c r="C10" s="738">
        <f>-(Inputs!B74+Inputs!B75)</f>
        <v>302</v>
      </c>
      <c r="D10" s="739">
        <f>-(Inputs!C74+Inputs!C75)</f>
        <v>208</v>
      </c>
      <c r="E10" s="739">
        <f>-(Inputs!D74+Inputs!D75)</f>
        <v>295</v>
      </c>
      <c r="F10" s="739">
        <f>-(Inputs!E74+Inputs!E75)</f>
        <v>465</v>
      </c>
      <c r="G10" s="739">
        <f>-(Inputs!F74+Inputs!F75)</f>
        <v>804</v>
      </c>
      <c r="H10" s="739">
        <f>-(Inputs!G74+Inputs!G75)</f>
        <v>578</v>
      </c>
      <c r="I10" s="739">
        <f>-(Inputs!H74+Inputs!H75)</f>
        <v>771</v>
      </c>
      <c r="J10" s="739">
        <f>-(Inputs!I74+Inputs!I75)</f>
        <v>460</v>
      </c>
      <c r="K10" s="739">
        <f>-(Inputs!J74+Inputs!J75)</f>
        <v>528</v>
      </c>
      <c r="L10" s="739">
        <f>-(Inputs!K74+Inputs!K75)</f>
        <v>373</v>
      </c>
      <c r="M10" s="739">
        <f>-(Inputs!L74+Inputs!L75)</f>
        <v>318</v>
      </c>
      <c r="N10" s="740">
        <f>-(Inputs!M74+Inputs!M75)</f>
        <v>324</v>
      </c>
    </row>
    <row r="11" spans="2:14">
      <c r="B11" s="727" t="s">
        <v>134</v>
      </c>
      <c r="C11" s="656">
        <f>-Inputs!B74</f>
        <v>300</v>
      </c>
      <c r="D11" s="657">
        <f>-Inputs!C74</f>
        <v>196</v>
      </c>
      <c r="E11" s="657">
        <f>-Inputs!D74</f>
        <v>295</v>
      </c>
      <c r="F11" s="657">
        <f>-Inputs!E74</f>
        <v>430</v>
      </c>
      <c r="G11" s="657">
        <f>-Inputs!F74</f>
        <v>413</v>
      </c>
      <c r="H11" s="657">
        <f>-Inputs!G74</f>
        <v>374</v>
      </c>
      <c r="I11" s="657">
        <f>-Inputs!H74</f>
        <v>439</v>
      </c>
      <c r="J11" s="657">
        <f>-Inputs!I74</f>
        <v>431</v>
      </c>
      <c r="K11" s="657">
        <f>-Inputs!J74</f>
        <v>421</v>
      </c>
      <c r="L11" s="657">
        <f>-Inputs!K74</f>
        <v>371</v>
      </c>
      <c r="M11" s="657">
        <f>-Inputs!L74</f>
        <v>316</v>
      </c>
      <c r="N11" s="658">
        <f>-Inputs!M74</f>
        <v>270</v>
      </c>
    </row>
    <row r="12" spans="2:14">
      <c r="B12" s="741" t="s">
        <v>484</v>
      </c>
      <c r="C12" s="745">
        <v>382.4</v>
      </c>
      <c r="D12" s="746">
        <v>433.3</v>
      </c>
      <c r="E12" s="746">
        <v>447.5</v>
      </c>
      <c r="F12" s="746">
        <v>440.9</v>
      </c>
      <c r="G12" s="746">
        <v>447.7</v>
      </c>
      <c r="H12" s="746">
        <v>440</v>
      </c>
      <c r="I12" s="746">
        <v>400.1</v>
      </c>
      <c r="J12" s="746">
        <v>380.4</v>
      </c>
      <c r="K12" s="746">
        <v>353.9</v>
      </c>
      <c r="L12" s="746">
        <v>297.89999999999998</v>
      </c>
      <c r="M12" s="746">
        <v>255</v>
      </c>
      <c r="N12" s="747">
        <v>258.3</v>
      </c>
    </row>
    <row r="13" spans="2:14">
      <c r="B13" s="727" t="s">
        <v>485</v>
      </c>
      <c r="C13" s="654">
        <v>43</v>
      </c>
      <c r="D13" s="635">
        <v>46</v>
      </c>
      <c r="E13" s="635">
        <v>45.8</v>
      </c>
      <c r="F13" s="635">
        <v>43.3</v>
      </c>
      <c r="G13" s="635">
        <v>43.9</v>
      </c>
      <c r="H13" s="635">
        <v>43.7</v>
      </c>
      <c r="I13" s="635">
        <v>43.7</v>
      </c>
      <c r="J13" s="635">
        <v>39.5</v>
      </c>
      <c r="K13" s="635">
        <v>37.1</v>
      </c>
      <c r="L13" s="635">
        <v>30.2</v>
      </c>
      <c r="M13" s="635">
        <v>23.5</v>
      </c>
      <c r="N13" s="655" t="s">
        <v>482</v>
      </c>
    </row>
    <row r="14" spans="2:14">
      <c r="B14" s="741" t="s">
        <v>439</v>
      </c>
      <c r="C14" s="745">
        <v>158</v>
      </c>
      <c r="D14" s="746">
        <v>158</v>
      </c>
      <c r="E14" s="746">
        <v>163</v>
      </c>
      <c r="F14" s="746">
        <v>155</v>
      </c>
      <c r="G14" s="746">
        <v>149</v>
      </c>
      <c r="H14" s="746">
        <v>151</v>
      </c>
      <c r="I14" s="746">
        <v>140</v>
      </c>
      <c r="J14" s="746">
        <v>151</v>
      </c>
      <c r="K14" s="746">
        <v>151</v>
      </c>
      <c r="L14" s="746">
        <v>152</v>
      </c>
      <c r="M14" s="746">
        <v>127</v>
      </c>
      <c r="N14" s="747">
        <v>128</v>
      </c>
    </row>
    <row r="15" spans="2:14">
      <c r="B15" s="727" t="s">
        <v>486</v>
      </c>
      <c r="C15" s="660">
        <f>-'Fin. Data'!B33</f>
        <v>339</v>
      </c>
      <c r="D15" s="661">
        <f>-'Fin. Data'!C33</f>
        <v>251</v>
      </c>
      <c r="E15" s="661">
        <f>-'Fin. Data'!D33</f>
        <v>208</v>
      </c>
      <c r="F15" s="661">
        <f>-'Fin. Data'!E33</f>
        <v>399</v>
      </c>
      <c r="G15" s="661">
        <f>-'Fin. Data'!F33</f>
        <v>437</v>
      </c>
      <c r="H15" s="661">
        <f>-'Fin. Data'!G33</f>
        <v>396</v>
      </c>
      <c r="I15" s="661">
        <f>-'Fin. Data'!H33</f>
        <v>504</v>
      </c>
      <c r="J15" s="661">
        <f>-'Fin. Data'!I33</f>
        <v>602</v>
      </c>
      <c r="K15" s="661">
        <f>-'Fin. Data'!J33</f>
        <v>1040</v>
      </c>
      <c r="L15" s="661">
        <f>-'Fin. Data'!K33</f>
        <v>574</v>
      </c>
      <c r="M15" s="661">
        <f>-'Fin. Data'!L33</f>
        <v>438</v>
      </c>
      <c r="N15" s="662">
        <f>-'Fin. Data'!M33</f>
        <v>365</v>
      </c>
    </row>
    <row r="16" spans="2:14">
      <c r="B16" s="741" t="s">
        <v>487</v>
      </c>
      <c r="C16" s="738">
        <f>-Inputs!B66</f>
        <v>1715</v>
      </c>
      <c r="D16" s="739">
        <f>-Inputs!C66</f>
        <v>579</v>
      </c>
      <c r="E16" s="739">
        <f>-Inputs!D66</f>
        <v>177</v>
      </c>
      <c r="F16" s="739">
        <f>-Inputs!E66</f>
        <v>120</v>
      </c>
      <c r="G16" s="739">
        <f>-Inputs!F66</f>
        <v>343</v>
      </c>
      <c r="H16" s="739">
        <f>-Inputs!G66</f>
        <v>180</v>
      </c>
      <c r="I16" s="739">
        <f>-Inputs!H66</f>
        <v>135</v>
      </c>
      <c r="J16" s="739">
        <f>-Inputs!I66</f>
        <v>394</v>
      </c>
      <c r="K16" s="739">
        <f>-Inputs!J66</f>
        <v>350</v>
      </c>
      <c r="L16" s="739">
        <f>-Inputs!K66</f>
        <v>339</v>
      </c>
      <c r="M16" s="739">
        <f>-Inputs!L66</f>
        <v>238</v>
      </c>
      <c r="N16" s="740">
        <f>-Inputs!M66</f>
        <v>281</v>
      </c>
    </row>
    <row r="17" spans="2:14" ht="13.5" thickBot="1">
      <c r="B17" s="728" t="s">
        <v>488</v>
      </c>
      <c r="C17" s="663">
        <f>Inputs!B33</f>
        <v>2706</v>
      </c>
      <c r="D17" s="664">
        <f>Inputs!C33</f>
        <v>2771</v>
      </c>
      <c r="E17" s="664">
        <f>Inputs!D33</f>
        <v>2929</v>
      </c>
      <c r="F17" s="664">
        <f>Inputs!E33</f>
        <v>3189</v>
      </c>
      <c r="G17" s="664">
        <f>Inputs!F33</f>
        <v>3245</v>
      </c>
      <c r="H17" s="664">
        <f>Inputs!G33</f>
        <v>3281</v>
      </c>
      <c r="I17" s="664">
        <f>Inputs!H33</f>
        <v>3276</v>
      </c>
      <c r="J17" s="664">
        <f>Inputs!I33</f>
        <v>2720</v>
      </c>
      <c r="K17" s="664">
        <f>Inputs!J33</f>
        <v>3010</v>
      </c>
      <c r="L17" s="664">
        <f>Inputs!K33</f>
        <v>2272</v>
      </c>
      <c r="M17" s="664">
        <f>Inputs!L33</f>
        <v>1922</v>
      </c>
      <c r="N17" s="665">
        <f>Inputs!M33</f>
        <v>1665</v>
      </c>
    </row>
    <row r="18" spans="2:14" ht="13.5" thickBot="1">
      <c r="C18" s="68"/>
      <c r="D18" s="68"/>
      <c r="E18" s="68"/>
      <c r="F18" s="68"/>
      <c r="G18" s="68"/>
      <c r="H18" s="68"/>
      <c r="I18" s="68"/>
      <c r="J18" s="68"/>
      <c r="K18" s="68"/>
      <c r="L18" s="68"/>
      <c r="M18" s="68"/>
      <c r="N18" s="68"/>
    </row>
    <row r="19" spans="2:14" ht="13.5" thickBot="1">
      <c r="B19" s="702" t="s">
        <v>489</v>
      </c>
      <c r="K19" s="2" t="s">
        <v>221</v>
      </c>
    </row>
    <row r="21" spans="2:14">
      <c r="B21" s="6" t="s">
        <v>490</v>
      </c>
      <c r="C21" s="726">
        <v>2022</v>
      </c>
      <c r="D21" s="729" t="s">
        <v>491</v>
      </c>
      <c r="E21" s="730" t="s">
        <v>492</v>
      </c>
      <c r="G21" s="1534" t="s">
        <v>493</v>
      </c>
      <c r="H21" s="1535"/>
    </row>
    <row r="22" spans="2:14">
      <c r="B22" s="731" t="s">
        <v>494</v>
      </c>
      <c r="C22" s="667">
        <v>0.32</v>
      </c>
      <c r="D22" s="668">
        <f>C22/SUM($C$22:$C$26)</f>
        <v>0.32553407934893186</v>
      </c>
      <c r="E22" s="669">
        <f>Damodaran!I2</f>
        <v>6.0699999999999997E-2</v>
      </c>
      <c r="G22" s="673" t="s">
        <v>494</v>
      </c>
      <c r="H22" s="669">
        <f>D22*E22</f>
        <v>1.9759918616480163E-2</v>
      </c>
    </row>
    <row r="23" spans="2:14">
      <c r="B23" s="727" t="s">
        <v>495</v>
      </c>
      <c r="C23" s="649">
        <v>0.24</v>
      </c>
      <c r="D23" s="542">
        <f>C23/SUM($C$22:$C$26)</f>
        <v>0.24415055951169887</v>
      </c>
      <c r="E23" s="650">
        <f>Damodaran!I3</f>
        <v>6.3122222222222218E-2</v>
      </c>
      <c r="G23" s="666" t="s">
        <v>495</v>
      </c>
      <c r="H23" s="650">
        <f>D23*E23</f>
        <v>1.5411325873177346E-2</v>
      </c>
      <c r="J23" s="679" t="s">
        <v>496</v>
      </c>
    </row>
    <row r="24" spans="2:14">
      <c r="B24" s="727" t="s">
        <v>497</v>
      </c>
      <c r="C24" s="649">
        <v>0.21</v>
      </c>
      <c r="D24" s="542">
        <f>C24/SUM($C$22:$C$26)</f>
        <v>0.21363173957273651</v>
      </c>
      <c r="E24" s="650">
        <f>Damodaran!I13</f>
        <v>5.7735714285714293E-2</v>
      </c>
      <c r="G24" s="666" t="s">
        <v>497</v>
      </c>
      <c r="H24" s="650">
        <f>D24*E24</f>
        <v>1.2334181078331639E-2</v>
      </c>
      <c r="J24" s="659" t="s">
        <v>498</v>
      </c>
    </row>
    <row r="25" spans="2:14">
      <c r="B25" s="727" t="s">
        <v>178</v>
      </c>
      <c r="C25" s="649">
        <v>6.3E-2</v>
      </c>
      <c r="D25" s="542">
        <f>C25/SUM($C$22:$C$26)</f>
        <v>6.4089521871820959E-2</v>
      </c>
      <c r="E25" s="650">
        <f>Damodaran!I28</f>
        <v>0.05</v>
      </c>
      <c r="G25" s="666" t="s">
        <v>178</v>
      </c>
      <c r="H25" s="650">
        <f>D25*E25</f>
        <v>3.204476093591048E-3</v>
      </c>
      <c r="J25" s="680" t="s">
        <v>499</v>
      </c>
    </row>
    <row r="26" spans="2:14">
      <c r="B26" s="728" t="s">
        <v>500</v>
      </c>
      <c r="C26" s="670">
        <v>0.15</v>
      </c>
      <c r="D26" s="671">
        <f>C26/SUM($C$22:$C$26)</f>
        <v>0.1525940996948118</v>
      </c>
      <c r="E26" s="672">
        <f>Damodaran!I29</f>
        <v>0.05</v>
      </c>
      <c r="G26" s="674" t="s">
        <v>500</v>
      </c>
      <c r="H26" s="650">
        <f>D26*E26</f>
        <v>7.6297049847405905E-3</v>
      </c>
      <c r="J26" s="692" t="s">
        <v>501</v>
      </c>
    </row>
    <row r="27" spans="2:14">
      <c r="D27" s="4"/>
      <c r="H27" s="748">
        <f>SUM(H22:H26)</f>
        <v>5.8339606646320791E-2</v>
      </c>
    </row>
    <row r="28" spans="2:14">
      <c r="B28" s="407"/>
    </row>
    <row r="29" spans="2:14" ht="13.5" customHeight="1">
      <c r="B29" s="702" t="s">
        <v>502</v>
      </c>
    </row>
    <row r="30" spans="2:14">
      <c r="C30" s="4"/>
      <c r="F30" s="527" t="s">
        <v>503</v>
      </c>
      <c r="G30" s="675" t="s">
        <v>504</v>
      </c>
    </row>
    <row r="31" spans="2:14">
      <c r="B31" s="408" t="s">
        <v>505</v>
      </c>
      <c r="C31" s="409">
        <f>AVERAGE(C5:M5)</f>
        <v>1.9900038714965193E-2</v>
      </c>
      <c r="E31" s="410" t="str">
        <f>Segments!G41</f>
        <v>2023-2028</v>
      </c>
      <c r="F31" s="411">
        <f>Segments!D41</f>
        <v>2.2633333333333335E-2</v>
      </c>
      <c r="G31" s="687">
        <f>H32*F31</f>
        <v>1.1040344834855702E-2</v>
      </c>
      <c r="H31" s="4"/>
    </row>
    <row r="32" spans="2:14">
      <c r="B32" s="412" t="s">
        <v>506</v>
      </c>
      <c r="C32" s="413">
        <f>AVERAGE(C5:E5)</f>
        <v>3.7505890237364095E-3</v>
      </c>
      <c r="E32" s="414" t="s">
        <v>507</v>
      </c>
      <c r="F32" s="415">
        <v>3.5000000000000003E-2</v>
      </c>
      <c r="G32" s="416">
        <f>AVERAGE(C5:H5)</f>
        <v>1.7072698198230467E-2</v>
      </c>
      <c r="H32" s="452">
        <f>G32/F32</f>
        <v>0.48779137709229903</v>
      </c>
      <c r="J32" s="4"/>
    </row>
    <row r="33" spans="2:28">
      <c r="B33" s="417" t="s">
        <v>508</v>
      </c>
      <c r="C33" s="496">
        <f>AVERAGE(C5:G5)</f>
        <v>8.9421564132770477E-3</v>
      </c>
    </row>
    <row r="34" spans="2:28">
      <c r="B34" s="417" t="s">
        <v>509</v>
      </c>
      <c r="C34" s="416">
        <f>AVERAGE(F5:M5)</f>
        <v>2.5956082349175985E-2</v>
      </c>
    </row>
    <row r="36" spans="2:28">
      <c r="C36" s="676">
        <v>2023</v>
      </c>
      <c r="D36" s="677">
        <v>2024</v>
      </c>
      <c r="E36" s="677">
        <v>2025</v>
      </c>
      <c r="F36" s="677">
        <v>2026</v>
      </c>
      <c r="G36" s="677">
        <v>2027</v>
      </c>
      <c r="H36" s="677">
        <v>2028</v>
      </c>
      <c r="I36" s="677">
        <v>2029</v>
      </c>
      <c r="J36" s="677">
        <v>2030</v>
      </c>
      <c r="K36" s="677">
        <v>2031</v>
      </c>
      <c r="L36" s="677">
        <v>2032</v>
      </c>
      <c r="M36" s="677">
        <v>2033</v>
      </c>
      <c r="N36" s="677">
        <v>2034</v>
      </c>
      <c r="O36" s="677">
        <v>2035</v>
      </c>
      <c r="P36" s="677">
        <v>2036</v>
      </c>
      <c r="Q36" s="677">
        <v>2037</v>
      </c>
      <c r="R36" s="677">
        <v>2038</v>
      </c>
      <c r="S36" s="677">
        <v>2039</v>
      </c>
      <c r="T36" s="677">
        <v>2040</v>
      </c>
      <c r="U36" s="677">
        <v>2041</v>
      </c>
      <c r="V36" s="677">
        <v>2042</v>
      </c>
      <c r="W36" s="677">
        <v>2043</v>
      </c>
      <c r="X36" s="677">
        <v>2044</v>
      </c>
      <c r="Y36" s="677">
        <v>2045</v>
      </c>
      <c r="Z36" s="677">
        <v>2046</v>
      </c>
      <c r="AA36" s="677">
        <v>2047</v>
      </c>
      <c r="AB36" s="678">
        <v>2048</v>
      </c>
    </row>
    <row r="37" spans="2:28" s="4" customFormat="1">
      <c r="B37" s="681" t="s">
        <v>510</v>
      </c>
      <c r="C37" s="492">
        <v>2.5000000000000001E-2</v>
      </c>
      <c r="D37" s="453">
        <v>2.75E-2</v>
      </c>
      <c r="E37" s="453">
        <v>2.75E-2</v>
      </c>
      <c r="F37" s="453">
        <v>2.75E-2</v>
      </c>
      <c r="G37" s="1190">
        <v>1.4999999999999999E-2</v>
      </c>
      <c r="H37" s="453">
        <f t="shared" ref="H37" si="1">G37-0.1%</f>
        <v>1.3999999999999999E-2</v>
      </c>
      <c r="I37" s="453">
        <f t="shared" ref="I37" si="2">H37-0.1%</f>
        <v>1.2999999999999998E-2</v>
      </c>
      <c r="J37" s="453">
        <f t="shared" ref="J37" si="3">I37-0.1%</f>
        <v>1.1999999999999997E-2</v>
      </c>
      <c r="K37" s="453">
        <f t="shared" ref="K37" si="4">J37-0.1%</f>
        <v>1.0999999999999996E-2</v>
      </c>
      <c r="L37" s="453">
        <f t="shared" ref="L37" si="5">K37-0.1%</f>
        <v>9.999999999999995E-3</v>
      </c>
      <c r="M37" s="453">
        <f t="shared" ref="M37:V37" si="6">L37-0.1%</f>
        <v>8.9999999999999941E-3</v>
      </c>
      <c r="N37" s="453">
        <f t="shared" si="6"/>
        <v>7.9999999999999932E-3</v>
      </c>
      <c r="O37" s="453">
        <f t="shared" si="6"/>
        <v>6.9999999999999932E-3</v>
      </c>
      <c r="P37" s="453">
        <f t="shared" si="6"/>
        <v>5.9999999999999932E-3</v>
      </c>
      <c r="Q37" s="453">
        <f t="shared" si="6"/>
        <v>4.9999999999999932E-3</v>
      </c>
      <c r="R37" s="453">
        <f t="shared" si="6"/>
        <v>3.9999999999999931E-3</v>
      </c>
      <c r="S37" s="453">
        <f t="shared" si="6"/>
        <v>2.9999999999999931E-3</v>
      </c>
      <c r="T37" s="453">
        <f t="shared" si="6"/>
        <v>1.9999999999999931E-3</v>
      </c>
      <c r="U37" s="453">
        <f t="shared" si="6"/>
        <v>9.9999999999999308E-4</v>
      </c>
      <c r="V37" s="453">
        <f t="shared" si="6"/>
        <v>-6.9388939039072284E-18</v>
      </c>
      <c r="W37" s="453">
        <f>V37</f>
        <v>-6.9388939039072284E-18</v>
      </c>
      <c r="X37" s="453">
        <f t="shared" ref="X37:AB37" si="7">W37</f>
        <v>-6.9388939039072284E-18</v>
      </c>
      <c r="Y37" s="453">
        <f t="shared" si="7"/>
        <v>-6.9388939039072284E-18</v>
      </c>
      <c r="Z37" s="453">
        <f t="shared" si="7"/>
        <v>-6.9388939039072284E-18</v>
      </c>
      <c r="AA37" s="453">
        <f t="shared" si="7"/>
        <v>-6.9388939039072284E-18</v>
      </c>
      <c r="AB37" s="453">
        <f t="shared" si="7"/>
        <v>-6.9388939039072284E-18</v>
      </c>
    </row>
    <row r="38" spans="2:28" s="468" customFormat="1">
      <c r="B38" s="682" t="s">
        <v>511</v>
      </c>
      <c r="C38" s="493">
        <f>C4*(1+C37)</f>
        <v>7686.4749999999995</v>
      </c>
      <c r="D38" s="494">
        <f t="shared" ref="D38:AB38" si="8">C38*(1+D37)</f>
        <v>7897.8530625000003</v>
      </c>
      <c r="E38" s="494">
        <f t="shared" si="8"/>
        <v>8115.0440217187506</v>
      </c>
      <c r="F38" s="494">
        <f t="shared" si="8"/>
        <v>8338.2077323160174</v>
      </c>
      <c r="G38" s="494">
        <f t="shared" si="8"/>
        <v>8463.2808483007575</v>
      </c>
      <c r="H38" s="494">
        <f t="shared" si="8"/>
        <v>8581.7667801769676</v>
      </c>
      <c r="I38" s="494">
        <f t="shared" si="8"/>
        <v>8693.3297483192673</v>
      </c>
      <c r="J38" s="494">
        <f t="shared" si="8"/>
        <v>8797.6497052990981</v>
      </c>
      <c r="K38" s="494">
        <f t="shared" si="8"/>
        <v>8894.4238520573872</v>
      </c>
      <c r="L38" s="494">
        <f t="shared" si="8"/>
        <v>8983.368090577962</v>
      </c>
      <c r="M38" s="494">
        <f t="shared" si="8"/>
        <v>9064.2184033931626</v>
      </c>
      <c r="N38" s="494">
        <f t="shared" si="8"/>
        <v>9136.7321506203079</v>
      </c>
      <c r="O38" s="494">
        <f t="shared" si="8"/>
        <v>9200.6892756746493</v>
      </c>
      <c r="P38" s="494">
        <f t="shared" si="8"/>
        <v>9255.8934113286978</v>
      </c>
      <c r="Q38" s="494">
        <f t="shared" si="8"/>
        <v>9302.1728783853396</v>
      </c>
      <c r="R38" s="494">
        <f t="shared" si="8"/>
        <v>9339.3815698988801</v>
      </c>
      <c r="S38" s="495">
        <f t="shared" si="8"/>
        <v>9367.3997146085749</v>
      </c>
      <c r="T38" s="498">
        <f t="shared" si="8"/>
        <v>9386.1345140377925</v>
      </c>
      <c r="U38" s="494">
        <f t="shared" si="8"/>
        <v>9395.5206485518302</v>
      </c>
      <c r="V38" s="494">
        <f t="shared" si="8"/>
        <v>9395.5206485518302</v>
      </c>
      <c r="W38" s="494">
        <f t="shared" si="8"/>
        <v>9395.5206485518302</v>
      </c>
      <c r="X38" s="494">
        <f t="shared" si="8"/>
        <v>9395.5206485518302</v>
      </c>
      <c r="Y38" s="494">
        <f t="shared" si="8"/>
        <v>9395.5206485518302</v>
      </c>
      <c r="Z38" s="494">
        <f t="shared" si="8"/>
        <v>9395.5206485518302</v>
      </c>
      <c r="AA38" s="494">
        <f t="shared" si="8"/>
        <v>9395.5206485518302</v>
      </c>
      <c r="AB38" s="495">
        <f t="shared" si="8"/>
        <v>9395.5206485518302</v>
      </c>
    </row>
    <row r="39" spans="2:28" s="468" customFormat="1"/>
    <row r="40" spans="2:28">
      <c r="B40" s="407"/>
    </row>
    <row r="41" spans="2:28" ht="12.75" customHeight="1">
      <c r="B41" s="702" t="s">
        <v>62</v>
      </c>
    </row>
    <row r="42" spans="2:28">
      <c r="C42" s="4"/>
    </row>
    <row r="43" spans="2:28">
      <c r="C43" s="683">
        <v>2022</v>
      </c>
      <c r="D43" s="684">
        <v>2021</v>
      </c>
      <c r="E43" s="684">
        <v>2020</v>
      </c>
      <c r="F43" s="684">
        <v>2019</v>
      </c>
      <c r="G43" s="684">
        <v>2018</v>
      </c>
      <c r="H43" s="684">
        <v>2017</v>
      </c>
      <c r="I43" s="684">
        <v>2016</v>
      </c>
      <c r="J43" s="684">
        <v>2015</v>
      </c>
      <c r="K43" s="684">
        <v>2014</v>
      </c>
      <c r="L43" s="684">
        <v>2013</v>
      </c>
      <c r="M43" s="684">
        <v>2012</v>
      </c>
      <c r="N43" s="685">
        <v>2011</v>
      </c>
    </row>
    <row r="44" spans="2:28">
      <c r="B44" s="455" t="s">
        <v>512</v>
      </c>
      <c r="C44" s="456">
        <f t="shared" ref="C44:N44" si="9">C6/C4</f>
        <v>0.15935458061074809</v>
      </c>
      <c r="D44" s="456">
        <f t="shared" si="9"/>
        <v>0.14207575550389717</v>
      </c>
      <c r="E44" s="456">
        <f t="shared" si="9"/>
        <v>1.0723860589812333E-2</v>
      </c>
      <c r="F44" s="456">
        <f t="shared" si="9"/>
        <v>0.12725949290306926</v>
      </c>
      <c r="G44" s="456">
        <f t="shared" si="9"/>
        <v>0.1384070796460177</v>
      </c>
      <c r="H44" s="456">
        <f t="shared" si="9"/>
        <v>0.1251721116535236</v>
      </c>
      <c r="I44" s="456">
        <f t="shared" si="9"/>
        <v>0.10909572355355487</v>
      </c>
      <c r="J44" s="456">
        <f t="shared" si="9"/>
        <v>0.17524553307300911</v>
      </c>
      <c r="K44" s="456">
        <f t="shared" si="9"/>
        <v>0.20461591457113332</v>
      </c>
      <c r="L44" s="456">
        <f t="shared" si="9"/>
        <v>0.27223273415326393</v>
      </c>
      <c r="M44" s="456">
        <f t="shared" si="9"/>
        <v>0.25218060543868648</v>
      </c>
      <c r="N44" s="457">
        <f t="shared" si="9"/>
        <v>0.23657326328079392</v>
      </c>
    </row>
    <row r="46" spans="2:28">
      <c r="B46" s="642" t="s">
        <v>513</v>
      </c>
      <c r="C46" s="521">
        <f>AVERAGE(C44:M44)</f>
        <v>0.15603303560879234</v>
      </c>
    </row>
    <row r="47" spans="2:28">
      <c r="B47" s="645" t="s">
        <v>514</v>
      </c>
      <c r="C47" s="522">
        <f>AVERAGE(C44:G44)</f>
        <v>0.11556415385070891</v>
      </c>
    </row>
    <row r="48" spans="2:28">
      <c r="B48" s="642" t="s">
        <v>515</v>
      </c>
      <c r="C48" s="1116">
        <f>AVERAGE(C44:D44,F44:N44)</f>
        <v>0.17656479948979067</v>
      </c>
    </row>
    <row r="49" spans="2:28">
      <c r="B49" s="643" t="s">
        <v>516</v>
      </c>
      <c r="C49" s="465">
        <f>AVERAGE(C44:D44,F44:G44)</f>
        <v>0.14177422716593305</v>
      </c>
    </row>
    <row r="51" spans="2:28">
      <c r="C51" s="676">
        <v>2023</v>
      </c>
      <c r="D51" s="677">
        <v>2024</v>
      </c>
      <c r="E51" s="677">
        <v>2025</v>
      </c>
      <c r="F51" s="677">
        <v>2026</v>
      </c>
      <c r="G51" s="677">
        <v>2027</v>
      </c>
      <c r="H51" s="677">
        <v>2028</v>
      </c>
      <c r="I51" s="677">
        <v>2029</v>
      </c>
      <c r="J51" s="677">
        <v>2030</v>
      </c>
      <c r="K51" s="677">
        <v>2031</v>
      </c>
      <c r="L51" s="677">
        <v>2032</v>
      </c>
      <c r="M51" s="677">
        <v>2033</v>
      </c>
      <c r="N51" s="677">
        <v>2034</v>
      </c>
      <c r="O51" s="677">
        <v>2035</v>
      </c>
      <c r="P51" s="677">
        <v>2036</v>
      </c>
      <c r="Q51" s="677">
        <v>2037</v>
      </c>
      <c r="R51" s="677">
        <v>2038</v>
      </c>
      <c r="S51" s="677">
        <v>2039</v>
      </c>
      <c r="T51" s="677">
        <v>2040</v>
      </c>
      <c r="U51" s="677">
        <v>2041</v>
      </c>
      <c r="V51" s="677">
        <v>2042</v>
      </c>
      <c r="W51" s="677">
        <v>2043</v>
      </c>
      <c r="X51" s="677">
        <v>2044</v>
      </c>
      <c r="Y51" s="677">
        <v>2045</v>
      </c>
      <c r="Z51" s="677">
        <v>2046</v>
      </c>
      <c r="AA51" s="677">
        <v>2047</v>
      </c>
      <c r="AB51" s="678">
        <v>2048</v>
      </c>
    </row>
    <row r="52" spans="2:28" s="4" customFormat="1">
      <c r="B52" s="686" t="s">
        <v>517</v>
      </c>
      <c r="C52" s="456">
        <v>0.14000000000000001</v>
      </c>
      <c r="D52" s="456">
        <v>0.14000000000000001</v>
      </c>
      <c r="E52" s="456">
        <v>0.14000000000000001</v>
      </c>
      <c r="F52" s="456">
        <v>0.14000000000000001</v>
      </c>
      <c r="G52" s="456">
        <v>0.14000000000000001</v>
      </c>
      <c r="H52" s="456">
        <v>0.14000000000000001</v>
      </c>
      <c r="I52" s="456">
        <v>0.14000000000000001</v>
      </c>
      <c r="J52" s="456">
        <v>0.14000000000000001</v>
      </c>
      <c r="K52" s="456">
        <v>0.14000000000000001</v>
      </c>
      <c r="L52" s="456">
        <v>0.14000000000000001</v>
      </c>
      <c r="M52" s="456">
        <v>0.14000000000000001</v>
      </c>
      <c r="N52" s="456">
        <v>0.14000000000000001</v>
      </c>
      <c r="O52" s="456">
        <v>0.14000000000000001</v>
      </c>
      <c r="P52" s="456">
        <v>0.14000000000000001</v>
      </c>
      <c r="Q52" s="456">
        <v>0.14000000000000001</v>
      </c>
      <c r="R52" s="456">
        <v>0.14000000000000001</v>
      </c>
      <c r="S52" s="456">
        <v>0.14000000000000001</v>
      </c>
      <c r="T52" s="456">
        <v>0.14000000000000001</v>
      </c>
      <c r="U52" s="456">
        <v>0.14000000000000001</v>
      </c>
      <c r="V52" s="456">
        <v>0.14000000000000001</v>
      </c>
      <c r="W52" s="456">
        <v>0.14000000000000001</v>
      </c>
      <c r="X52" s="456">
        <v>0.14000000000000001</v>
      </c>
      <c r="Y52" s="456">
        <v>0.14000000000000001</v>
      </c>
      <c r="Z52" s="456">
        <v>0.14000000000000001</v>
      </c>
      <c r="AA52" s="456">
        <v>0.14000000000000001</v>
      </c>
      <c r="AB52" s="456">
        <v>0.14000000000000001</v>
      </c>
    </row>
    <row r="53" spans="2:28" s="468" customFormat="1"/>
    <row r="55" spans="2:28">
      <c r="B55" s="702" t="s">
        <v>518</v>
      </c>
    </row>
    <row r="57" spans="2:28">
      <c r="C57" s="683">
        <v>2022</v>
      </c>
      <c r="D57" s="684">
        <v>2021</v>
      </c>
      <c r="E57" s="684">
        <v>2020</v>
      </c>
      <c r="F57" s="684">
        <v>2019</v>
      </c>
      <c r="G57" s="684">
        <v>2018</v>
      </c>
      <c r="H57" s="684">
        <v>2017</v>
      </c>
      <c r="I57" s="684">
        <v>2016</v>
      </c>
      <c r="J57" s="684">
        <v>2015</v>
      </c>
      <c r="K57" s="684">
        <v>2014</v>
      </c>
      <c r="L57" s="684">
        <v>2013</v>
      </c>
      <c r="M57" s="684">
        <v>2012</v>
      </c>
      <c r="N57" s="685">
        <v>2011</v>
      </c>
    </row>
    <row r="58" spans="2:28">
      <c r="B58" s="430" t="s">
        <v>519</v>
      </c>
      <c r="C58" s="442">
        <f t="shared" ref="C58:N58" si="10">C12/C15</f>
        <v>1.1280235988200589</v>
      </c>
      <c r="D58" s="444">
        <f t="shared" si="10"/>
        <v>1.7262948207171316</v>
      </c>
      <c r="E58" s="444">
        <f t="shared" si="10"/>
        <v>2.1514423076923075</v>
      </c>
      <c r="F58" s="444">
        <f t="shared" si="10"/>
        <v>1.1050125313283208</v>
      </c>
      <c r="G58" s="444">
        <f t="shared" si="10"/>
        <v>1.0244851258581236</v>
      </c>
      <c r="H58" s="444">
        <f t="shared" si="10"/>
        <v>1.1111111111111112</v>
      </c>
      <c r="I58" s="444">
        <f t="shared" si="10"/>
        <v>0.79384920634920642</v>
      </c>
      <c r="J58" s="444">
        <f t="shared" si="10"/>
        <v>0.63189368770764121</v>
      </c>
      <c r="K58" s="444">
        <f t="shared" si="10"/>
        <v>0.34028846153846154</v>
      </c>
      <c r="L58" s="444">
        <f t="shared" si="10"/>
        <v>0.51898954703832745</v>
      </c>
      <c r="M58" s="444">
        <f t="shared" si="10"/>
        <v>0.5821917808219178</v>
      </c>
      <c r="N58" s="409">
        <f t="shared" si="10"/>
        <v>0.70767123287671241</v>
      </c>
      <c r="O58" s="2" t="s">
        <v>520</v>
      </c>
    </row>
    <row r="59" spans="2:28">
      <c r="B59" s="431" t="s">
        <v>521</v>
      </c>
      <c r="C59" s="443">
        <f t="shared" ref="C59:N59" si="11">C12/C17</f>
        <v>0.14131559497413154</v>
      </c>
      <c r="D59" s="445">
        <f t="shared" si="11"/>
        <v>0.15636954168170336</v>
      </c>
      <c r="E59" s="445">
        <f t="shared" si="11"/>
        <v>0.15278251963127348</v>
      </c>
      <c r="F59" s="445">
        <f t="shared" si="11"/>
        <v>0.13825650674192536</v>
      </c>
      <c r="G59" s="445">
        <f t="shared" si="11"/>
        <v>0.13796610169491524</v>
      </c>
      <c r="H59" s="445">
        <f t="shared" si="11"/>
        <v>0.13410545565376408</v>
      </c>
      <c r="I59" s="445">
        <f t="shared" si="11"/>
        <v>0.12213064713064714</v>
      </c>
      <c r="J59" s="445">
        <f t="shared" si="11"/>
        <v>0.13985294117647057</v>
      </c>
      <c r="K59" s="445">
        <f t="shared" si="11"/>
        <v>0.11757475083056478</v>
      </c>
      <c r="L59" s="445">
        <f t="shared" si="11"/>
        <v>0.13111795774647886</v>
      </c>
      <c r="M59" s="445">
        <f t="shared" si="11"/>
        <v>0.13267429760665972</v>
      </c>
      <c r="N59" s="416">
        <f t="shared" si="11"/>
        <v>0.15513513513513513</v>
      </c>
      <c r="O59" s="2" t="s">
        <v>522</v>
      </c>
    </row>
    <row r="61" spans="2:28">
      <c r="B61" s="642" t="s">
        <v>523</v>
      </c>
      <c r="C61" s="446">
        <f>AVERAGE(C58:N58)</f>
        <v>0.9851044509882767</v>
      </c>
    </row>
    <row r="62" spans="2:28">
      <c r="B62" s="643" t="s">
        <v>524</v>
      </c>
      <c r="C62" s="447">
        <f>AVERAGE(C59:N59)</f>
        <v>0.13827345416697243</v>
      </c>
    </row>
    <row r="63" spans="2:28">
      <c r="B63" s="643" t="s">
        <v>525</v>
      </c>
      <c r="C63" s="465">
        <f>AVERAGE(C59:G59)</f>
        <v>0.1453380529447898</v>
      </c>
    </row>
    <row r="65" spans="2:28" ht="13.5" thickBot="1">
      <c r="C65" s="676">
        <v>2023</v>
      </c>
      <c r="D65" s="677">
        <v>2024</v>
      </c>
      <c r="E65" s="677">
        <v>2025</v>
      </c>
      <c r="F65" s="677">
        <v>2026</v>
      </c>
      <c r="G65" s="677">
        <v>2027</v>
      </c>
      <c r="H65" s="677">
        <v>2028</v>
      </c>
      <c r="I65" s="677">
        <v>2029</v>
      </c>
      <c r="J65" s="677">
        <v>2030</v>
      </c>
      <c r="K65" s="677">
        <v>2031</v>
      </c>
      <c r="L65" s="677">
        <v>2032</v>
      </c>
      <c r="M65" s="677">
        <v>2033</v>
      </c>
      <c r="N65" s="677">
        <v>2034</v>
      </c>
      <c r="O65" s="677">
        <v>2035</v>
      </c>
      <c r="P65" s="677">
        <v>2036</v>
      </c>
      <c r="Q65" s="677">
        <v>2037</v>
      </c>
      <c r="R65" s="677">
        <v>2038</v>
      </c>
      <c r="S65" s="677">
        <v>2039</v>
      </c>
      <c r="T65" s="677">
        <v>2040</v>
      </c>
      <c r="U65" s="677">
        <v>2041</v>
      </c>
      <c r="V65" s="677">
        <v>2042</v>
      </c>
      <c r="W65" s="677">
        <v>2043</v>
      </c>
      <c r="X65" s="677">
        <v>2044</v>
      </c>
      <c r="Y65" s="677">
        <v>2045</v>
      </c>
      <c r="Z65" s="677">
        <v>2046</v>
      </c>
      <c r="AA65" s="677">
        <v>2047</v>
      </c>
      <c r="AB65" s="678">
        <v>2048</v>
      </c>
    </row>
    <row r="66" spans="2:28" ht="13.5" thickBot="1">
      <c r="B66" s="903" t="s">
        <v>526</v>
      </c>
      <c r="C66" s="904">
        <f>C17+C177</f>
        <v>3090.32375</v>
      </c>
      <c r="D66" s="905">
        <f t="shared" ref="D66:AB66" si="12">C68+D177</f>
        <v>3057.9066637182686</v>
      </c>
      <c r="E66" s="905">
        <f t="shared" si="12"/>
        <v>3040.8315478916784</v>
      </c>
      <c r="F66" s="905">
        <f t="shared" si="12"/>
        <v>3037.2756528405953</v>
      </c>
      <c r="G66" s="905">
        <f t="shared" si="12"/>
        <v>3040.4650994801177</v>
      </c>
      <c r="H66" s="905">
        <f t="shared" si="12"/>
        <v>3092.0466608106076</v>
      </c>
      <c r="I66" s="905">
        <f t="shared" si="12"/>
        <v>3186.0984734740277</v>
      </c>
      <c r="J66" s="905">
        <f t="shared" si="12"/>
        <v>3317.392863075097</v>
      </c>
      <c r="K66" s="905">
        <f t="shared" si="12"/>
        <v>3481.2951627128582</v>
      </c>
      <c r="L66" s="905">
        <f t="shared" si="12"/>
        <v>3673.6770623831262</v>
      </c>
      <c r="M66" s="905">
        <f t="shared" si="12"/>
        <v>3800.2003337109568</v>
      </c>
      <c r="N66" s="905">
        <f t="shared" si="12"/>
        <v>3868.6210968325813</v>
      </c>
      <c r="O66" s="905">
        <f t="shared" si="12"/>
        <v>3885.7348514507976</v>
      </c>
      <c r="P66" s="905">
        <f t="shared" si="12"/>
        <v>3857.5150091867868</v>
      </c>
      <c r="Q66" s="905">
        <f t="shared" si="12"/>
        <v>3789.2317282848562</v>
      </c>
      <c r="R66" s="905">
        <f t="shared" si="12"/>
        <v>3732.2506470707663</v>
      </c>
      <c r="S66" s="905">
        <f t="shared" si="12"/>
        <v>3684.5494440138023</v>
      </c>
      <c r="T66" s="905">
        <f t="shared" si="12"/>
        <v>3644.3807910429059</v>
      </c>
      <c r="U66" s="905">
        <f t="shared" si="12"/>
        <v>3610.2357031932315</v>
      </c>
      <c r="V66" s="905">
        <f t="shared" si="12"/>
        <v>3580.811974583366</v>
      </c>
      <c r="W66" s="905">
        <f t="shared" si="12"/>
        <v>3555.4567665628583</v>
      </c>
      <c r="X66" s="905">
        <f t="shared" si="12"/>
        <v>3533.6075107364686</v>
      </c>
      <c r="Y66" s="905">
        <f t="shared" si="12"/>
        <v>3514.7794269841716</v>
      </c>
      <c r="Z66" s="905">
        <f t="shared" si="12"/>
        <v>3498.5547674076497</v>
      </c>
      <c r="AA66" s="905">
        <f t="shared" si="12"/>
        <v>3484.5735475534566</v>
      </c>
      <c r="AB66" s="906">
        <f t="shared" si="12"/>
        <v>3472.5255592619706</v>
      </c>
    </row>
    <row r="67" spans="2:28" ht="13.5" thickBot="1">
      <c r="B67" s="911" t="s">
        <v>527</v>
      </c>
      <c r="C67" s="912">
        <f>C66*$C$62</f>
        <v>427.30973940673135</v>
      </c>
      <c r="D67" s="913">
        <f>D66*$C$62</f>
        <v>422.82731691252758</v>
      </c>
      <c r="E67" s="913">
        <f>E66*$C$62</f>
        <v>420.46628166688379</v>
      </c>
      <c r="F67" s="913">
        <f t="shared" ref="F67:AB67" si="13">F66*$C$62</f>
        <v>419.9745957755153</v>
      </c>
      <c r="G67" s="913">
        <f t="shared" si="13"/>
        <v>420.41561157924332</v>
      </c>
      <c r="H67" s="913">
        <f t="shared" si="13"/>
        <v>427.5479722357357</v>
      </c>
      <c r="I67" s="913">
        <f t="shared" si="13"/>
        <v>440.5528412433718</v>
      </c>
      <c r="J67" s="913">
        <f t="shared" si="13"/>
        <v>458.70737000625587</v>
      </c>
      <c r="K67" s="913">
        <f t="shared" si="13"/>
        <v>481.37070712307923</v>
      </c>
      <c r="L67" s="913">
        <f t="shared" si="13"/>
        <v>507.97201690969109</v>
      </c>
      <c r="M67" s="913">
        <f t="shared" si="13"/>
        <v>525.46682666869526</v>
      </c>
      <c r="N67" s="913">
        <f t="shared" si="13"/>
        <v>534.92760192226251</v>
      </c>
      <c r="O67" s="913">
        <f t="shared" si="13"/>
        <v>537.29397988708922</v>
      </c>
      <c r="P67" s="913">
        <f t="shared" si="13"/>
        <v>533.39192482119734</v>
      </c>
      <c r="Q67" s="913">
        <f t="shared" si="13"/>
        <v>523.95015970903376</v>
      </c>
      <c r="R67" s="913">
        <f t="shared" si="13"/>
        <v>516.07118878739277</v>
      </c>
      <c r="S67" s="913">
        <f t="shared" si="13"/>
        <v>509.47537867278623</v>
      </c>
      <c r="T67" s="913">
        <f t="shared" si="13"/>
        <v>503.92112027726597</v>
      </c>
      <c r="U67" s="913">
        <f t="shared" si="13"/>
        <v>499.19976103745677</v>
      </c>
      <c r="V67" s="913">
        <f t="shared" si="13"/>
        <v>495.13124044809911</v>
      </c>
      <c r="W67" s="913">
        <f t="shared" si="13"/>
        <v>491.62528825398135</v>
      </c>
      <c r="X67" s="913">
        <f t="shared" si="13"/>
        <v>488.60411617988859</v>
      </c>
      <c r="Y67" s="913">
        <f t="shared" si="13"/>
        <v>486.00069200411343</v>
      </c>
      <c r="Z67" s="913">
        <f t="shared" si="13"/>
        <v>483.75725228178453</v>
      </c>
      <c r="AA67" s="913">
        <f t="shared" si="13"/>
        <v>481.8240207190774</v>
      </c>
      <c r="AB67" s="914">
        <f t="shared" si="13"/>
        <v>480.15810376225039</v>
      </c>
    </row>
    <row r="68" spans="2:28">
      <c r="B68" s="907" t="s">
        <v>528</v>
      </c>
      <c r="C68" s="908">
        <f>C66-C67</f>
        <v>2663.0140105932687</v>
      </c>
      <c r="D68" s="909">
        <f t="shared" ref="D68:AB68" si="14">D66-D67</f>
        <v>2635.0793468057409</v>
      </c>
      <c r="E68" s="909">
        <f t="shared" si="14"/>
        <v>2620.3652662247946</v>
      </c>
      <c r="F68" s="909">
        <f t="shared" si="14"/>
        <v>2617.3010570650799</v>
      </c>
      <c r="G68" s="909">
        <f t="shared" si="14"/>
        <v>2620.0494879008743</v>
      </c>
      <c r="H68" s="909">
        <f t="shared" si="14"/>
        <v>2664.4986885748717</v>
      </c>
      <c r="I68" s="909">
        <f t="shared" si="14"/>
        <v>2745.5456322306559</v>
      </c>
      <c r="J68" s="909">
        <f t="shared" si="14"/>
        <v>2858.685493068841</v>
      </c>
      <c r="K68" s="909">
        <f t="shared" si="14"/>
        <v>2999.924455589779</v>
      </c>
      <c r="L68" s="909">
        <f t="shared" si="14"/>
        <v>3165.7050454734353</v>
      </c>
      <c r="M68" s="909">
        <f t="shared" si="14"/>
        <v>3274.7335070422614</v>
      </c>
      <c r="N68" s="909">
        <f t="shared" si="14"/>
        <v>3333.6934949103188</v>
      </c>
      <c r="O68" s="909">
        <f t="shared" si="14"/>
        <v>3348.4408715637082</v>
      </c>
      <c r="P68" s="909">
        <f t="shared" si="14"/>
        <v>3324.1230843655894</v>
      </c>
      <c r="Q68" s="909">
        <f t="shared" si="14"/>
        <v>3265.2815685758223</v>
      </c>
      <c r="R68" s="909">
        <f t="shared" si="14"/>
        <v>3216.1794582833736</v>
      </c>
      <c r="S68" s="909">
        <f t="shared" si="14"/>
        <v>3175.0740653410162</v>
      </c>
      <c r="T68" s="909">
        <f t="shared" si="14"/>
        <v>3140.4596707656401</v>
      </c>
      <c r="U68" s="909">
        <f t="shared" si="14"/>
        <v>3111.0359421557746</v>
      </c>
      <c r="V68" s="909">
        <f t="shared" si="14"/>
        <v>3085.6807341352669</v>
      </c>
      <c r="W68" s="909">
        <f t="shared" si="14"/>
        <v>3063.8314783088772</v>
      </c>
      <c r="X68" s="909">
        <f t="shared" si="14"/>
        <v>3045.0033945565801</v>
      </c>
      <c r="Y68" s="909">
        <f t="shared" si="14"/>
        <v>3028.7787349800583</v>
      </c>
      <c r="Z68" s="909">
        <f t="shared" si="14"/>
        <v>3014.7975151258652</v>
      </c>
      <c r="AA68" s="909">
        <f t="shared" si="14"/>
        <v>3002.7495268343791</v>
      </c>
      <c r="AB68" s="910">
        <f t="shared" si="14"/>
        <v>2992.3674554997201</v>
      </c>
    </row>
    <row r="69" spans="2:28" s="1157" customFormat="1">
      <c r="B69" s="1158"/>
      <c r="C69" s="1199"/>
      <c r="D69" s="1199"/>
      <c r="E69" s="1199"/>
      <c r="F69" s="1199"/>
      <c r="G69" s="1199"/>
      <c r="H69" s="1199"/>
      <c r="I69" s="1199"/>
      <c r="J69" s="1199"/>
      <c r="K69" s="1199"/>
      <c r="L69" s="1199"/>
      <c r="M69" s="1199"/>
      <c r="N69" s="1199"/>
      <c r="O69" s="1199"/>
      <c r="P69" s="1199"/>
      <c r="Q69" s="1199"/>
      <c r="R69" s="1199"/>
      <c r="S69" s="1199"/>
      <c r="T69" s="1199"/>
      <c r="U69" s="1199"/>
      <c r="V69" s="1199"/>
      <c r="W69" s="1199"/>
      <c r="X69" s="1199"/>
      <c r="Y69" s="1199"/>
      <c r="Z69" s="1199"/>
      <c r="AA69" s="1199"/>
      <c r="AB69" s="1199"/>
    </row>
    <row r="70" spans="2:28">
      <c r="C70" s="468"/>
      <c r="D70" s="468"/>
      <c r="E70" s="468"/>
      <c r="F70" s="468"/>
      <c r="G70" s="468"/>
      <c r="H70" s="468"/>
      <c r="I70" s="468"/>
      <c r="J70" s="468"/>
      <c r="K70" s="468"/>
      <c r="L70" s="468"/>
      <c r="M70" s="468"/>
      <c r="N70" s="468"/>
      <c r="O70" s="468"/>
      <c r="P70" s="468"/>
      <c r="Q70" s="468"/>
      <c r="R70" s="468"/>
      <c r="S70" s="468"/>
      <c r="T70" s="468"/>
      <c r="U70" s="468"/>
      <c r="V70" s="468"/>
      <c r="W70" s="468"/>
      <c r="X70" s="468"/>
      <c r="Y70" s="468"/>
      <c r="Z70" s="468"/>
      <c r="AA70" s="468"/>
      <c r="AB70" s="468"/>
    </row>
    <row r="71" spans="2:28">
      <c r="B71" s="702" t="s">
        <v>529</v>
      </c>
    </row>
    <row r="73" spans="2:28">
      <c r="C73" s="683">
        <v>2022</v>
      </c>
      <c r="D73" s="684">
        <v>2021</v>
      </c>
      <c r="E73" s="684">
        <v>2020</v>
      </c>
      <c r="F73" s="684">
        <v>2019</v>
      </c>
      <c r="G73" s="684">
        <v>2018</v>
      </c>
      <c r="H73" s="684">
        <v>2017</v>
      </c>
      <c r="I73" s="684">
        <v>2016</v>
      </c>
      <c r="J73" s="684">
        <v>2015</v>
      </c>
      <c r="K73" s="684">
        <v>2014</v>
      </c>
      <c r="L73" s="684">
        <v>2013</v>
      </c>
      <c r="M73" s="684">
        <v>2012</v>
      </c>
      <c r="N73" s="685">
        <v>2011</v>
      </c>
    </row>
    <row r="74" spans="2:28">
      <c r="B74" s="523" t="s">
        <v>530</v>
      </c>
      <c r="C74" s="524">
        <f t="shared" ref="C74:M74" si="15">C13/C4</f>
        <v>5.734097879717296E-3</v>
      </c>
      <c r="D74" s="525">
        <f t="shared" si="15"/>
        <v>6.2901681936277862E-3</v>
      </c>
      <c r="E74" s="525">
        <f t="shared" si="15"/>
        <v>8.1858802502234127E-3</v>
      </c>
      <c r="F74" s="525">
        <f t="shared" si="15"/>
        <v>5.2529418900885598E-3</v>
      </c>
      <c r="G74" s="525">
        <f t="shared" si="15"/>
        <v>5.1799410029498526E-3</v>
      </c>
      <c r="H74" s="525">
        <f t="shared" si="15"/>
        <v>5.4700212792589816E-3</v>
      </c>
      <c r="I74" s="525">
        <f t="shared" si="15"/>
        <v>5.785780484575666E-3</v>
      </c>
      <c r="J74" s="525">
        <f t="shared" si="15"/>
        <v>4.6740030765589869E-3</v>
      </c>
      <c r="K74" s="525">
        <f t="shared" si="15"/>
        <v>4.2599609599265125E-3</v>
      </c>
      <c r="L74" s="525">
        <f t="shared" si="15"/>
        <v>3.5714285714285713E-3</v>
      </c>
      <c r="M74" s="525">
        <f t="shared" si="15"/>
        <v>3.0143663417136995E-3</v>
      </c>
      <c r="N74" s="526" t="s">
        <v>22</v>
      </c>
      <c r="O74" s="2" t="s">
        <v>531</v>
      </c>
    </row>
    <row r="75" spans="2:28">
      <c r="B75" s="691" t="s">
        <v>532</v>
      </c>
      <c r="C75" s="456">
        <f t="shared" ref="C75:M75" si="16">C13/C14</f>
        <v>0.27215189873417722</v>
      </c>
      <c r="D75" s="453">
        <f t="shared" si="16"/>
        <v>0.29113924050632911</v>
      </c>
      <c r="E75" s="453">
        <f t="shared" si="16"/>
        <v>0.28098159509202453</v>
      </c>
      <c r="F75" s="453">
        <f t="shared" si="16"/>
        <v>0.27935483870967742</v>
      </c>
      <c r="G75" s="453">
        <f t="shared" si="16"/>
        <v>0.29463087248322145</v>
      </c>
      <c r="H75" s="453">
        <f t="shared" si="16"/>
        <v>0.2894039735099338</v>
      </c>
      <c r="I75" s="453">
        <f t="shared" si="16"/>
        <v>0.31214285714285717</v>
      </c>
      <c r="J75" s="453">
        <f t="shared" si="16"/>
        <v>0.26158940397350994</v>
      </c>
      <c r="K75" s="453">
        <f t="shared" si="16"/>
        <v>0.2456953642384106</v>
      </c>
      <c r="L75" s="453">
        <f t="shared" si="16"/>
        <v>0.1986842105263158</v>
      </c>
      <c r="M75" s="453">
        <f t="shared" si="16"/>
        <v>0.18503937007874016</v>
      </c>
      <c r="N75" s="454" t="s">
        <v>22</v>
      </c>
    </row>
    <row r="77" spans="2:28">
      <c r="B77" s="642" t="s">
        <v>533</v>
      </c>
      <c r="C77" s="446">
        <f>AVERAGE(C74:M74)</f>
        <v>5.2198718118244844E-3</v>
      </c>
      <c r="E77" s="732" t="s">
        <v>534</v>
      </c>
      <c r="F77" s="458">
        <v>6.0000000000000001E-3</v>
      </c>
      <c r="G77" s="1533" t="s">
        <v>535</v>
      </c>
    </row>
    <row r="78" spans="2:28">
      <c r="B78" s="643" t="s">
        <v>514</v>
      </c>
      <c r="C78" s="465">
        <f>AVERAGE(C74:G74)</f>
        <v>6.128605843321382E-3</v>
      </c>
      <c r="E78" s="733" t="s">
        <v>536</v>
      </c>
      <c r="F78" s="459">
        <v>5.0000000000000001E-3</v>
      </c>
      <c r="G78" s="1533"/>
    </row>
    <row r="80" spans="2:28">
      <c r="C80" s="676">
        <v>2023</v>
      </c>
      <c r="D80" s="677">
        <v>2024</v>
      </c>
      <c r="E80" s="677">
        <v>2025</v>
      </c>
      <c r="F80" s="677">
        <v>2026</v>
      </c>
      <c r="G80" s="677">
        <v>2027</v>
      </c>
      <c r="H80" s="677">
        <v>2028</v>
      </c>
      <c r="I80" s="677">
        <v>2029</v>
      </c>
      <c r="J80" s="677">
        <v>2030</v>
      </c>
      <c r="K80" s="677">
        <v>2031</v>
      </c>
      <c r="L80" s="677">
        <v>2032</v>
      </c>
      <c r="M80" s="677">
        <v>2033</v>
      </c>
      <c r="N80" s="677">
        <v>2034</v>
      </c>
      <c r="O80" s="677">
        <v>2035</v>
      </c>
      <c r="P80" s="677">
        <v>2036</v>
      </c>
      <c r="Q80" s="677">
        <v>2037</v>
      </c>
      <c r="R80" s="677">
        <v>2038</v>
      </c>
      <c r="S80" s="677">
        <v>2039</v>
      </c>
      <c r="T80" s="677">
        <v>2040</v>
      </c>
      <c r="U80" s="677">
        <v>2041</v>
      </c>
      <c r="V80" s="677">
        <v>2042</v>
      </c>
      <c r="W80" s="677">
        <v>2043</v>
      </c>
      <c r="X80" s="677">
        <v>2044</v>
      </c>
      <c r="Y80" s="677">
        <v>2045</v>
      </c>
      <c r="Z80" s="677">
        <v>2046</v>
      </c>
      <c r="AA80" s="677">
        <v>2047</v>
      </c>
      <c r="AB80" s="678">
        <v>2048</v>
      </c>
    </row>
    <row r="81" spans="2:28">
      <c r="B81" s="1114" t="s">
        <v>537</v>
      </c>
      <c r="C81" s="1130">
        <f>$F$77*C38</f>
        <v>46.118849999999995</v>
      </c>
      <c r="D81" s="1131">
        <f>$F$77*D38</f>
        <v>47.387118375</v>
      </c>
      <c r="E81" s="1131">
        <f>$F$77*E38</f>
        <v>48.690264130312507</v>
      </c>
      <c r="F81" s="1131">
        <f>$F$77*F38</f>
        <v>50.029246393896102</v>
      </c>
      <c r="G81" s="1131">
        <f t="shared" ref="G81:AB81" si="17">$F$78*G38</f>
        <v>42.31640424150379</v>
      </c>
      <c r="H81" s="1131">
        <f t="shared" si="17"/>
        <v>42.908833900884837</v>
      </c>
      <c r="I81" s="1131">
        <f t="shared" si="17"/>
        <v>43.466648741596337</v>
      </c>
      <c r="J81" s="1131">
        <f t="shared" si="17"/>
        <v>43.988248526495489</v>
      </c>
      <c r="K81" s="1131">
        <f t="shared" si="17"/>
        <v>44.472119260286938</v>
      </c>
      <c r="L81" s="1131">
        <f t="shared" si="17"/>
        <v>44.916840452889808</v>
      </c>
      <c r="M81" s="1131">
        <f t="shared" si="17"/>
        <v>45.321092016965814</v>
      </c>
      <c r="N81" s="1131">
        <f t="shared" si="17"/>
        <v>45.683660753101542</v>
      </c>
      <c r="O81" s="1131">
        <f t="shared" si="17"/>
        <v>46.003446378373248</v>
      </c>
      <c r="P81" s="1131">
        <f t="shared" si="17"/>
        <v>46.27946705664349</v>
      </c>
      <c r="Q81" s="1131">
        <f t="shared" si="17"/>
        <v>46.510864391926695</v>
      </c>
      <c r="R81" s="1131">
        <f t="shared" si="17"/>
        <v>46.696907849494401</v>
      </c>
      <c r="S81" s="1131">
        <f t="shared" si="17"/>
        <v>46.836998573042877</v>
      </c>
      <c r="T81" s="1131">
        <f t="shared" si="17"/>
        <v>46.93067257018896</v>
      </c>
      <c r="U81" s="1131">
        <f t="shared" si="17"/>
        <v>46.977603242759152</v>
      </c>
      <c r="V81" s="1131">
        <f t="shared" si="17"/>
        <v>46.977603242759152</v>
      </c>
      <c r="W81" s="1131">
        <f t="shared" si="17"/>
        <v>46.977603242759152</v>
      </c>
      <c r="X81" s="1131">
        <f t="shared" si="17"/>
        <v>46.977603242759152</v>
      </c>
      <c r="Y81" s="1131">
        <f t="shared" si="17"/>
        <v>46.977603242759152</v>
      </c>
      <c r="Z81" s="1131">
        <f t="shared" si="17"/>
        <v>46.977603242759152</v>
      </c>
      <c r="AA81" s="1131">
        <f t="shared" si="17"/>
        <v>46.977603242759152</v>
      </c>
      <c r="AB81" s="1132">
        <f t="shared" si="17"/>
        <v>46.977603242759152</v>
      </c>
    </row>
    <row r="82" spans="2:28">
      <c r="B82" s="689" t="s">
        <v>538</v>
      </c>
      <c r="C82" s="462">
        <f t="shared" ref="C82:AB82" si="18">C81+C67</f>
        <v>473.42858940673136</v>
      </c>
      <c r="D82" s="463">
        <f t="shared" si="18"/>
        <v>470.21443528752758</v>
      </c>
      <c r="E82" s="463">
        <f t="shared" si="18"/>
        <v>469.15654579719632</v>
      </c>
      <c r="F82" s="463">
        <f t="shared" si="18"/>
        <v>470.00384216941143</v>
      </c>
      <c r="G82" s="463">
        <f t="shared" si="18"/>
        <v>462.73201582074711</v>
      </c>
      <c r="H82" s="463">
        <f t="shared" si="18"/>
        <v>470.45680613662051</v>
      </c>
      <c r="I82" s="463">
        <f t="shared" si="18"/>
        <v>484.01948998496812</v>
      </c>
      <c r="J82" s="463">
        <f t="shared" si="18"/>
        <v>502.69561853275138</v>
      </c>
      <c r="K82" s="463">
        <f t="shared" si="18"/>
        <v>525.84282638336617</v>
      </c>
      <c r="L82" s="463">
        <f t="shared" si="18"/>
        <v>552.88885736258089</v>
      </c>
      <c r="M82" s="463">
        <f t="shared" si="18"/>
        <v>570.78791868566111</v>
      </c>
      <c r="N82" s="463">
        <f t="shared" si="18"/>
        <v>580.61126267536406</v>
      </c>
      <c r="O82" s="463">
        <f t="shared" si="18"/>
        <v>583.29742626546249</v>
      </c>
      <c r="P82" s="463">
        <f t="shared" si="18"/>
        <v>579.67139187784085</v>
      </c>
      <c r="Q82" s="463">
        <f t="shared" si="18"/>
        <v>570.46102410096046</v>
      </c>
      <c r="R82" s="463">
        <f t="shared" si="18"/>
        <v>562.76809663688721</v>
      </c>
      <c r="S82" s="463">
        <f t="shared" si="18"/>
        <v>556.31237724582911</v>
      </c>
      <c r="T82" s="463">
        <f t="shared" si="18"/>
        <v>550.85179284745493</v>
      </c>
      <c r="U82" s="463">
        <f t="shared" si="18"/>
        <v>546.1773642802159</v>
      </c>
      <c r="V82" s="463">
        <f t="shared" si="18"/>
        <v>542.10884369085829</v>
      </c>
      <c r="W82" s="463">
        <f t="shared" si="18"/>
        <v>538.60289149674054</v>
      </c>
      <c r="X82" s="463">
        <f t="shared" si="18"/>
        <v>535.58171942264778</v>
      </c>
      <c r="Y82" s="463">
        <f t="shared" si="18"/>
        <v>532.97829524687256</v>
      </c>
      <c r="Z82" s="463">
        <f t="shared" si="18"/>
        <v>530.73485552454372</v>
      </c>
      <c r="AA82" s="463">
        <f t="shared" si="18"/>
        <v>528.80162396183653</v>
      </c>
      <c r="AB82" s="464">
        <f t="shared" si="18"/>
        <v>527.13570700500952</v>
      </c>
    </row>
    <row r="83" spans="2:28" s="1157" customFormat="1">
      <c r="B83" s="1158"/>
      <c r="C83" s="1199"/>
      <c r="D83" s="1199"/>
      <c r="E83" s="1199"/>
      <c r="F83" s="1199"/>
      <c r="G83" s="1199"/>
      <c r="H83" s="1199"/>
      <c r="I83" s="1199"/>
      <c r="J83" s="1199"/>
      <c r="K83" s="1199"/>
      <c r="L83" s="1199"/>
      <c r="M83" s="1199"/>
      <c r="N83" s="1199"/>
      <c r="O83" s="1199"/>
      <c r="P83" s="1199"/>
      <c r="Q83" s="1199"/>
      <c r="R83" s="1199"/>
      <c r="S83" s="1199"/>
      <c r="T83" s="1199"/>
      <c r="U83" s="1199"/>
      <c r="V83" s="1199"/>
      <c r="W83" s="1199"/>
      <c r="X83" s="1199"/>
      <c r="Y83" s="1199"/>
      <c r="Z83" s="1199"/>
      <c r="AA83" s="1199"/>
      <c r="AB83" s="1199"/>
    </row>
    <row r="85" spans="2:28">
      <c r="B85" s="702" t="s">
        <v>539</v>
      </c>
    </row>
    <row r="87" spans="2:28">
      <c r="C87" s="683">
        <v>2022</v>
      </c>
      <c r="D87" s="684">
        <v>2021</v>
      </c>
      <c r="E87" s="684">
        <v>2020</v>
      </c>
      <c r="F87" s="684">
        <v>2019</v>
      </c>
      <c r="G87" s="684">
        <v>2018</v>
      </c>
      <c r="H87" s="684">
        <v>2017</v>
      </c>
      <c r="I87" s="684">
        <v>2016</v>
      </c>
      <c r="J87" s="684">
        <v>2015</v>
      </c>
      <c r="K87" s="684">
        <v>2014</v>
      </c>
      <c r="L87" s="684">
        <v>2013</v>
      </c>
      <c r="M87" s="684">
        <v>2012</v>
      </c>
      <c r="N87" s="685">
        <v>2011</v>
      </c>
    </row>
    <row r="88" spans="2:28">
      <c r="B88" s="688" t="s">
        <v>540</v>
      </c>
      <c r="C88" s="506">
        <f>'Fin. Data'!B79</f>
        <v>32061</v>
      </c>
      <c r="D88" s="506">
        <f>'Fin. Data'!C79</f>
        <v>31444</v>
      </c>
      <c r="E88" s="506">
        <f>'Fin. Data'!D79</f>
        <v>32424</v>
      </c>
      <c r="F88" s="506">
        <f>'Fin. Data'!E79</f>
        <v>36089</v>
      </c>
      <c r="G88" s="506">
        <f>'Fin. Data'!F79</f>
        <v>37123</v>
      </c>
      <c r="H88" s="506">
        <f>'Fin. Data'!G79</f>
        <v>35360</v>
      </c>
      <c r="I88" s="506">
        <f>'Fin. Data'!H79</f>
        <v>35705</v>
      </c>
      <c r="J88" s="506">
        <f>'Fin. Data'!I79</f>
        <v>36313</v>
      </c>
      <c r="K88" s="506">
        <f>'Fin. Data'!J79</f>
        <v>35623</v>
      </c>
      <c r="L88" s="506">
        <f>'Fin. Data'!K79</f>
        <v>33590</v>
      </c>
      <c r="M88" s="506">
        <f>'Fin. Data'!L79</f>
        <v>29788</v>
      </c>
      <c r="N88" s="507">
        <f>'Fin. Data'!M79</f>
        <v>28028</v>
      </c>
    </row>
    <row r="89" spans="2:28">
      <c r="B89" s="455" t="s">
        <v>481</v>
      </c>
      <c r="C89" s="503">
        <f t="shared" ref="C89:N89" si="19">C9</f>
        <v>9.4</v>
      </c>
      <c r="D89" s="504">
        <f t="shared" si="19"/>
        <v>9.8000000000000007</v>
      </c>
      <c r="E89" s="504">
        <f t="shared" si="19"/>
        <v>8.5</v>
      </c>
      <c r="F89" s="504">
        <f t="shared" si="19"/>
        <v>12.1</v>
      </c>
      <c r="G89" s="504">
        <f t="shared" si="19"/>
        <v>16.399999999999999</v>
      </c>
      <c r="H89" s="504">
        <f t="shared" si="19"/>
        <v>14.2</v>
      </c>
      <c r="I89" s="504">
        <f t="shared" si="19"/>
        <v>15.2</v>
      </c>
      <c r="J89" s="504" t="str">
        <f t="shared" si="19"/>
        <v>--</v>
      </c>
      <c r="K89" s="504" t="str">
        <f t="shared" si="19"/>
        <v>--</v>
      </c>
      <c r="L89" s="504" t="str">
        <f t="shared" si="19"/>
        <v>--</v>
      </c>
      <c r="M89" s="504" t="str">
        <f t="shared" si="19"/>
        <v>--</v>
      </c>
      <c r="N89" s="505">
        <f t="shared" si="19"/>
        <v>18</v>
      </c>
    </row>
    <row r="91" spans="2:28">
      <c r="B91" s="539" t="s">
        <v>541</v>
      </c>
      <c r="C91" s="510">
        <f t="shared" ref="C91:I91" si="20">C89/C4</f>
        <v>1.2535004667288973E-3</v>
      </c>
      <c r="D91" s="508">
        <f t="shared" si="20"/>
        <v>1.3400793108163545E-3</v>
      </c>
      <c r="E91" s="508">
        <f t="shared" si="20"/>
        <v>1.5192135835567471E-3</v>
      </c>
      <c r="F91" s="508">
        <f t="shared" si="20"/>
        <v>1.4679121679000364E-3</v>
      </c>
      <c r="G91" s="508">
        <f t="shared" si="20"/>
        <v>1.935103244837758E-3</v>
      </c>
      <c r="H91" s="508">
        <f t="shared" si="20"/>
        <v>1.7774439854800349E-3</v>
      </c>
      <c r="I91" s="508">
        <f t="shared" si="20"/>
        <v>2.0124453859393619E-3</v>
      </c>
      <c r="J91" s="504" t="s">
        <v>482</v>
      </c>
      <c r="K91" s="504" t="s">
        <v>482</v>
      </c>
      <c r="L91" s="504" t="s">
        <v>482</v>
      </c>
      <c r="M91" s="504" t="s">
        <v>482</v>
      </c>
      <c r="N91" s="509">
        <f>N89/N4</f>
        <v>2.6269702276707531E-3</v>
      </c>
    </row>
    <row r="92" spans="2:28">
      <c r="C92" s="4"/>
      <c r="D92" s="4"/>
      <c r="E92" s="4"/>
      <c r="F92" s="4"/>
      <c r="G92" s="4"/>
      <c r="H92" s="4"/>
      <c r="I92" s="4"/>
      <c r="N92" s="4"/>
    </row>
    <row r="93" spans="2:28">
      <c r="B93" s="515" t="s">
        <v>513</v>
      </c>
      <c r="C93" s="1181">
        <f>AVERAGE(C91:N91)</f>
        <v>1.7415835466162428E-3</v>
      </c>
      <c r="D93" s="4"/>
      <c r="H93" s="4"/>
      <c r="I93" s="4"/>
      <c r="N93" s="4"/>
    </row>
    <row r="94" spans="2:28">
      <c r="B94" s="516" t="s">
        <v>514</v>
      </c>
      <c r="C94" s="512">
        <f>AVERAGE(C91:G91)</f>
        <v>1.5031617547679587E-3</v>
      </c>
      <c r="D94" s="4"/>
      <c r="E94" s="732" t="s">
        <v>534</v>
      </c>
      <c r="F94" s="458">
        <v>1.4E-3</v>
      </c>
      <c r="G94" s="1533" t="s">
        <v>535</v>
      </c>
      <c r="H94" s="4"/>
      <c r="I94" s="4"/>
      <c r="N94" s="4"/>
    </row>
    <row r="95" spans="2:28">
      <c r="B95" s="517" t="s">
        <v>509</v>
      </c>
      <c r="C95" s="513">
        <f>AVERAGE(F91:N91)</f>
        <v>1.9639750023655888E-3</v>
      </c>
      <c r="D95" s="4"/>
      <c r="E95" s="733" t="s">
        <v>536</v>
      </c>
      <c r="F95" s="459">
        <v>1.5E-3</v>
      </c>
      <c r="G95" s="1533"/>
      <c r="H95" s="4"/>
      <c r="I95" s="4"/>
      <c r="N95" s="4"/>
    </row>
    <row r="96" spans="2:28" ht="14.25" customHeight="1">
      <c r="B96" s="502" t="s">
        <v>542</v>
      </c>
      <c r="C96" s="514">
        <f>AVERAGE(C91:I91)</f>
        <v>1.6150997350370272E-3</v>
      </c>
    </row>
    <row r="98" spans="2:28">
      <c r="C98" s="676">
        <v>2023</v>
      </c>
      <c r="D98" s="677">
        <v>2024</v>
      </c>
      <c r="E98" s="677">
        <v>2025</v>
      </c>
      <c r="F98" s="677">
        <v>2026</v>
      </c>
      <c r="G98" s="677">
        <v>2027</v>
      </c>
      <c r="H98" s="677">
        <v>2028</v>
      </c>
      <c r="I98" s="677">
        <v>2029</v>
      </c>
      <c r="J98" s="677">
        <v>2030</v>
      </c>
      <c r="K98" s="677">
        <v>2031</v>
      </c>
      <c r="L98" s="677">
        <v>2032</v>
      </c>
      <c r="M98" s="677">
        <v>2033</v>
      </c>
      <c r="N98" s="677">
        <v>2034</v>
      </c>
      <c r="O98" s="677">
        <v>2035</v>
      </c>
      <c r="P98" s="677">
        <v>2036</v>
      </c>
      <c r="Q98" s="677">
        <v>2037</v>
      </c>
      <c r="R98" s="677">
        <v>2038</v>
      </c>
      <c r="S98" s="677">
        <v>2039</v>
      </c>
      <c r="T98" s="677">
        <v>2040</v>
      </c>
      <c r="U98" s="677">
        <v>2041</v>
      </c>
      <c r="V98" s="677">
        <v>2042</v>
      </c>
      <c r="W98" s="677">
        <v>2043</v>
      </c>
      <c r="X98" s="677">
        <v>2044</v>
      </c>
      <c r="Y98" s="677">
        <v>2045</v>
      </c>
      <c r="Z98" s="677">
        <v>2046</v>
      </c>
      <c r="AA98" s="677">
        <v>2047</v>
      </c>
      <c r="AB98" s="678">
        <v>2048</v>
      </c>
    </row>
    <row r="99" spans="2:28">
      <c r="B99" s="689" t="s">
        <v>543</v>
      </c>
      <c r="C99" s="462">
        <f>C38*($F$94)</f>
        <v>10.761064999999999</v>
      </c>
      <c r="D99" s="463">
        <f>D38*($F$94)</f>
        <v>11.0569942875</v>
      </c>
      <c r="E99" s="463">
        <f>E38*($F$94)</f>
        <v>11.361061630406251</v>
      </c>
      <c r="F99" s="463">
        <f>F38*($F$94)</f>
        <v>11.673490825242425</v>
      </c>
      <c r="G99" s="463">
        <f t="shared" ref="G99:AB99" si="21">G38*($F$95)</f>
        <v>12.694921272451136</v>
      </c>
      <c r="H99" s="463">
        <f t="shared" si="21"/>
        <v>12.872650170265452</v>
      </c>
      <c r="I99" s="463">
        <f t="shared" si="21"/>
        <v>13.039994622478901</v>
      </c>
      <c r="J99" s="463">
        <f t="shared" si="21"/>
        <v>13.196474557948648</v>
      </c>
      <c r="K99" s="463">
        <f t="shared" si="21"/>
        <v>13.341635778086081</v>
      </c>
      <c r="L99" s="463">
        <f t="shared" si="21"/>
        <v>13.475052135866942</v>
      </c>
      <c r="M99" s="463">
        <f t="shared" si="21"/>
        <v>13.596327605089744</v>
      </c>
      <c r="N99" s="463">
        <f t="shared" si="21"/>
        <v>13.705098225930461</v>
      </c>
      <c r="O99" s="463">
        <f t="shared" si="21"/>
        <v>13.801033913511974</v>
      </c>
      <c r="P99" s="463">
        <f t="shared" si="21"/>
        <v>13.883840116993047</v>
      </c>
      <c r="Q99" s="463">
        <f t="shared" si="21"/>
        <v>13.953259317578009</v>
      </c>
      <c r="R99" s="463">
        <f t="shared" si="21"/>
        <v>14.009072354848321</v>
      </c>
      <c r="S99" s="463">
        <f t="shared" si="21"/>
        <v>14.051099571912863</v>
      </c>
      <c r="T99" s="463">
        <f t="shared" si="21"/>
        <v>14.07920177105669</v>
      </c>
      <c r="U99" s="463">
        <f t="shared" si="21"/>
        <v>14.093280972827746</v>
      </c>
      <c r="V99" s="463">
        <f t="shared" si="21"/>
        <v>14.093280972827746</v>
      </c>
      <c r="W99" s="463">
        <f t="shared" si="21"/>
        <v>14.093280972827746</v>
      </c>
      <c r="X99" s="463">
        <f t="shared" si="21"/>
        <v>14.093280972827746</v>
      </c>
      <c r="Y99" s="463">
        <f t="shared" si="21"/>
        <v>14.093280972827746</v>
      </c>
      <c r="Z99" s="463">
        <f t="shared" si="21"/>
        <v>14.093280972827746</v>
      </c>
      <c r="AA99" s="463">
        <f t="shared" si="21"/>
        <v>14.093280972827746</v>
      </c>
      <c r="AB99" s="464">
        <f t="shared" si="21"/>
        <v>14.093280972827746</v>
      </c>
    </row>
    <row r="100" spans="2:28">
      <c r="C100" s="468"/>
      <c r="D100" s="468"/>
      <c r="E100" s="468"/>
      <c r="F100" s="468"/>
      <c r="G100" s="468"/>
      <c r="H100" s="468"/>
      <c r="I100" s="468"/>
      <c r="J100" s="468"/>
      <c r="K100" s="468"/>
      <c r="L100" s="468"/>
      <c r="M100" s="468"/>
      <c r="N100" s="468"/>
      <c r="O100" s="468"/>
      <c r="P100" s="468"/>
      <c r="Q100" s="468"/>
      <c r="R100" s="468"/>
      <c r="S100" s="468"/>
      <c r="T100" s="468"/>
      <c r="U100" s="468"/>
      <c r="V100" s="468"/>
      <c r="W100" s="468"/>
      <c r="X100" s="468"/>
      <c r="Y100" s="468"/>
      <c r="Z100" s="468"/>
      <c r="AA100" s="468"/>
      <c r="AB100" s="468"/>
    </row>
    <row r="102" spans="2:28">
      <c r="B102" s="702" t="s">
        <v>544</v>
      </c>
    </row>
    <row r="104" spans="2:28">
      <c r="B104" s="291" t="s">
        <v>545</v>
      </c>
    </row>
    <row r="105" spans="2:28">
      <c r="B105" s="291" t="s">
        <v>546</v>
      </c>
    </row>
    <row r="106" spans="2:28">
      <c r="B106" s="291" t="s">
        <v>547</v>
      </c>
    </row>
    <row r="107" spans="2:28" ht="24" customHeight="1">
      <c r="B107" s="291" t="s">
        <v>548</v>
      </c>
    </row>
    <row r="108" spans="2:28" ht="24" customHeight="1">
      <c r="B108" s="291"/>
    </row>
    <row r="109" spans="2:28" ht="13.5" customHeight="1">
      <c r="C109" s="693">
        <v>2022</v>
      </c>
      <c r="D109" s="694">
        <v>2021</v>
      </c>
      <c r="E109" s="694">
        <v>2020</v>
      </c>
      <c r="F109" s="694">
        <v>2019</v>
      </c>
      <c r="G109" s="694">
        <v>2018</v>
      </c>
      <c r="H109" s="694">
        <v>2017</v>
      </c>
      <c r="I109" s="694">
        <v>2016</v>
      </c>
      <c r="J109" s="694">
        <v>2015</v>
      </c>
      <c r="K109" s="694">
        <v>2014</v>
      </c>
      <c r="L109" s="694">
        <v>2013</v>
      </c>
      <c r="M109" s="694">
        <v>2012</v>
      </c>
      <c r="N109" s="695">
        <v>2011</v>
      </c>
    </row>
    <row r="110" spans="2:28">
      <c r="B110" s="605" t="s">
        <v>549</v>
      </c>
      <c r="C110" s="493">
        <f>Inputs!B30/(Inputs!B6-Inputs!B7)*365</f>
        <v>1285.30590146183</v>
      </c>
      <c r="D110" s="494">
        <f>Inputs!C30/(Inputs!C6-Inputs!C7)*365</f>
        <v>1447.5459317585303</v>
      </c>
      <c r="E110" s="494">
        <f>Inputs!D30/(Inputs!D6-Inputs!D7)*365</f>
        <v>2214.5066124109867</v>
      </c>
      <c r="F110" s="494">
        <f>Inputs!E30/(Inputs!E6-Inputs!E7)*365</f>
        <v>1482.8125</v>
      </c>
      <c r="G110" s="494">
        <f>Inputs!F30/(Inputs!F6-Inputs!F7)*365</f>
        <v>1077.6190476190477</v>
      </c>
      <c r="H110" s="494">
        <f>Inputs!G30/(Inputs!G6-Inputs!G7)*365</f>
        <v>1253.6224783861671</v>
      </c>
      <c r="I110" s="494">
        <f>Inputs!H30/(Inputs!H6-Inputs!H7)*365</f>
        <v>1314.1778319123021</v>
      </c>
      <c r="J110" s="494">
        <f>Inputs!I30/(Inputs!I6-Inputs!I7)*365</f>
        <v>1061.984007996002</v>
      </c>
      <c r="K110" s="494">
        <f>Inputs!J30/(Inputs!J6-Inputs!J7)*365</f>
        <v>918.69196428571433</v>
      </c>
      <c r="L110" s="494">
        <f>Inputs!K30/(Inputs!K6-Inputs!K7)*365</f>
        <v>764.4788273615635</v>
      </c>
      <c r="M110" s="494">
        <f>Inputs!L30/(Inputs!L6-Inputs!L7)*365</f>
        <v>643.70755517826819</v>
      </c>
      <c r="N110" s="495">
        <f>Inputs!M30/(Inputs!M6-Inputs!M7)*365</f>
        <v>572.23322827555148</v>
      </c>
    </row>
    <row r="111" spans="2:28">
      <c r="B111" s="607" t="s">
        <v>550</v>
      </c>
      <c r="C111" s="493">
        <f>Inputs!B29/Inputs!B6*365</f>
        <v>34.606614215228696</v>
      </c>
      <c r="D111" s="494">
        <f>Inputs!C29/Inputs!C6*365</f>
        <v>39.130315875837553</v>
      </c>
      <c r="E111" s="494">
        <f>Inputs!D29/Inputs!D6*365</f>
        <v>54.668453976764972</v>
      </c>
      <c r="F111" s="494">
        <f>Inputs!E29/Inputs!E6*365</f>
        <v>39.143515710299646</v>
      </c>
      <c r="G111" s="494">
        <f>Inputs!F29/Inputs!F6*365</f>
        <v>40.268436578171091</v>
      </c>
      <c r="H111" s="494">
        <f>Inputs!G29/Inputs!G6*365</f>
        <v>51.901364376017028</v>
      </c>
      <c r="I111" s="494">
        <f>Inputs!H29/Inputs!H6*365</f>
        <v>45.039057328213957</v>
      </c>
      <c r="J111" s="494">
        <f>Inputs!I29/Inputs!I6*365</f>
        <v>44.485859661578516</v>
      </c>
      <c r="K111" s="494">
        <f>Inputs!J29/Inputs!J6*365</f>
        <v>47.736249856470316</v>
      </c>
      <c r="L111" s="494">
        <f>Inputs!K29/Inputs!K6*365</f>
        <v>51.927034058656581</v>
      </c>
      <c r="M111" s="494">
        <f>Inputs!L29/Inputs!L6*365</f>
        <v>51.313494099538232</v>
      </c>
      <c r="N111" s="495">
        <f>Inputs!M29/Inputs!M6*365</f>
        <v>55.506421482778748</v>
      </c>
    </row>
    <row r="112" spans="2:28">
      <c r="B112" s="605" t="s">
        <v>551</v>
      </c>
      <c r="C112" s="493">
        <f>Inputs!B43/(Inputs!B6-Inputs!B7)*365</f>
        <v>65.016242555495396</v>
      </c>
      <c r="D112" s="494">
        <f>Inputs!C43/(Inputs!C6-Inputs!C7)*365</f>
        <v>81.669947506561684</v>
      </c>
      <c r="E112" s="494">
        <f>Inputs!D43/(Inputs!D6-Inputs!D7)*365</f>
        <v>114.735503560529</v>
      </c>
      <c r="F112" s="494">
        <f>Inputs!E43/(Inputs!E6-Inputs!E7)*365</f>
        <v>80.071874999999991</v>
      </c>
      <c r="G112" s="494">
        <f>Inputs!F43/(Inputs!F6-Inputs!F7)*365</f>
        <v>70.671608265947881</v>
      </c>
      <c r="H112" s="494">
        <f>Inputs!G43/(Inputs!G6-Inputs!G7)*365</f>
        <v>86.043227665706056</v>
      </c>
      <c r="I112" s="494">
        <f>Inputs!H43/(Inputs!H6-Inputs!H7)*365</f>
        <v>89.58282582216809</v>
      </c>
      <c r="J112" s="494">
        <f>Inputs!I43/(Inputs!I6-Inputs!I7)*365</f>
        <v>82.266366816591699</v>
      </c>
      <c r="K112" s="494">
        <f>Inputs!J43/(Inputs!J6-Inputs!J7)*365</f>
        <v>75.933035714285722</v>
      </c>
      <c r="L112" s="494">
        <f>Inputs!K43/(Inputs!K6-Inputs!K7)*365</f>
        <v>73.564739413680783</v>
      </c>
      <c r="M112" s="494">
        <f>Inputs!L43/(Inputs!L6-Inputs!L7)*365</f>
        <v>63.2088285229202</v>
      </c>
      <c r="N112" s="495">
        <f>Inputs!M43/(Inputs!M6-Inputs!M7)*365</f>
        <v>65.736154885186863</v>
      </c>
    </row>
    <row r="113" spans="2:22">
      <c r="B113" s="605" t="s">
        <v>552</v>
      </c>
      <c r="C113" s="576">
        <f t="shared" ref="C113:N113" si="22">C110+C111-C112</f>
        <v>1254.8962731215634</v>
      </c>
      <c r="D113" s="577">
        <f t="shared" si="22"/>
        <v>1405.0063001278063</v>
      </c>
      <c r="E113" s="577">
        <f t="shared" si="22"/>
        <v>2154.4395628272223</v>
      </c>
      <c r="F113" s="577">
        <f t="shared" si="22"/>
        <v>1441.8841407102996</v>
      </c>
      <c r="G113" s="577">
        <f t="shared" si="22"/>
        <v>1047.2158759312708</v>
      </c>
      <c r="H113" s="577">
        <f t="shared" si="22"/>
        <v>1219.480615096478</v>
      </c>
      <c r="I113" s="577">
        <f t="shared" si="22"/>
        <v>1269.6340634183478</v>
      </c>
      <c r="J113" s="577">
        <f t="shared" si="22"/>
        <v>1024.2035008409889</v>
      </c>
      <c r="K113" s="577">
        <f t="shared" si="22"/>
        <v>890.49517842789896</v>
      </c>
      <c r="L113" s="577">
        <f t="shared" si="22"/>
        <v>742.84112200653931</v>
      </c>
      <c r="M113" s="577">
        <f t="shared" si="22"/>
        <v>631.81222075488631</v>
      </c>
      <c r="N113" s="578">
        <f t="shared" si="22"/>
        <v>562.00349487314338</v>
      </c>
    </row>
    <row r="116" spans="2:22" ht="14.25" customHeight="1">
      <c r="C116" s="613" t="s">
        <v>553</v>
      </c>
      <c r="D116" s="614" t="s">
        <v>554</v>
      </c>
      <c r="E116" s="614" t="s">
        <v>555</v>
      </c>
      <c r="F116" s="615" t="s">
        <v>556</v>
      </c>
      <c r="G116" s="734" t="s">
        <v>534</v>
      </c>
      <c r="H116" s="735" t="s">
        <v>536</v>
      </c>
      <c r="I116" s="616" t="s">
        <v>557</v>
      </c>
    </row>
    <row r="117" spans="2:22">
      <c r="B117" s="646" t="s">
        <v>549</v>
      </c>
      <c r="C117" s="617">
        <f>AVERAGE(C110:E110)</f>
        <v>1649.1194818771157</v>
      </c>
      <c r="D117" s="611">
        <f>AVERAGE(C110:G110)</f>
        <v>1501.5579986500791</v>
      </c>
      <c r="E117" s="618">
        <f>AVERAGE(C110:N110)</f>
        <v>1169.7238238871635</v>
      </c>
      <c r="F117" s="619" t="s">
        <v>558</v>
      </c>
      <c r="G117" s="620">
        <f>G120-G118+G119</f>
        <v>1544.1458147828225</v>
      </c>
      <c r="H117" s="612">
        <f>H120-H118+H119</f>
        <v>840.46101111337828</v>
      </c>
      <c r="I117" s="621">
        <f>(H117-G117)/6</f>
        <v>-117.28080061157404</v>
      </c>
    </row>
    <row r="118" spans="2:22">
      <c r="B118" s="647" t="s">
        <v>550</v>
      </c>
      <c r="C118" s="595">
        <f>AVERAGE(C111:E111)</f>
        <v>42.801794689277074</v>
      </c>
      <c r="D118" s="518">
        <f>AVERAGE(C111:G111)</f>
        <v>41.563467271260393</v>
      </c>
      <c r="E118" s="559">
        <f>AVERAGE(C111:N111)</f>
        <v>46.310568101629606</v>
      </c>
      <c r="F118" s="558" t="s">
        <v>559</v>
      </c>
      <c r="G118" s="560">
        <f>(C111+D111+F111+G111)/4</f>
        <v>38.287220594884246</v>
      </c>
      <c r="H118" s="519">
        <f>G118</f>
        <v>38.287220594884246</v>
      </c>
      <c r="I118" s="590">
        <v>0</v>
      </c>
    </row>
    <row r="119" spans="2:22">
      <c r="B119" s="647" t="s">
        <v>551</v>
      </c>
      <c r="C119" s="595">
        <f>AVERAGE(C112:E112)</f>
        <v>87.14056454086203</v>
      </c>
      <c r="D119" s="518">
        <f>AVERAGE(C112:G112)</f>
        <v>82.433035377706787</v>
      </c>
      <c r="E119" s="559">
        <f>AVERAGE(C112:N112)</f>
        <v>79.041696310756109</v>
      </c>
      <c r="F119" s="558" t="s">
        <v>560</v>
      </c>
      <c r="G119" s="560">
        <f>D119</f>
        <v>82.433035377706787</v>
      </c>
      <c r="H119" s="588">
        <f>0.3*AVERAGE(C112:H112)+0.7*AVERAGE(I112:M112)</f>
        <v>78.748231708262523</v>
      </c>
      <c r="I119" s="590">
        <v>0</v>
      </c>
    </row>
    <row r="120" spans="2:22">
      <c r="B120" s="648" t="s">
        <v>552</v>
      </c>
      <c r="C120" s="596">
        <f>AVERAGE(C113:E113)</f>
        <v>1604.7807120255304</v>
      </c>
      <c r="D120" s="592">
        <f>AVERAGE(C113:G113)</f>
        <v>1460.6884305436322</v>
      </c>
      <c r="E120" s="563">
        <f>AVERAGE(C113:N113)</f>
        <v>1136.9926956780369</v>
      </c>
      <c r="F120" s="593" t="s">
        <v>558</v>
      </c>
      <c r="G120" s="561">
        <v>1500</v>
      </c>
      <c r="H120" s="589">
        <v>800</v>
      </c>
      <c r="I120" s="594">
        <f>(H120-G120)/6</f>
        <v>-116.66666666666667</v>
      </c>
    </row>
    <row r="123" spans="2:22" ht="25.5" customHeight="1">
      <c r="C123" s="573">
        <v>2022</v>
      </c>
      <c r="D123" s="574">
        <v>2021</v>
      </c>
      <c r="E123" s="574">
        <v>2020</v>
      </c>
      <c r="F123" s="574">
        <v>2019</v>
      </c>
      <c r="G123" s="574">
        <v>2018</v>
      </c>
      <c r="H123" s="574">
        <v>2017</v>
      </c>
      <c r="I123" s="574">
        <v>2016</v>
      </c>
      <c r="J123" s="574">
        <v>2015</v>
      </c>
      <c r="K123" s="574">
        <v>2014</v>
      </c>
      <c r="L123" s="574">
        <v>2013</v>
      </c>
      <c r="M123" s="574">
        <v>2012</v>
      </c>
      <c r="N123" s="575">
        <v>2011</v>
      </c>
      <c r="O123" s="468"/>
      <c r="P123" s="468"/>
      <c r="Q123" s="468"/>
      <c r="R123" s="468"/>
      <c r="S123" s="468"/>
      <c r="T123" s="580"/>
      <c r="U123" s="468"/>
      <c r="V123" s="468"/>
    </row>
    <row r="124" spans="2:22" ht="25.5" customHeight="1">
      <c r="B124" s="605" t="s">
        <v>281</v>
      </c>
      <c r="C124" s="598">
        <f>'Fin. Data (Common Size)'!B5-'Fin. Data (Common Size)'!B7</f>
        <v>1847</v>
      </c>
      <c r="D124" s="599">
        <f>'Fin. Data (Common Size)'!C5-'Fin. Data (Common Size)'!C7</f>
        <v>1524</v>
      </c>
      <c r="E124" s="599">
        <f>'Fin. Data (Common Size)'!D5-'Fin. Data (Common Size)'!D7</f>
        <v>983</v>
      </c>
      <c r="F124" s="599">
        <f>'Fin. Data (Common Size)'!E5-'Fin. Data (Common Size)'!E7</f>
        <v>1600</v>
      </c>
      <c r="G124" s="599">
        <f>'Fin. Data (Common Size)'!F5-'Fin. Data (Common Size)'!F7</f>
        <v>2226</v>
      </c>
      <c r="H124" s="599">
        <f>'Fin. Data (Common Size)'!G5-'Fin. Data (Common Size)'!G7</f>
        <v>1735</v>
      </c>
      <c r="I124" s="599">
        <f>'Fin. Data (Common Size)'!H5-'Fin. Data (Common Size)'!H7</f>
        <v>1642</v>
      </c>
      <c r="J124" s="599">
        <f>'Fin. Data (Common Size)'!I5-'Fin. Data (Common Size)'!I7</f>
        <v>2001</v>
      </c>
      <c r="K124" s="599">
        <f>'Fin. Data (Common Size)'!J5-'Fin. Data (Common Size)'!J7</f>
        <v>2240</v>
      </c>
      <c r="L124" s="599">
        <f>'Fin. Data (Common Size)'!K5-'Fin. Data (Common Size)'!K7</f>
        <v>2456</v>
      </c>
      <c r="M124" s="599">
        <f>'Fin. Data (Common Size)'!L5-'Fin. Data (Common Size)'!L7</f>
        <v>2356</v>
      </c>
      <c r="N124" s="600">
        <f>'Fin. Data (Common Size)'!M5-'Fin. Data (Common Size)'!M7</f>
        <v>2221</v>
      </c>
      <c r="O124" s="468"/>
      <c r="P124" s="468"/>
      <c r="Q124" s="468"/>
      <c r="R124" s="468"/>
      <c r="S124" s="468"/>
      <c r="T124" s="580"/>
      <c r="U124" s="468"/>
      <c r="V124" s="468"/>
    </row>
    <row r="125" spans="2:22" ht="25.5" customHeight="1">
      <c r="B125" s="605" t="s">
        <v>561</v>
      </c>
      <c r="C125" s="601">
        <f t="shared" ref="C125:N125" si="23">C124/C4</f>
        <v>0.24629950660088012</v>
      </c>
      <c r="D125" s="602">
        <f t="shared" si="23"/>
        <v>0.20839600711062492</v>
      </c>
      <c r="E125" s="602">
        <f t="shared" si="23"/>
        <v>0.17569258266309204</v>
      </c>
      <c r="F125" s="602">
        <f t="shared" si="23"/>
        <v>0.19410408831736017</v>
      </c>
      <c r="G125" s="602">
        <f t="shared" si="23"/>
        <v>0.26265486725663717</v>
      </c>
      <c r="H125" s="602">
        <f t="shared" si="23"/>
        <v>0.21717361371886343</v>
      </c>
      <c r="I125" s="602">
        <f t="shared" si="23"/>
        <v>0.21739706077055473</v>
      </c>
      <c r="J125" s="602">
        <f t="shared" si="23"/>
        <v>0.23677671281505147</v>
      </c>
      <c r="K125" s="602">
        <f t="shared" si="23"/>
        <v>0.25720519003329889</v>
      </c>
      <c r="L125" s="602">
        <f t="shared" si="23"/>
        <v>0.2904446546830653</v>
      </c>
      <c r="M125" s="602">
        <f t="shared" si="23"/>
        <v>0.30220625962031811</v>
      </c>
      <c r="N125" s="603">
        <f t="shared" si="23"/>
        <v>0.32413893753648571</v>
      </c>
      <c r="O125" s="468"/>
      <c r="P125" s="468">
        <f>(C113-G135)/5</f>
        <v>-57.849908332251836</v>
      </c>
      <c r="Q125" s="468">
        <f>(G135-AB135)/21</f>
        <v>33.508800174735441</v>
      </c>
      <c r="R125" s="468"/>
      <c r="S125" s="468"/>
      <c r="T125" s="580"/>
      <c r="U125" s="468"/>
      <c r="V125" s="468"/>
    </row>
    <row r="127" spans="2:22">
      <c r="B127" s="582" t="s">
        <v>513</v>
      </c>
      <c r="C127" s="458">
        <f>AVERAGE(C125:N125)</f>
        <v>0.24437412342718601</v>
      </c>
      <c r="E127" s="732" t="s">
        <v>534</v>
      </c>
      <c r="F127" s="458">
        <v>0.19</v>
      </c>
      <c r="G127" s="1533" t="s">
        <v>535</v>
      </c>
    </row>
    <row r="128" spans="2:22">
      <c r="B128" s="583" t="s">
        <v>514</v>
      </c>
      <c r="C128" s="585">
        <f>AVERAGE(C125:G125)</f>
        <v>0.21742941038971889</v>
      </c>
      <c r="E128" s="733" t="s">
        <v>536</v>
      </c>
      <c r="F128" s="459">
        <v>0.18</v>
      </c>
      <c r="G128" s="1533"/>
    </row>
    <row r="129" spans="1:28">
      <c r="B129" s="584" t="s">
        <v>562</v>
      </c>
      <c r="C129" s="459">
        <f>AVERAGE(C125:E125)</f>
        <v>0.21012936545819905</v>
      </c>
    </row>
    <row r="131" spans="1:28">
      <c r="C131" s="676">
        <v>2023</v>
      </c>
      <c r="D131" s="677">
        <v>2024</v>
      </c>
      <c r="E131" s="677">
        <v>2025</v>
      </c>
      <c r="F131" s="677">
        <v>2026</v>
      </c>
      <c r="G131" s="677">
        <v>2027</v>
      </c>
      <c r="H131" s="677">
        <v>2028</v>
      </c>
      <c r="I131" s="677">
        <v>2029</v>
      </c>
      <c r="J131" s="677">
        <v>2030</v>
      </c>
      <c r="K131" s="677">
        <v>2031</v>
      </c>
      <c r="L131" s="677">
        <v>2032</v>
      </c>
      <c r="M131" s="677">
        <v>2033</v>
      </c>
      <c r="N131" s="677">
        <v>2034</v>
      </c>
      <c r="O131" s="677">
        <v>2035</v>
      </c>
      <c r="P131" s="677">
        <v>2036</v>
      </c>
      <c r="Q131" s="677">
        <v>2037</v>
      </c>
      <c r="R131" s="677">
        <v>2038</v>
      </c>
      <c r="S131" s="677">
        <v>2039</v>
      </c>
      <c r="T131" s="677">
        <v>2040</v>
      </c>
      <c r="U131" s="677">
        <v>2041</v>
      </c>
      <c r="V131" s="677">
        <v>2042</v>
      </c>
      <c r="W131" s="677">
        <v>2043</v>
      </c>
      <c r="X131" s="677">
        <v>2044</v>
      </c>
      <c r="Y131" s="677">
        <v>2045</v>
      </c>
      <c r="Z131" s="677">
        <v>2046</v>
      </c>
      <c r="AA131" s="677">
        <v>2047</v>
      </c>
      <c r="AB131" s="678">
        <v>2048</v>
      </c>
    </row>
    <row r="132" spans="1:28">
      <c r="B132" s="698" t="s">
        <v>563</v>
      </c>
      <c r="C132" s="462">
        <f>$F$127*C38</f>
        <v>1460.4302499999999</v>
      </c>
      <c r="D132" s="463">
        <f>$F$127*D38</f>
        <v>1500.5920818750001</v>
      </c>
      <c r="E132" s="463">
        <f>$F$127*E38</f>
        <v>1541.8583641265627</v>
      </c>
      <c r="F132" s="463">
        <f>$F$127*F38</f>
        <v>1584.2594691400434</v>
      </c>
      <c r="G132" s="463">
        <f>18.5%*G38</f>
        <v>1565.7069569356402</v>
      </c>
      <c r="H132" s="463">
        <f t="shared" ref="H132:AB132" si="24">$F$128*H38</f>
        <v>1544.718020431854</v>
      </c>
      <c r="I132" s="463">
        <f t="shared" si="24"/>
        <v>1564.7993546974681</v>
      </c>
      <c r="J132" s="463">
        <f t="shared" si="24"/>
        <v>1583.5769469538377</v>
      </c>
      <c r="K132" s="463">
        <f t="shared" si="24"/>
        <v>1600.9962933703296</v>
      </c>
      <c r="L132" s="463">
        <f t="shared" si="24"/>
        <v>1617.0062563040331</v>
      </c>
      <c r="M132" s="463">
        <f t="shared" si="24"/>
        <v>1631.5593126107692</v>
      </c>
      <c r="N132" s="463">
        <f t="shared" si="24"/>
        <v>1644.6117871116553</v>
      </c>
      <c r="O132" s="463">
        <f t="shared" si="24"/>
        <v>1656.1240696214368</v>
      </c>
      <c r="P132" s="463">
        <f t="shared" si="24"/>
        <v>1666.0608140391655</v>
      </c>
      <c r="Q132" s="463">
        <f t="shared" si="24"/>
        <v>1674.3911181093611</v>
      </c>
      <c r="R132" s="463">
        <f t="shared" si="24"/>
        <v>1681.0886825817984</v>
      </c>
      <c r="S132" s="463">
        <f t="shared" si="24"/>
        <v>1686.1319486295433</v>
      </c>
      <c r="T132" s="463">
        <f t="shared" si="24"/>
        <v>1689.5042125268026</v>
      </c>
      <c r="U132" s="463">
        <f t="shared" si="24"/>
        <v>1691.1937167393294</v>
      </c>
      <c r="V132" s="463">
        <f t="shared" si="24"/>
        <v>1691.1937167393294</v>
      </c>
      <c r="W132" s="463">
        <f t="shared" si="24"/>
        <v>1691.1937167393294</v>
      </c>
      <c r="X132" s="463">
        <f t="shared" si="24"/>
        <v>1691.1937167393294</v>
      </c>
      <c r="Y132" s="463">
        <f t="shared" si="24"/>
        <v>1691.1937167393294</v>
      </c>
      <c r="Z132" s="463">
        <f t="shared" si="24"/>
        <v>1691.1937167393294</v>
      </c>
      <c r="AA132" s="463">
        <f t="shared" si="24"/>
        <v>1691.1937167393294</v>
      </c>
      <c r="AB132" s="464">
        <f t="shared" si="24"/>
        <v>1691.1937167393294</v>
      </c>
    </row>
    <row r="133" spans="1:28" ht="15.75" customHeight="1"/>
    <row r="134" spans="1:28">
      <c r="C134" s="676">
        <v>2023</v>
      </c>
      <c r="D134" s="677">
        <v>2024</v>
      </c>
      <c r="E134" s="677">
        <v>2025</v>
      </c>
      <c r="F134" s="677">
        <v>2026</v>
      </c>
      <c r="G134" s="677">
        <v>2027</v>
      </c>
      <c r="H134" s="677">
        <v>2028</v>
      </c>
      <c r="I134" s="677">
        <v>2029</v>
      </c>
      <c r="J134" s="677">
        <v>2030</v>
      </c>
      <c r="K134" s="677">
        <v>2031</v>
      </c>
      <c r="L134" s="677">
        <v>2032</v>
      </c>
      <c r="M134" s="677">
        <v>2033</v>
      </c>
      <c r="N134" s="677">
        <v>2034</v>
      </c>
      <c r="O134" s="677">
        <v>2035</v>
      </c>
      <c r="P134" s="677">
        <v>2036</v>
      </c>
      <c r="Q134" s="677">
        <v>2037</v>
      </c>
      <c r="R134" s="677">
        <v>2038</v>
      </c>
      <c r="S134" s="677">
        <v>2039</v>
      </c>
      <c r="T134" s="677">
        <v>2040</v>
      </c>
      <c r="U134" s="677">
        <v>2041</v>
      </c>
      <c r="V134" s="677">
        <v>2042</v>
      </c>
      <c r="W134" s="677">
        <v>2043</v>
      </c>
      <c r="X134" s="677">
        <v>2044</v>
      </c>
      <c r="Y134" s="677">
        <v>2045</v>
      </c>
      <c r="Z134" s="677">
        <v>2046</v>
      </c>
      <c r="AA134" s="677">
        <v>2047</v>
      </c>
      <c r="AB134" s="678">
        <v>2048</v>
      </c>
    </row>
    <row r="135" spans="1:28">
      <c r="B135" s="698" t="s">
        <v>564</v>
      </c>
      <c r="C135" s="462">
        <f>C113-P125</f>
        <v>1312.7461814538151</v>
      </c>
      <c r="D135" s="463">
        <f>C135-$P$125</f>
        <v>1370.5960897860668</v>
      </c>
      <c r="E135" s="463">
        <f>D135-$P$125</f>
        <v>1428.4459981183186</v>
      </c>
      <c r="F135" s="463">
        <f>E135-$P$125</f>
        <v>1486.2959064505703</v>
      </c>
      <c r="G135" s="696">
        <f>G117</f>
        <v>1544.1458147828225</v>
      </c>
      <c r="H135" s="463">
        <f>G135-$Q$125</f>
        <v>1510.6370146080872</v>
      </c>
      <c r="I135" s="463">
        <f t="shared" ref="H135:AA135" si="25">H135-$Q$125</f>
        <v>1477.1282144333518</v>
      </c>
      <c r="J135" s="463">
        <f t="shared" si="25"/>
        <v>1443.6194142586164</v>
      </c>
      <c r="K135" s="463">
        <f t="shared" si="25"/>
        <v>1410.110614083881</v>
      </c>
      <c r="L135" s="463">
        <f t="shared" si="25"/>
        <v>1376.6018139091457</v>
      </c>
      <c r="M135" s="463">
        <f t="shared" si="25"/>
        <v>1343.0930137344103</v>
      </c>
      <c r="N135" s="463">
        <f t="shared" si="25"/>
        <v>1309.5842135596749</v>
      </c>
      <c r="O135" s="463">
        <f t="shared" si="25"/>
        <v>1276.0754133849396</v>
      </c>
      <c r="P135" s="463">
        <f t="shared" si="25"/>
        <v>1242.5666132102042</v>
      </c>
      <c r="Q135" s="463">
        <f t="shared" si="25"/>
        <v>1209.0578130354688</v>
      </c>
      <c r="R135" s="463">
        <f t="shared" si="25"/>
        <v>1175.5490128607335</v>
      </c>
      <c r="S135" s="463">
        <f t="shared" si="25"/>
        <v>1142.0402126859981</v>
      </c>
      <c r="T135" s="463">
        <f t="shared" si="25"/>
        <v>1108.5314125112627</v>
      </c>
      <c r="U135" s="463">
        <f t="shared" si="25"/>
        <v>1075.0226123365273</v>
      </c>
      <c r="V135" s="463">
        <f t="shared" si="25"/>
        <v>1041.513812161792</v>
      </c>
      <c r="W135" s="463">
        <f t="shared" si="25"/>
        <v>1008.0050119870565</v>
      </c>
      <c r="X135" s="463">
        <f t="shared" si="25"/>
        <v>974.49621181232101</v>
      </c>
      <c r="Y135" s="463">
        <f t="shared" si="25"/>
        <v>940.98741163758552</v>
      </c>
      <c r="Z135" s="463">
        <f t="shared" si="25"/>
        <v>907.47861146285004</v>
      </c>
      <c r="AA135" s="463">
        <f t="shared" si="25"/>
        <v>873.96981128811456</v>
      </c>
      <c r="AB135" s="697">
        <f>H117</f>
        <v>840.46101111337828</v>
      </c>
    </row>
    <row r="136" spans="1:28" ht="15.75" customHeight="1"/>
    <row r="137" spans="1:28">
      <c r="C137" s="676">
        <v>2023</v>
      </c>
      <c r="D137" s="677">
        <v>2024</v>
      </c>
      <c r="E137" s="677">
        <v>2025</v>
      </c>
      <c r="F137" s="677">
        <v>2026</v>
      </c>
      <c r="G137" s="677">
        <v>2027</v>
      </c>
      <c r="H137" s="677">
        <v>2028</v>
      </c>
      <c r="I137" s="677">
        <v>2029</v>
      </c>
      <c r="J137" s="677">
        <v>2030</v>
      </c>
      <c r="K137" s="677">
        <v>2031</v>
      </c>
      <c r="L137" s="677">
        <v>2032</v>
      </c>
      <c r="M137" s="677">
        <v>2033</v>
      </c>
      <c r="N137" s="677">
        <v>2034</v>
      </c>
      <c r="O137" s="677">
        <v>2035</v>
      </c>
      <c r="P137" s="677">
        <v>2036</v>
      </c>
      <c r="Q137" s="677">
        <v>2037</v>
      </c>
      <c r="R137" s="677">
        <v>2038</v>
      </c>
      <c r="S137" s="677">
        <v>2039</v>
      </c>
      <c r="T137" s="677">
        <v>2040</v>
      </c>
      <c r="U137" s="677">
        <v>2041</v>
      </c>
      <c r="V137" s="677">
        <v>2042</v>
      </c>
      <c r="W137" s="677">
        <v>2043</v>
      </c>
      <c r="X137" s="677">
        <v>2044</v>
      </c>
      <c r="Y137" s="677">
        <v>2045</v>
      </c>
      <c r="Z137" s="677">
        <v>2046</v>
      </c>
      <c r="AA137" s="677">
        <v>2047</v>
      </c>
      <c r="AB137" s="678">
        <v>2048</v>
      </c>
    </row>
    <row r="138" spans="1:28" ht="24" customHeight="1">
      <c r="A138" s="2" t="s">
        <v>565</v>
      </c>
      <c r="B138" s="699" t="s">
        <v>566</v>
      </c>
      <c r="C138" s="462">
        <f>C135*C132/365</f>
        <v>5252.5321478551787</v>
      </c>
      <c r="D138" s="463">
        <f t="shared" ref="D138:AB138" si="26">D135*D132/365</f>
        <v>5634.8099720049549</v>
      </c>
      <c r="E138" s="463">
        <f t="shared" si="26"/>
        <v>6034.1408490461527</v>
      </c>
      <c r="F138" s="463">
        <f t="shared" si="26"/>
        <v>6451.1735992832873</v>
      </c>
      <c r="G138" s="463">
        <f t="shared" si="26"/>
        <v>6623.7803965164876</v>
      </c>
      <c r="H138" s="463">
        <f t="shared" si="26"/>
        <v>6393.1732021821654</v>
      </c>
      <c r="I138" s="463">
        <f t="shared" si="26"/>
        <v>6332.6281554814577</v>
      </c>
      <c r="J138" s="463">
        <f t="shared" si="26"/>
        <v>6263.2395194382116</v>
      </c>
      <c r="K138" s="463">
        <f t="shared" si="26"/>
        <v>6185.1557983300072</v>
      </c>
      <c r="L138" s="463">
        <f t="shared" si="26"/>
        <v>6098.5582069330658</v>
      </c>
      <c r="M138" s="463">
        <f t="shared" si="26"/>
        <v>6003.6600390707972</v>
      </c>
      <c r="N138" s="463">
        <f t="shared" si="26"/>
        <v>5900.7058461248998</v>
      </c>
      <c r="O138" s="463">
        <f t="shared" si="26"/>
        <v>5789.9704294765024</v>
      </c>
      <c r="P138" s="463">
        <f t="shared" si="26"/>
        <v>5671.7576523366624</v>
      </c>
      <c r="Q138" s="463">
        <f t="shared" si="26"/>
        <v>5546.3990778830621</v>
      </c>
      <c r="R138" s="463">
        <f t="shared" si="26"/>
        <v>5414.252442028449</v>
      </c>
      <c r="S138" s="463">
        <f t="shared" si="26"/>
        <v>5275.6999704918908</v>
      </c>
      <c r="T138" s="463">
        <f t="shared" si="26"/>
        <v>5131.146551112507</v>
      </c>
      <c r="U138" s="463">
        <f t="shared" si="26"/>
        <v>4981.0177735239313</v>
      </c>
      <c r="V138" s="463">
        <f t="shared" si="26"/>
        <v>4825.7578493842429</v>
      </c>
      <c r="W138" s="463">
        <f t="shared" si="26"/>
        <v>4670.4979252445546</v>
      </c>
      <c r="X138" s="463">
        <f t="shared" si="26"/>
        <v>4515.2380011048654</v>
      </c>
      <c r="Y138" s="463">
        <f t="shared" si="26"/>
        <v>4359.978076965177</v>
      </c>
      <c r="Z138" s="463">
        <f t="shared" si="26"/>
        <v>4204.7181528254878</v>
      </c>
      <c r="AA138" s="463">
        <f t="shared" si="26"/>
        <v>4049.4582286857994</v>
      </c>
      <c r="AB138" s="464">
        <f t="shared" si="26"/>
        <v>3894.198304546107</v>
      </c>
    </row>
    <row r="139" spans="1:28" ht="24" customHeight="1">
      <c r="B139" s="700" t="s">
        <v>567</v>
      </c>
      <c r="C139" s="610">
        <f>C38*$G$118/365</f>
        <v>806.28428471798054</v>
      </c>
      <c r="D139" s="611">
        <f t="shared" ref="D139:AB139" si="27">D38*$G$118/365</f>
        <v>828.45710254772507</v>
      </c>
      <c r="E139" s="611">
        <f t="shared" si="27"/>
        <v>851.23967286778748</v>
      </c>
      <c r="F139" s="611">
        <f t="shared" si="27"/>
        <v>874.64876387165168</v>
      </c>
      <c r="G139" s="611">
        <f t="shared" si="27"/>
        <v>887.76849532972653</v>
      </c>
      <c r="H139" s="611">
        <f t="shared" si="27"/>
        <v>900.19725426434263</v>
      </c>
      <c r="I139" s="611">
        <f t="shared" si="27"/>
        <v>911.89981856977897</v>
      </c>
      <c r="J139" s="611">
        <f t="shared" si="27"/>
        <v>922.84261639261626</v>
      </c>
      <c r="K139" s="611">
        <f t="shared" si="27"/>
        <v>932.99388517293494</v>
      </c>
      <c r="L139" s="611">
        <f t="shared" si="27"/>
        <v>942.3238240246643</v>
      </c>
      <c r="M139" s="611">
        <f t="shared" si="27"/>
        <v>950.80473844088624</v>
      </c>
      <c r="N139" s="611">
        <f t="shared" si="27"/>
        <v>958.41117634841328</v>
      </c>
      <c r="O139" s="611">
        <f t="shared" si="27"/>
        <v>965.12005458285216</v>
      </c>
      <c r="P139" s="611">
        <f t="shared" si="27"/>
        <v>970.91077491034935</v>
      </c>
      <c r="Q139" s="611">
        <f t="shared" si="27"/>
        <v>975.76532878490093</v>
      </c>
      <c r="R139" s="611">
        <f t="shared" si="27"/>
        <v>979.66839010004048</v>
      </c>
      <c r="S139" s="611">
        <f t="shared" si="27"/>
        <v>982.60739527034036</v>
      </c>
      <c r="T139" s="611">
        <f t="shared" si="27"/>
        <v>984.57261006088117</v>
      </c>
      <c r="U139" s="611">
        <f t="shared" si="27"/>
        <v>985.55718267094198</v>
      </c>
      <c r="V139" s="611">
        <f t="shared" si="27"/>
        <v>985.55718267094198</v>
      </c>
      <c r="W139" s="611">
        <f t="shared" si="27"/>
        <v>985.55718267094198</v>
      </c>
      <c r="X139" s="611">
        <f t="shared" si="27"/>
        <v>985.55718267094198</v>
      </c>
      <c r="Y139" s="611">
        <f t="shared" si="27"/>
        <v>985.55718267094198</v>
      </c>
      <c r="Z139" s="611">
        <f t="shared" si="27"/>
        <v>985.55718267094198</v>
      </c>
      <c r="AA139" s="611">
        <f t="shared" si="27"/>
        <v>985.55718267094198</v>
      </c>
      <c r="AB139" s="612">
        <f t="shared" si="27"/>
        <v>985.55718267094198</v>
      </c>
    </row>
    <row r="140" spans="1:28" ht="24" customHeight="1">
      <c r="B140" s="699" t="s">
        <v>568</v>
      </c>
      <c r="C140" s="591">
        <f>$G$119*C132/365</f>
        <v>329.8293108628032</v>
      </c>
      <c r="D140" s="592">
        <f>$G$119*D132/365</f>
        <v>338.8996169115303</v>
      </c>
      <c r="E140" s="592">
        <f>$G$119*E132/365</f>
        <v>348.21935637659743</v>
      </c>
      <c r="F140" s="592">
        <f>$G$119*F132/365</f>
        <v>357.79538867695391</v>
      </c>
      <c r="G140" s="592">
        <f t="shared" ref="G140:AB140" si="28">$H$119*G132/365</f>
        <v>337.79905269042848</v>
      </c>
      <c r="H140" s="592">
        <f t="shared" si="28"/>
        <v>333.27071944355134</v>
      </c>
      <c r="I140" s="592">
        <f t="shared" si="28"/>
        <v>337.6032387963175</v>
      </c>
      <c r="J140" s="592">
        <f t="shared" si="28"/>
        <v>341.65447766187333</v>
      </c>
      <c r="K140" s="592">
        <f t="shared" si="28"/>
        <v>345.41267691615383</v>
      </c>
      <c r="L140" s="592">
        <f t="shared" si="28"/>
        <v>348.8668036853154</v>
      </c>
      <c r="M140" s="592">
        <f t="shared" si="28"/>
        <v>352.00660491848322</v>
      </c>
      <c r="N140" s="592">
        <f t="shared" si="28"/>
        <v>354.82265775783111</v>
      </c>
      <c r="O140" s="592">
        <f t="shared" si="28"/>
        <v>357.30641636213585</v>
      </c>
      <c r="P140" s="592">
        <f t="shared" si="28"/>
        <v>359.45025486030875</v>
      </c>
      <c r="Q140" s="592">
        <f t="shared" si="28"/>
        <v>361.24750613461021</v>
      </c>
      <c r="R140" s="592">
        <f t="shared" si="28"/>
        <v>362.69249615914862</v>
      </c>
      <c r="S140" s="592">
        <f t="shared" si="28"/>
        <v>363.78057364762594</v>
      </c>
      <c r="T140" s="592">
        <f t="shared" si="28"/>
        <v>364.50813479492126</v>
      </c>
      <c r="U140" s="592">
        <f t="shared" si="28"/>
        <v>364.87264292971622</v>
      </c>
      <c r="V140" s="592">
        <f t="shared" si="28"/>
        <v>364.87264292971622</v>
      </c>
      <c r="W140" s="592">
        <f t="shared" si="28"/>
        <v>364.87264292971622</v>
      </c>
      <c r="X140" s="592">
        <f t="shared" si="28"/>
        <v>364.87264292971622</v>
      </c>
      <c r="Y140" s="592">
        <f t="shared" si="28"/>
        <v>364.87264292971622</v>
      </c>
      <c r="Z140" s="592">
        <f t="shared" si="28"/>
        <v>364.87264292971622</v>
      </c>
      <c r="AA140" s="592">
        <f t="shared" si="28"/>
        <v>364.87264292971622</v>
      </c>
      <c r="AB140" s="589">
        <f t="shared" si="28"/>
        <v>364.87264292971622</v>
      </c>
    </row>
    <row r="142" spans="1:28">
      <c r="B142" s="690" t="s">
        <v>569</v>
      </c>
      <c r="C142" s="499">
        <f>C138+C139-C140</f>
        <v>5728.9871217103564</v>
      </c>
      <c r="D142" s="463">
        <f>D138+D139-D140</f>
        <v>6124.3674576411504</v>
      </c>
      <c r="E142" s="463">
        <f t="shared" ref="E142:AB142" si="29">E138+E139-E140</f>
        <v>6537.1611655373426</v>
      </c>
      <c r="F142" s="463">
        <f t="shared" si="29"/>
        <v>6968.0269744779853</v>
      </c>
      <c r="G142" s="463">
        <f>G138+G139-G140</f>
        <v>7173.7498391557856</v>
      </c>
      <c r="H142" s="463">
        <f t="shared" si="29"/>
        <v>6960.0997370029563</v>
      </c>
      <c r="I142" s="463">
        <f t="shared" si="29"/>
        <v>6906.9247352549191</v>
      </c>
      <c r="J142" s="463">
        <f t="shared" si="29"/>
        <v>6844.4276581689546</v>
      </c>
      <c r="K142" s="463">
        <f t="shared" si="29"/>
        <v>6772.7370065867881</v>
      </c>
      <c r="L142" s="463">
        <f t="shared" si="29"/>
        <v>6692.0152272724154</v>
      </c>
      <c r="M142" s="463">
        <f t="shared" si="29"/>
        <v>6602.4581725932003</v>
      </c>
      <c r="N142" s="463">
        <f t="shared" si="29"/>
        <v>6504.2943647154825</v>
      </c>
      <c r="O142" s="463">
        <f t="shared" si="29"/>
        <v>6397.7840676972191</v>
      </c>
      <c r="P142" s="463">
        <f t="shared" si="29"/>
        <v>6283.2181723867034</v>
      </c>
      <c r="Q142" s="463">
        <f t="shared" si="29"/>
        <v>6160.9169005333524</v>
      </c>
      <c r="R142" s="463">
        <f t="shared" si="29"/>
        <v>6031.2283359693411</v>
      </c>
      <c r="S142" s="463">
        <f>S138+S139-S140</f>
        <v>5894.5267921146051</v>
      </c>
      <c r="T142" s="463">
        <f t="shared" si="29"/>
        <v>5751.2110263784671</v>
      </c>
      <c r="U142" s="463">
        <f t="shared" si="29"/>
        <v>5601.7023132651575</v>
      </c>
      <c r="V142" s="463">
        <f t="shared" si="29"/>
        <v>5446.4423891254683</v>
      </c>
      <c r="W142" s="463">
        <f t="shared" si="29"/>
        <v>5291.1824649857808</v>
      </c>
      <c r="X142" s="463">
        <f t="shared" si="29"/>
        <v>5135.9225408460916</v>
      </c>
      <c r="Y142" s="463">
        <f t="shared" si="29"/>
        <v>4980.6626167064023</v>
      </c>
      <c r="Z142" s="463">
        <f t="shared" si="29"/>
        <v>4825.4026925667131</v>
      </c>
      <c r="AA142" s="463">
        <f t="shared" si="29"/>
        <v>4670.1427684270257</v>
      </c>
      <c r="AB142" s="464">
        <f t="shared" si="29"/>
        <v>4514.8828442873328</v>
      </c>
    </row>
    <row r="143" spans="1:28" ht="23.25" customHeight="1">
      <c r="B143" s="701" t="s">
        <v>570</v>
      </c>
      <c r="C143" s="498">
        <f>C142-(Inputs!B30+Inputs!B29-Inputs!B43)</f>
        <v>-1157.0128782896436</v>
      </c>
      <c r="D143" s="494">
        <f>D142-C142</f>
        <v>395.38033593079399</v>
      </c>
      <c r="E143" s="494">
        <f t="shared" ref="E143:AB143" si="30">E142-D142</f>
        <v>412.79370789619225</v>
      </c>
      <c r="F143" s="494">
        <f>F142-E142</f>
        <v>430.86580894064264</v>
      </c>
      <c r="G143" s="494">
        <f t="shared" si="30"/>
        <v>205.72286467780032</v>
      </c>
      <c r="H143" s="494">
        <f t="shared" si="30"/>
        <v>-213.65010215282928</v>
      </c>
      <c r="I143" s="494">
        <f t="shared" si="30"/>
        <v>-53.175001748037175</v>
      </c>
      <c r="J143" s="494">
        <f t="shared" si="30"/>
        <v>-62.49707708596452</v>
      </c>
      <c r="K143" s="494">
        <f t="shared" si="30"/>
        <v>-71.690651582166538</v>
      </c>
      <c r="L143" s="494">
        <f t="shared" si="30"/>
        <v>-80.721779314372725</v>
      </c>
      <c r="M143" s="494">
        <f t="shared" si="30"/>
        <v>-89.557054679215071</v>
      </c>
      <c r="N143" s="494">
        <f t="shared" si="30"/>
        <v>-98.163807877717772</v>
      </c>
      <c r="O143" s="494">
        <f t="shared" si="30"/>
        <v>-106.51029701826337</v>
      </c>
      <c r="P143" s="494">
        <f t="shared" si="30"/>
        <v>-114.56589531051577</v>
      </c>
      <c r="Q143" s="494">
        <f t="shared" si="30"/>
        <v>-122.30127185335095</v>
      </c>
      <c r="R143" s="494">
        <f t="shared" si="30"/>
        <v>-129.68856456401136</v>
      </c>
      <c r="S143" s="494">
        <f>S142-R142</f>
        <v>-136.70154385473597</v>
      </c>
      <c r="T143" s="494">
        <f t="shared" si="30"/>
        <v>-143.31576573613802</v>
      </c>
      <c r="U143" s="494">
        <f t="shared" si="30"/>
        <v>-149.50871311330957</v>
      </c>
      <c r="V143" s="494">
        <f t="shared" si="30"/>
        <v>-155.25992413968925</v>
      </c>
      <c r="W143" s="494">
        <f t="shared" si="30"/>
        <v>-155.25992413968743</v>
      </c>
      <c r="X143" s="494">
        <f t="shared" si="30"/>
        <v>-155.25992413968925</v>
      </c>
      <c r="Y143" s="494">
        <f t="shared" si="30"/>
        <v>-155.25992413968925</v>
      </c>
      <c r="Z143" s="494">
        <f t="shared" si="30"/>
        <v>-155.25992413968925</v>
      </c>
      <c r="AA143" s="494">
        <f t="shared" si="30"/>
        <v>-155.25992413968743</v>
      </c>
      <c r="AB143" s="495">
        <f t="shared" si="30"/>
        <v>-155.25992413969288</v>
      </c>
    </row>
    <row r="145" spans="2:14" ht="13.15" customHeight="1">
      <c r="B145" s="1538" t="s">
        <v>571</v>
      </c>
      <c r="C145" s="1539"/>
      <c r="D145" s="1539"/>
      <c r="E145" s="1540"/>
    </row>
    <row r="147" spans="2:14">
      <c r="C147" s="683">
        <v>2022</v>
      </c>
      <c r="D147" s="684">
        <v>2021</v>
      </c>
      <c r="E147" s="684">
        <v>2020</v>
      </c>
      <c r="F147" s="684">
        <v>2019</v>
      </c>
      <c r="G147" s="684">
        <v>2018</v>
      </c>
      <c r="H147" s="684">
        <v>2017</v>
      </c>
      <c r="I147" s="684">
        <v>2016</v>
      </c>
      <c r="J147" s="684">
        <v>2015</v>
      </c>
      <c r="K147" s="684">
        <v>2014</v>
      </c>
      <c r="L147" s="684">
        <v>2013</v>
      </c>
      <c r="M147" s="684">
        <v>2012</v>
      </c>
      <c r="N147" s="685">
        <v>2011</v>
      </c>
    </row>
    <row r="148" spans="2:14">
      <c r="B148" s="605" t="s">
        <v>288</v>
      </c>
      <c r="C148" s="604">
        <f>Inputs!B30</f>
        <v>6504</v>
      </c>
      <c r="D148" s="434">
        <f>Inputs!C30</f>
        <v>6044</v>
      </c>
      <c r="E148" s="434">
        <f>Inputs!D30</f>
        <v>5964</v>
      </c>
      <c r="F148" s="434">
        <f>Inputs!E30</f>
        <v>6500</v>
      </c>
      <c r="G148" s="434">
        <f>Inputs!F30</f>
        <v>6572</v>
      </c>
      <c r="H148" s="434">
        <f>Inputs!G30</f>
        <v>5959</v>
      </c>
      <c r="I148" s="434">
        <f>Inputs!H30</f>
        <v>5912</v>
      </c>
      <c r="J148" s="434">
        <f>Inputs!I30</f>
        <v>5822</v>
      </c>
      <c r="K148" s="434">
        <f>Inputs!J30</f>
        <v>5638</v>
      </c>
      <c r="L148" s="434">
        <f>Inputs!K30</f>
        <v>5144</v>
      </c>
      <c r="M148" s="434">
        <f>Inputs!L30</f>
        <v>4155</v>
      </c>
      <c r="N148" s="435">
        <f>Inputs!M30</f>
        <v>3482</v>
      </c>
    </row>
    <row r="149" spans="2:14">
      <c r="B149" s="606" t="s">
        <v>572</v>
      </c>
      <c r="C149" s="437">
        <f>Inputs!B29</f>
        <v>711</v>
      </c>
      <c r="D149" s="432">
        <f>Inputs!C29</f>
        <v>784</v>
      </c>
      <c r="E149" s="432">
        <f>Inputs!D29</f>
        <v>838</v>
      </c>
      <c r="F149" s="432">
        <f>Inputs!E29</f>
        <v>884</v>
      </c>
      <c r="G149" s="432">
        <f>Inputs!F29</f>
        <v>935</v>
      </c>
      <c r="H149" s="432">
        <f>Inputs!G29</f>
        <v>1136</v>
      </c>
      <c r="I149" s="432">
        <f>Inputs!H29</f>
        <v>932</v>
      </c>
      <c r="J149" s="432">
        <f>Inputs!I29</f>
        <v>1030</v>
      </c>
      <c r="K149" s="432">
        <f>Inputs!J29</f>
        <v>1139</v>
      </c>
      <c r="L149" s="432">
        <f>Inputs!K29</f>
        <v>1203</v>
      </c>
      <c r="M149" s="432">
        <f>Inputs!L29</f>
        <v>1096</v>
      </c>
      <c r="N149" s="438">
        <f>Inputs!M29</f>
        <v>1042</v>
      </c>
    </row>
    <row r="150" spans="2:14">
      <c r="B150" s="605" t="s">
        <v>573</v>
      </c>
      <c r="C150" s="439">
        <f>Inputs!B43</f>
        <v>329</v>
      </c>
      <c r="D150" s="440">
        <f>Inputs!C43</f>
        <v>341</v>
      </c>
      <c r="E150" s="440">
        <f>Inputs!D43</f>
        <v>309</v>
      </c>
      <c r="F150" s="440">
        <f>Inputs!E43</f>
        <v>351</v>
      </c>
      <c r="G150" s="440">
        <f>Inputs!F43</f>
        <v>431</v>
      </c>
      <c r="H150" s="440">
        <f>Inputs!G43</f>
        <v>409</v>
      </c>
      <c r="I150" s="440">
        <f>Inputs!H43</f>
        <v>403</v>
      </c>
      <c r="J150" s="440">
        <f>Inputs!I43</f>
        <v>451</v>
      </c>
      <c r="K150" s="440">
        <f>Inputs!J43</f>
        <v>466</v>
      </c>
      <c r="L150" s="440">
        <f>Inputs!K43</f>
        <v>495</v>
      </c>
      <c r="M150" s="440">
        <f>Inputs!L43</f>
        <v>408</v>
      </c>
      <c r="N150" s="441">
        <f>Inputs!M43</f>
        <v>400</v>
      </c>
    </row>
    <row r="152" spans="2:14">
      <c r="B152" s="586" t="s">
        <v>569</v>
      </c>
      <c r="C152" s="609">
        <f>C148+C149-C150</f>
        <v>6886</v>
      </c>
      <c r="D152" s="466">
        <f t="shared" ref="D152:N152" si="31">D148+D149-D150</f>
        <v>6487</v>
      </c>
      <c r="E152" s="466">
        <f t="shared" si="31"/>
        <v>6493</v>
      </c>
      <c r="F152" s="466">
        <f t="shared" si="31"/>
        <v>7033</v>
      </c>
      <c r="G152" s="466">
        <f>G148+G149-G150</f>
        <v>7076</v>
      </c>
      <c r="H152" s="466">
        <f t="shared" si="31"/>
        <v>6686</v>
      </c>
      <c r="I152" s="466">
        <f t="shared" si="31"/>
        <v>6441</v>
      </c>
      <c r="J152" s="466">
        <f t="shared" si="31"/>
        <v>6401</v>
      </c>
      <c r="K152" s="466">
        <f t="shared" si="31"/>
        <v>6311</v>
      </c>
      <c r="L152" s="466">
        <f t="shared" si="31"/>
        <v>5852</v>
      </c>
      <c r="M152" s="466">
        <f t="shared" si="31"/>
        <v>4843</v>
      </c>
      <c r="N152" s="467">
        <f t="shared" si="31"/>
        <v>4124</v>
      </c>
    </row>
    <row r="153" spans="2:14">
      <c r="B153" s="608" t="s">
        <v>574</v>
      </c>
      <c r="C153" s="462">
        <f>C152-D152</f>
        <v>399</v>
      </c>
      <c r="D153" s="463">
        <f>D152-E152</f>
        <v>-6</v>
      </c>
      <c r="E153" s="463">
        <f t="shared" ref="E153:M153" si="32">E152-F152</f>
        <v>-540</v>
      </c>
      <c r="F153" s="463">
        <f t="shared" si="32"/>
        <v>-43</v>
      </c>
      <c r="G153" s="463">
        <f t="shared" si="32"/>
        <v>390</v>
      </c>
      <c r="H153" s="463">
        <f t="shared" si="32"/>
        <v>245</v>
      </c>
      <c r="I153" s="463">
        <f t="shared" si="32"/>
        <v>40</v>
      </c>
      <c r="J153" s="463">
        <f t="shared" si="32"/>
        <v>90</v>
      </c>
      <c r="K153" s="463">
        <f t="shared" si="32"/>
        <v>459</v>
      </c>
      <c r="L153" s="463">
        <f t="shared" si="32"/>
        <v>1009</v>
      </c>
      <c r="M153" s="463">
        <f t="shared" si="32"/>
        <v>719</v>
      </c>
      <c r="N153" s="464" t="s">
        <v>69</v>
      </c>
    </row>
    <row r="155" spans="2:14">
      <c r="B155" s="635"/>
      <c r="C155" s="468"/>
    </row>
    <row r="156" spans="2:14">
      <c r="B156" s="635"/>
      <c r="C156" s="683">
        <v>2022</v>
      </c>
      <c r="D156" s="684">
        <v>2021</v>
      </c>
      <c r="E156" s="684">
        <v>2020</v>
      </c>
      <c r="F156" s="684">
        <v>2019</v>
      </c>
      <c r="G156" s="684">
        <v>2018</v>
      </c>
      <c r="H156" s="684">
        <v>2017</v>
      </c>
      <c r="I156" s="684">
        <v>2016</v>
      </c>
      <c r="J156" s="684">
        <v>2015</v>
      </c>
      <c r="K156" s="684">
        <v>2014</v>
      </c>
      <c r="L156" s="684">
        <v>2013</v>
      </c>
      <c r="M156" s="684">
        <v>2012</v>
      </c>
      <c r="N156" s="685">
        <v>2011</v>
      </c>
    </row>
    <row r="157" spans="2:14">
      <c r="B157" s="586" t="s">
        <v>575</v>
      </c>
      <c r="C157" s="456">
        <f>C153/(C4-D4)</f>
        <v>2.1451612903225805</v>
      </c>
      <c r="D157" s="453">
        <f t="shared" ref="C157:M157" si="33">D153/(D4-E4)</f>
        <v>-3.4924330616996507E-3</v>
      </c>
      <c r="E157" s="453">
        <f t="shared" si="33"/>
        <v>0.2039274924471299</v>
      </c>
      <c r="F157" s="453">
        <f t="shared" si="33"/>
        <v>0.18534482758620691</v>
      </c>
      <c r="G157" s="453">
        <f t="shared" si="33"/>
        <v>0.80246913580246915</v>
      </c>
      <c r="H157" s="453">
        <f t="shared" si="33"/>
        <v>0.56192660550458717</v>
      </c>
      <c r="I157" s="453">
        <f t="shared" si="33"/>
        <v>-4.4543429844097995E-2</v>
      </c>
      <c r="J157" s="453">
        <f t="shared" si="33"/>
        <v>-0.34883720930232559</v>
      </c>
      <c r="K157" s="453">
        <f t="shared" si="33"/>
        <v>1.8142292490118577</v>
      </c>
      <c r="L157" s="453">
        <f t="shared" si="33"/>
        <v>1.5287878787878788</v>
      </c>
      <c r="M157" s="453">
        <f t="shared" si="33"/>
        <v>0.76165254237288138</v>
      </c>
      <c r="N157" s="454" t="s">
        <v>69</v>
      </c>
    </row>
    <row r="159" spans="2:14">
      <c r="B159" s="639" t="s">
        <v>513</v>
      </c>
      <c r="C159" s="458">
        <f>AVERAGE(C157:N157)</f>
        <v>0.69151144996613345</v>
      </c>
      <c r="E159" s="732" t="s">
        <v>534</v>
      </c>
      <c r="F159" s="458">
        <v>0.7</v>
      </c>
    </row>
    <row r="160" spans="2:14">
      <c r="B160" s="640" t="s">
        <v>514</v>
      </c>
      <c r="C160" s="585">
        <f>AVERAGE(C157:G157)</f>
        <v>0.66668206261933738</v>
      </c>
      <c r="E160" s="733" t="s">
        <v>536</v>
      </c>
      <c r="F160" s="459">
        <v>0.6</v>
      </c>
    </row>
    <row r="161" spans="2:28">
      <c r="B161" s="641" t="s">
        <v>562</v>
      </c>
      <c r="C161" s="459">
        <f>AVERAGE(C157:E157)</f>
        <v>0.78186544990267037</v>
      </c>
    </row>
    <row r="163" spans="2:28">
      <c r="C163" s="676">
        <v>2023</v>
      </c>
      <c r="D163" s="677">
        <v>2024</v>
      </c>
      <c r="E163" s="677">
        <v>2025</v>
      </c>
      <c r="F163" s="677">
        <v>2026</v>
      </c>
      <c r="G163" s="677">
        <v>2027</v>
      </c>
      <c r="H163" s="677">
        <v>2028</v>
      </c>
      <c r="I163" s="677">
        <v>2029</v>
      </c>
      <c r="J163" s="677">
        <v>2030</v>
      </c>
      <c r="K163" s="677">
        <v>2031</v>
      </c>
      <c r="L163" s="677">
        <v>2032</v>
      </c>
      <c r="M163" s="677">
        <v>2033</v>
      </c>
      <c r="N163" s="677">
        <v>2034</v>
      </c>
      <c r="O163" s="677">
        <v>2035</v>
      </c>
      <c r="P163" s="677">
        <v>2036</v>
      </c>
      <c r="Q163" s="677">
        <v>2037</v>
      </c>
      <c r="R163" s="677">
        <v>2038</v>
      </c>
      <c r="S163" s="677">
        <v>2039</v>
      </c>
      <c r="T163" s="677">
        <v>2040</v>
      </c>
      <c r="U163" s="677">
        <v>2041</v>
      </c>
      <c r="V163" s="677">
        <v>2042</v>
      </c>
      <c r="W163" s="677">
        <v>2043</v>
      </c>
      <c r="X163" s="677">
        <v>2044</v>
      </c>
      <c r="Y163" s="677">
        <v>2045</v>
      </c>
      <c r="Z163" s="677">
        <v>2046</v>
      </c>
      <c r="AA163" s="677">
        <v>2047</v>
      </c>
      <c r="AB163" s="678">
        <v>2048</v>
      </c>
    </row>
    <row r="164" spans="2:28">
      <c r="B164" s="698" t="s">
        <v>576</v>
      </c>
      <c r="C164" s="462">
        <f>F159*(C38-C4)</f>
        <v>131.23249999999962</v>
      </c>
      <c r="D164" s="463">
        <f t="shared" ref="D164:AB164" si="34">$F$159*(D38-C38)</f>
        <v>147.96464375000059</v>
      </c>
      <c r="E164" s="463">
        <f t="shared" si="34"/>
        <v>152.03367145312521</v>
      </c>
      <c r="F164" s="463">
        <f t="shared" si="34"/>
        <v>156.21459741808675</v>
      </c>
      <c r="G164" s="463">
        <f t="shared" si="34"/>
        <v>87.551181189318044</v>
      </c>
      <c r="H164" s="463">
        <f t="shared" si="34"/>
        <v>82.940152313347056</v>
      </c>
      <c r="I164" s="463">
        <f t="shared" si="34"/>
        <v>78.094077699609798</v>
      </c>
      <c r="J164" s="463">
        <f t="shared" si="34"/>
        <v>73.023969885881513</v>
      </c>
      <c r="K164" s="463">
        <f t="shared" si="34"/>
        <v>67.741902730802394</v>
      </c>
      <c r="L164" s="463">
        <f t="shared" si="34"/>
        <v>62.260966964402357</v>
      </c>
      <c r="M164" s="463">
        <f t="shared" si="34"/>
        <v>56.59521897064041</v>
      </c>
      <c r="N164" s="463">
        <f t="shared" si="34"/>
        <v>50.759623059001747</v>
      </c>
      <c r="O164" s="463">
        <f t="shared" si="34"/>
        <v>44.769987538038912</v>
      </c>
      <c r="P164" s="463">
        <f t="shared" si="34"/>
        <v>38.64289495783396</v>
      </c>
      <c r="Q164" s="463">
        <f t="shared" si="34"/>
        <v>32.395626939649262</v>
      </c>
      <c r="R164" s="463">
        <f t="shared" si="34"/>
        <v>26.046084059478378</v>
      </c>
      <c r="S164" s="463">
        <f t="shared" si="34"/>
        <v>19.612701296786327</v>
      </c>
      <c r="T164" s="463">
        <f t="shared" si="34"/>
        <v>13.114359600452371</v>
      </c>
      <c r="U164" s="463">
        <f t="shared" si="34"/>
        <v>6.5702941598263349</v>
      </c>
      <c r="V164" s="463">
        <f t="shared" si="34"/>
        <v>0</v>
      </c>
      <c r="W164" s="463">
        <f t="shared" si="34"/>
        <v>0</v>
      </c>
      <c r="X164" s="463">
        <f t="shared" si="34"/>
        <v>0</v>
      </c>
      <c r="Y164" s="463">
        <f t="shared" si="34"/>
        <v>0</v>
      </c>
      <c r="Z164" s="463">
        <f t="shared" si="34"/>
        <v>0</v>
      </c>
      <c r="AA164" s="463">
        <f t="shared" si="34"/>
        <v>0</v>
      </c>
      <c r="AB164" s="464">
        <f t="shared" si="34"/>
        <v>0</v>
      </c>
    </row>
    <row r="165" spans="2:28">
      <c r="B165" s="580"/>
      <c r="C165" s="468"/>
      <c r="D165" s="468"/>
      <c r="E165" s="468"/>
      <c r="F165" s="468"/>
      <c r="G165" s="468"/>
      <c r="H165" s="468"/>
      <c r="I165" s="468"/>
      <c r="J165" s="468"/>
      <c r="K165" s="468"/>
      <c r="L165" s="468"/>
      <c r="M165" s="468"/>
      <c r="N165" s="468"/>
      <c r="O165" s="468"/>
      <c r="P165" s="468"/>
      <c r="Q165" s="468"/>
      <c r="R165" s="468"/>
      <c r="S165" s="468"/>
      <c r="T165" s="468"/>
      <c r="U165" s="468"/>
      <c r="V165" s="468"/>
      <c r="W165" s="468"/>
      <c r="X165" s="468"/>
      <c r="Y165" s="468"/>
      <c r="Z165" s="468"/>
      <c r="AA165" s="468"/>
      <c r="AB165" s="468"/>
    </row>
    <row r="166" spans="2:28">
      <c r="C166" s="460"/>
      <c r="D166" s="460"/>
      <c r="E166" s="460"/>
      <c r="F166" s="460"/>
      <c r="G166" s="460"/>
      <c r="H166" s="460"/>
      <c r="I166" s="460"/>
      <c r="J166" s="461"/>
      <c r="K166" s="461"/>
      <c r="L166" s="461"/>
      <c r="M166" s="461"/>
      <c r="N166" s="460"/>
      <c r="O166" s="460"/>
      <c r="P166" s="460"/>
      <c r="Q166" s="460"/>
    </row>
    <row r="167" spans="2:28">
      <c r="B167" s="702" t="s">
        <v>486</v>
      </c>
    </row>
    <row r="169" spans="2:28">
      <c r="C169" s="683">
        <v>2022</v>
      </c>
      <c r="D169" s="684">
        <v>2021</v>
      </c>
      <c r="E169" s="684">
        <v>2020</v>
      </c>
      <c r="F169" s="684">
        <v>2019</v>
      </c>
      <c r="G169" s="684">
        <v>2018</v>
      </c>
      <c r="H169" s="684">
        <v>2017</v>
      </c>
      <c r="I169" s="684">
        <v>2016</v>
      </c>
      <c r="J169" s="684">
        <v>2015</v>
      </c>
      <c r="K169" s="684">
        <v>2014</v>
      </c>
      <c r="L169" s="684">
        <v>2013</v>
      </c>
      <c r="M169" s="684">
        <v>2012</v>
      </c>
      <c r="N169" s="685">
        <v>2011</v>
      </c>
    </row>
    <row r="170" spans="2:28">
      <c r="B170" s="455" t="s">
        <v>577</v>
      </c>
      <c r="C170" s="456">
        <f t="shared" ref="C170:N170" si="35">C15/C4</f>
        <v>4.5206027470329375E-2</v>
      </c>
      <c r="D170" s="453">
        <f t="shared" si="35"/>
        <v>3.4322439491316831E-2</v>
      </c>
      <c r="E170" s="453">
        <f t="shared" si="35"/>
        <v>3.7176050044682753E-2</v>
      </c>
      <c r="F170" s="453">
        <f t="shared" si="35"/>
        <v>4.8404707024141694E-2</v>
      </c>
      <c r="G170" s="453">
        <f t="shared" si="35"/>
        <v>5.1563421828908558E-2</v>
      </c>
      <c r="H170" s="453">
        <f t="shared" si="35"/>
        <v>4.9568156214795343E-2</v>
      </c>
      <c r="I170" s="453">
        <f t="shared" si="35"/>
        <v>6.672845227062095E-2</v>
      </c>
      <c r="J170" s="453">
        <f t="shared" si="35"/>
        <v>7.12341734705952E-2</v>
      </c>
      <c r="K170" s="453">
        <f t="shared" si="35"/>
        <v>0.11941669537260305</v>
      </c>
      <c r="L170" s="453">
        <f t="shared" si="35"/>
        <v>6.7880794701986755E-2</v>
      </c>
      <c r="M170" s="453">
        <f t="shared" si="35"/>
        <v>5.6182657773217036E-2</v>
      </c>
      <c r="N170" s="454">
        <f t="shared" si="35"/>
        <v>5.3269118505545825E-2</v>
      </c>
    </row>
    <row r="171" spans="2:28">
      <c r="B171" s="542"/>
      <c r="C171" s="4"/>
      <c r="D171" s="4"/>
      <c r="E171" s="4"/>
      <c r="F171" s="4"/>
      <c r="G171" s="4"/>
      <c r="H171" s="4"/>
      <c r="I171" s="4"/>
      <c r="J171" s="4"/>
      <c r="K171" s="4"/>
      <c r="L171" s="4"/>
      <c r="M171" s="4"/>
      <c r="N171" s="4"/>
    </row>
    <row r="172" spans="2:28">
      <c r="B172" s="644" t="s">
        <v>513</v>
      </c>
      <c r="C172" s="457">
        <f>AVERAGE(C170:N170)</f>
        <v>5.8412724514061938E-2</v>
      </c>
      <c r="D172" s="4"/>
      <c r="E172" s="732" t="s">
        <v>578</v>
      </c>
      <c r="F172" s="458">
        <v>0.05</v>
      </c>
      <c r="G172" s="1533" t="s">
        <v>535</v>
      </c>
      <c r="H172" s="291"/>
      <c r="I172" s="4"/>
      <c r="J172" s="4"/>
      <c r="K172" s="4"/>
      <c r="L172" s="4"/>
      <c r="M172" s="4"/>
      <c r="N172" s="4"/>
      <c r="O172" s="4"/>
      <c r="P172" s="4"/>
      <c r="Q172" s="4"/>
      <c r="R172" s="4"/>
      <c r="S172" s="4"/>
      <c r="T172" s="4"/>
      <c r="U172" s="4"/>
    </row>
    <row r="173" spans="2:28" s="281" customFormat="1" ht="25.5">
      <c r="B173" s="1174" t="s">
        <v>514</v>
      </c>
      <c r="C173" s="1175">
        <f>AVERAGE(C170:G170)</f>
        <v>4.3334529171875837E-2</v>
      </c>
      <c r="E173" s="1176" t="s">
        <v>579</v>
      </c>
      <c r="F173" s="1177">
        <v>0.05</v>
      </c>
      <c r="G173" s="1533"/>
      <c r="H173" s="1200">
        <v>5.5E-2</v>
      </c>
      <c r="I173" s="1200">
        <v>0.06</v>
      </c>
      <c r="J173" s="1200">
        <v>6.5000000000000002E-2</v>
      </c>
      <c r="K173" s="1200">
        <v>7.0000000000000007E-2</v>
      </c>
      <c r="L173" s="1200">
        <v>7.4999999999999997E-2</v>
      </c>
      <c r="M173" s="1200">
        <v>7.0000000000000007E-2</v>
      </c>
      <c r="N173" s="1200">
        <v>6.5000000000000002E-2</v>
      </c>
      <c r="O173" s="1200">
        <v>0.06</v>
      </c>
      <c r="P173" s="1200">
        <v>5.5E-2</v>
      </c>
      <c r="Q173" s="1200">
        <v>0.05</v>
      </c>
      <c r="R173" s="1200">
        <v>0.05</v>
      </c>
      <c r="S173" s="1200">
        <v>0.05</v>
      </c>
      <c r="T173" s="1200">
        <v>0.05</v>
      </c>
      <c r="U173" s="1200">
        <v>0.05</v>
      </c>
      <c r="V173" s="1200">
        <v>0.05</v>
      </c>
      <c r="W173" s="1200">
        <v>0.05</v>
      </c>
      <c r="X173" s="1200">
        <v>0.05</v>
      </c>
      <c r="Y173" s="1200">
        <v>0.05</v>
      </c>
      <c r="Z173" s="1200">
        <v>0.05</v>
      </c>
      <c r="AA173" s="1200">
        <v>0.05</v>
      </c>
      <c r="AB173" s="1200">
        <v>0.05</v>
      </c>
    </row>
    <row r="174" spans="2:28">
      <c r="C174" s="4"/>
      <c r="E174" s="1201" t="s">
        <v>580</v>
      </c>
      <c r="G174" s="281"/>
      <c r="I174" s="4"/>
    </row>
    <row r="176" spans="2:28">
      <c r="C176" s="676">
        <v>2023</v>
      </c>
      <c r="D176" s="677">
        <v>2024</v>
      </c>
      <c r="E176" s="677">
        <v>2025</v>
      </c>
      <c r="F176" s="677">
        <v>2026</v>
      </c>
      <c r="G176" s="677">
        <v>2027</v>
      </c>
      <c r="H176" s="677">
        <v>2028</v>
      </c>
      <c r="I176" s="677">
        <v>2029</v>
      </c>
      <c r="J176" s="677">
        <v>2030</v>
      </c>
      <c r="K176" s="677">
        <v>2031</v>
      </c>
      <c r="L176" s="677">
        <v>2032</v>
      </c>
      <c r="M176" s="677">
        <v>2033</v>
      </c>
      <c r="N176" s="677">
        <v>2034</v>
      </c>
      <c r="O176" s="677">
        <v>2035</v>
      </c>
      <c r="P176" s="677">
        <v>2036</v>
      </c>
      <c r="Q176" s="677">
        <v>2037</v>
      </c>
      <c r="R176" s="677">
        <v>2038</v>
      </c>
      <c r="S176" s="677">
        <v>2039</v>
      </c>
      <c r="T176" s="677">
        <v>2040</v>
      </c>
      <c r="U176" s="677">
        <v>2041</v>
      </c>
      <c r="V176" s="677">
        <v>2042</v>
      </c>
      <c r="W176" s="677">
        <v>2043</v>
      </c>
      <c r="X176" s="677">
        <v>2044</v>
      </c>
      <c r="Y176" s="677">
        <v>2045</v>
      </c>
      <c r="Z176" s="677">
        <v>2046</v>
      </c>
      <c r="AA176" s="677">
        <v>2047</v>
      </c>
      <c r="AB176" s="678">
        <v>2048</v>
      </c>
    </row>
    <row r="177" spans="2:28">
      <c r="B177" s="689" t="s">
        <v>581</v>
      </c>
      <c r="C177" s="462">
        <f>C38*$F$172</f>
        <v>384.32375000000002</v>
      </c>
      <c r="D177" s="463">
        <f>D38*$F$172</f>
        <v>394.89265312500004</v>
      </c>
      <c r="E177" s="463">
        <f>E38*$F$172</f>
        <v>405.75220108593754</v>
      </c>
      <c r="F177" s="463">
        <f>F38*$F$172</f>
        <v>416.91038661580092</v>
      </c>
      <c r="G177" s="463">
        <f>G38*$F$172</f>
        <v>423.1640424150379</v>
      </c>
      <c r="H177" s="463">
        <f t="shared" ref="H177:R177" si="36">H38*H173</f>
        <v>471.99717290973319</v>
      </c>
      <c r="I177" s="463">
        <f t="shared" si="36"/>
        <v>521.59978489915602</v>
      </c>
      <c r="J177" s="463">
        <f t="shared" si="36"/>
        <v>571.84723084444136</v>
      </c>
      <c r="K177" s="463">
        <f t="shared" si="36"/>
        <v>622.60966964401712</v>
      </c>
      <c r="L177" s="696">
        <f t="shared" si="36"/>
        <v>673.75260679334713</v>
      </c>
      <c r="M177" s="463">
        <f t="shared" si="36"/>
        <v>634.49528823752144</v>
      </c>
      <c r="N177" s="463">
        <f t="shared" si="36"/>
        <v>593.88758979032002</v>
      </c>
      <c r="O177" s="463">
        <f t="shared" si="36"/>
        <v>552.04135654047889</v>
      </c>
      <c r="P177" s="463">
        <f t="shared" si="36"/>
        <v>509.0741376230784</v>
      </c>
      <c r="Q177" s="463">
        <f t="shared" si="36"/>
        <v>465.10864391926702</v>
      </c>
      <c r="R177" s="463">
        <f t="shared" si="36"/>
        <v>466.96907849494403</v>
      </c>
      <c r="S177" s="463">
        <f>S38*$F$173</f>
        <v>468.36998573042877</v>
      </c>
      <c r="T177" s="463">
        <f t="shared" ref="T177:AB177" si="37">T38*$F$173</f>
        <v>469.30672570188966</v>
      </c>
      <c r="U177" s="463">
        <f t="shared" si="37"/>
        <v>469.77603242759153</v>
      </c>
      <c r="V177" s="463">
        <f t="shared" si="37"/>
        <v>469.77603242759153</v>
      </c>
      <c r="W177" s="463">
        <f t="shared" si="37"/>
        <v>469.77603242759153</v>
      </c>
      <c r="X177" s="463">
        <f t="shared" si="37"/>
        <v>469.77603242759153</v>
      </c>
      <c r="Y177" s="463">
        <f t="shared" si="37"/>
        <v>469.77603242759153</v>
      </c>
      <c r="Z177" s="463">
        <f t="shared" si="37"/>
        <v>469.77603242759153</v>
      </c>
      <c r="AA177" s="463">
        <f t="shared" si="37"/>
        <v>469.77603242759153</v>
      </c>
      <c r="AB177" s="463">
        <f t="shared" si="37"/>
        <v>469.77603242759153</v>
      </c>
    </row>
    <row r="178" spans="2:28">
      <c r="C178" s="468"/>
      <c r="D178" s="468"/>
      <c r="E178" s="468"/>
      <c r="F178" s="468"/>
      <c r="G178" s="468"/>
      <c r="H178" s="468"/>
      <c r="I178" s="468"/>
      <c r="J178" s="468"/>
      <c r="K178" s="468"/>
      <c r="L178" s="468"/>
      <c r="M178" s="468"/>
      <c r="N178" s="468"/>
      <c r="O178" s="468"/>
      <c r="P178" s="468"/>
      <c r="Q178" s="468"/>
      <c r="R178" s="468"/>
      <c r="S178" s="468"/>
      <c r="T178" s="468"/>
      <c r="U178" s="468"/>
      <c r="V178" s="468"/>
      <c r="W178" s="468"/>
      <c r="X178" s="468"/>
      <c r="Y178" s="468"/>
      <c r="Z178" s="468"/>
      <c r="AA178" s="468"/>
      <c r="AB178" s="468"/>
    </row>
    <row r="179" spans="2:28">
      <c r="D179" s="468"/>
      <c r="E179" s="468"/>
      <c r="F179" s="468"/>
      <c r="G179" s="468"/>
      <c r="H179" s="468"/>
      <c r="I179" s="468"/>
      <c r="J179" s="468"/>
      <c r="K179" s="468"/>
      <c r="L179" s="468"/>
      <c r="M179" s="468"/>
      <c r="N179" s="468"/>
      <c r="O179" s="468"/>
      <c r="P179" s="468"/>
      <c r="Q179" s="468"/>
      <c r="R179" s="468"/>
      <c r="S179" s="468"/>
      <c r="T179" s="468"/>
      <c r="U179" s="468"/>
      <c r="V179" s="468"/>
      <c r="W179" s="468"/>
      <c r="X179" s="468"/>
      <c r="Y179" s="468"/>
      <c r="Z179" s="468"/>
      <c r="AA179" s="468"/>
      <c r="AB179" s="468"/>
    </row>
    <row r="180" spans="2:28">
      <c r="B180" s="702" t="s">
        <v>582</v>
      </c>
    </row>
    <row r="182" spans="2:28">
      <c r="B182" s="2" t="s">
        <v>221</v>
      </c>
      <c r="C182" s="1107">
        <v>2022</v>
      </c>
      <c r="D182" s="1108">
        <v>2021</v>
      </c>
      <c r="E182" s="1108">
        <v>2020</v>
      </c>
      <c r="F182" s="1108">
        <v>2019</v>
      </c>
      <c r="G182" s="1108">
        <v>2018</v>
      </c>
      <c r="H182" s="1108">
        <v>2017</v>
      </c>
      <c r="I182" s="1108">
        <v>2016</v>
      </c>
      <c r="J182" s="1108">
        <v>2015</v>
      </c>
      <c r="K182" s="1108">
        <v>2014</v>
      </c>
      <c r="L182" s="1108">
        <v>2013</v>
      </c>
      <c r="M182" s="1108">
        <v>2012</v>
      </c>
      <c r="N182" s="1109">
        <v>2011</v>
      </c>
    </row>
    <row r="183" spans="2:28">
      <c r="B183" s="450" t="s">
        <v>583</v>
      </c>
      <c r="C183" s="442">
        <f t="shared" ref="C183:N183" si="38">C16/C4</f>
        <v>0.22869715962128284</v>
      </c>
      <c r="D183" s="444">
        <f t="shared" si="38"/>
        <v>7.917407356761931E-2</v>
      </c>
      <c r="E183" s="444">
        <f t="shared" si="38"/>
        <v>3.1635388739946382E-2</v>
      </c>
      <c r="F183" s="444">
        <f t="shared" si="38"/>
        <v>1.4557806623802013E-2</v>
      </c>
      <c r="G183" s="444">
        <f t="shared" si="38"/>
        <v>4.0471976401179943E-2</v>
      </c>
      <c r="H183" s="444">
        <f t="shared" si="38"/>
        <v>2.2530980097634247E-2</v>
      </c>
      <c r="I183" s="444">
        <f t="shared" si="38"/>
        <v>1.7873692572487752E-2</v>
      </c>
      <c r="J183" s="444">
        <f t="shared" si="38"/>
        <v>4.6621701573778249E-2</v>
      </c>
      <c r="K183" s="444">
        <f t="shared" si="38"/>
        <v>4.0188310942702948E-2</v>
      </c>
      <c r="L183" s="444">
        <f t="shared" si="38"/>
        <v>4.008987701040681E-2</v>
      </c>
      <c r="M183" s="444">
        <f t="shared" si="38"/>
        <v>3.0528476141611083E-2</v>
      </c>
      <c r="N183" s="409">
        <f t="shared" si="38"/>
        <v>4.1009924109748977E-2</v>
      </c>
      <c r="O183" s="2" t="s">
        <v>520</v>
      </c>
    </row>
    <row r="184" spans="2:28">
      <c r="B184" s="520" t="s">
        <v>584</v>
      </c>
      <c r="C184" s="436">
        <f t="shared" ref="C184:N184" si="39">C16/C6</f>
        <v>1.4351464435146444</v>
      </c>
      <c r="D184" s="433">
        <f t="shared" si="39"/>
        <v>0.55726660250240612</v>
      </c>
      <c r="E184" s="433">
        <f t="shared" si="39"/>
        <v>2.95</v>
      </c>
      <c r="F184" s="433">
        <f t="shared" si="39"/>
        <v>0.11439466158245949</v>
      </c>
      <c r="G184" s="433">
        <f t="shared" si="39"/>
        <v>0.29241261722080136</v>
      </c>
      <c r="H184" s="433">
        <f t="shared" si="39"/>
        <v>0.18</v>
      </c>
      <c r="I184" s="433">
        <f t="shared" si="39"/>
        <v>0.16383495145631069</v>
      </c>
      <c r="J184" s="433">
        <f t="shared" si="39"/>
        <v>0.26603646185010127</v>
      </c>
      <c r="K184" s="433">
        <f t="shared" si="39"/>
        <v>0.19640852974186307</v>
      </c>
      <c r="L184" s="433">
        <f t="shared" si="39"/>
        <v>0.14726324934839269</v>
      </c>
      <c r="M184" s="433">
        <f t="shared" si="39"/>
        <v>0.12105798575788403</v>
      </c>
      <c r="N184" s="413">
        <f t="shared" si="39"/>
        <v>0.17334978408389884</v>
      </c>
      <c r="O184" s="2" t="s">
        <v>520</v>
      </c>
    </row>
    <row r="185" spans="2:28">
      <c r="B185" s="451" t="s">
        <v>585</v>
      </c>
      <c r="C185" s="443">
        <f t="shared" ref="C185:N185" si="40">C16/C15</f>
        <v>5.058997050147493</v>
      </c>
      <c r="D185" s="445">
        <f t="shared" si="40"/>
        <v>2.306772908366534</v>
      </c>
      <c r="E185" s="445">
        <f t="shared" si="40"/>
        <v>0.85096153846153844</v>
      </c>
      <c r="F185" s="445">
        <f t="shared" si="40"/>
        <v>0.3007518796992481</v>
      </c>
      <c r="G185" s="445">
        <f t="shared" si="40"/>
        <v>0.78489702517162474</v>
      </c>
      <c r="H185" s="445">
        <f t="shared" si="40"/>
        <v>0.45454545454545453</v>
      </c>
      <c r="I185" s="445">
        <f t="shared" si="40"/>
        <v>0.26785714285714285</v>
      </c>
      <c r="J185" s="445">
        <f t="shared" si="40"/>
        <v>0.654485049833887</v>
      </c>
      <c r="K185" s="445">
        <f t="shared" si="40"/>
        <v>0.33653846153846156</v>
      </c>
      <c r="L185" s="445">
        <f t="shared" si="40"/>
        <v>0.59059233449477355</v>
      </c>
      <c r="M185" s="445">
        <f t="shared" si="40"/>
        <v>0.54337899543378998</v>
      </c>
      <c r="N185" s="416">
        <f t="shared" si="40"/>
        <v>0.76986301369863008</v>
      </c>
      <c r="O185" s="2" t="s">
        <v>520</v>
      </c>
    </row>
    <row r="186" spans="2:28">
      <c r="C186" s="4"/>
      <c r="D186" s="4"/>
      <c r="E186" s="4"/>
      <c r="F186" s="4"/>
      <c r="G186" s="4"/>
      <c r="H186" s="4"/>
      <c r="I186" s="4"/>
      <c r="J186" s="4"/>
      <c r="K186" s="4"/>
      <c r="L186" s="4"/>
      <c r="M186" s="4"/>
      <c r="N186" s="4"/>
    </row>
    <row r="187" spans="2:28" ht="13.15" customHeight="1">
      <c r="B187" s="448" t="s">
        <v>533</v>
      </c>
      <c r="C187" s="446">
        <f>AVERAGE(C183:M183)</f>
        <v>5.3851767572041048E-2</v>
      </c>
      <c r="D187" s="4"/>
      <c r="E187" s="732" t="s">
        <v>534</v>
      </c>
      <c r="F187" s="458">
        <v>0.03</v>
      </c>
      <c r="G187" s="1537" t="s">
        <v>586</v>
      </c>
      <c r="H187" s="4"/>
      <c r="I187" s="4"/>
      <c r="J187" s="4"/>
      <c r="K187" s="4"/>
      <c r="L187" s="4"/>
      <c r="M187" s="4"/>
      <c r="N187" s="4"/>
    </row>
    <row r="188" spans="2:28" ht="13.15" customHeight="1">
      <c r="B188" s="449" t="s">
        <v>514</v>
      </c>
      <c r="C188" s="465">
        <f>AVERAGE(C183:G183)</f>
        <v>7.890728099076609E-2</v>
      </c>
      <c r="D188" s="4"/>
      <c r="E188" s="733" t="s">
        <v>536</v>
      </c>
      <c r="F188" s="459">
        <v>0.02</v>
      </c>
      <c r="G188" s="1537"/>
      <c r="H188" s="4"/>
      <c r="I188" s="4"/>
      <c r="J188" s="4"/>
      <c r="K188" s="4"/>
      <c r="L188" s="4"/>
      <c r="M188" s="4"/>
      <c r="N188" s="4"/>
    </row>
    <row r="189" spans="2:28">
      <c r="C189" s="542"/>
      <c r="D189" s="4"/>
      <c r="E189" s="4"/>
      <c r="F189" s="4"/>
      <c r="G189" s="4"/>
      <c r="H189" s="4"/>
      <c r="I189" s="4"/>
      <c r="J189" s="4"/>
      <c r="K189" s="4"/>
      <c r="L189" s="4"/>
      <c r="M189" s="4"/>
      <c r="N189" s="4"/>
    </row>
    <row r="190" spans="2:28">
      <c r="B190" s="511" t="s">
        <v>513</v>
      </c>
      <c r="C190" s="543">
        <f>AVERAGE(D16:K16,M16:N16)</f>
        <v>279.7</v>
      </c>
      <c r="D190" s="4"/>
      <c r="E190" s="4"/>
      <c r="F190" s="4"/>
      <c r="G190" s="4"/>
      <c r="H190" s="4"/>
      <c r="I190" s="4"/>
      <c r="J190" s="4"/>
      <c r="K190" s="4"/>
      <c r="L190" s="4"/>
      <c r="M190" s="4"/>
      <c r="N190" s="4"/>
    </row>
    <row r="191" spans="2:28">
      <c r="C191" s="4"/>
      <c r="D191" s="4"/>
      <c r="E191" s="4"/>
      <c r="F191" s="4"/>
      <c r="G191" s="4"/>
      <c r="H191" s="4"/>
      <c r="I191" s="4"/>
      <c r="J191" s="4"/>
      <c r="K191" s="4"/>
      <c r="L191" s="4"/>
      <c r="M191" s="4"/>
      <c r="N191" s="4"/>
    </row>
    <row r="193" spans="2:28">
      <c r="C193" s="676">
        <v>2023</v>
      </c>
      <c r="D193" s="677">
        <v>2024</v>
      </c>
      <c r="E193" s="677">
        <v>2025</v>
      </c>
      <c r="F193" s="677">
        <v>2026</v>
      </c>
      <c r="G193" s="677">
        <v>2027</v>
      </c>
      <c r="H193" s="677">
        <v>2028</v>
      </c>
      <c r="I193" s="677">
        <v>2029</v>
      </c>
      <c r="J193" s="677">
        <v>2030</v>
      </c>
      <c r="K193" s="677">
        <v>2031</v>
      </c>
      <c r="L193" s="677">
        <v>2032</v>
      </c>
      <c r="M193" s="677">
        <v>2033</v>
      </c>
      <c r="N193" s="677">
        <v>2034</v>
      </c>
      <c r="O193" s="677">
        <v>2035</v>
      </c>
      <c r="P193" s="677">
        <v>2036</v>
      </c>
      <c r="Q193" s="677">
        <v>2037</v>
      </c>
      <c r="R193" s="677">
        <v>2038</v>
      </c>
      <c r="S193" s="677">
        <v>2039</v>
      </c>
      <c r="T193" s="677">
        <v>2040</v>
      </c>
      <c r="U193" s="677">
        <v>2041</v>
      </c>
      <c r="V193" s="677">
        <v>2042</v>
      </c>
      <c r="W193" s="677">
        <v>2043</v>
      </c>
      <c r="X193" s="677">
        <v>2044</v>
      </c>
      <c r="Y193" s="677">
        <v>2045</v>
      </c>
      <c r="Z193" s="677">
        <v>2046</v>
      </c>
      <c r="AA193" s="677">
        <v>2047</v>
      </c>
      <c r="AB193" s="678">
        <v>2048</v>
      </c>
    </row>
    <row r="194" spans="2:28">
      <c r="B194" s="689" t="s">
        <v>496</v>
      </c>
      <c r="C194" s="462">
        <f>C190</f>
        <v>279.7</v>
      </c>
      <c r="D194" s="499">
        <f>C194*(1+$F$187)</f>
        <v>288.09100000000001</v>
      </c>
      <c r="E194" s="499">
        <f>D194*(1+$F$187)</f>
        <v>296.73373000000004</v>
      </c>
      <c r="F194" s="499">
        <f t="shared" ref="F194" si="41">E194*(1+$F$187)</f>
        <v>305.63574190000003</v>
      </c>
      <c r="G194" s="499">
        <f>F194*(1+$F$188)</f>
        <v>311.74845673800002</v>
      </c>
      <c r="H194" s="499">
        <f t="shared" ref="H194:AB194" si="42">G194*(1+$F$188)</f>
        <v>317.98342587275999</v>
      </c>
      <c r="I194" s="499">
        <f t="shared" si="42"/>
        <v>324.34309439021519</v>
      </c>
      <c r="J194" s="499">
        <f t="shared" ref="J194" si="43">I194*(1+$F$188)</f>
        <v>330.82995627801949</v>
      </c>
      <c r="K194" s="499">
        <f t="shared" ref="K194" si="44">J194*(1+$F$188)</f>
        <v>337.44655540357991</v>
      </c>
      <c r="L194" s="499">
        <f t="shared" ref="L194" si="45">K194*(1+$F$188)</f>
        <v>344.1954865116515</v>
      </c>
      <c r="M194" s="499">
        <f t="shared" ref="M194" si="46">L194*(1+$F$188)</f>
        <v>351.07939624188452</v>
      </c>
      <c r="N194" s="499">
        <f t="shared" ref="N194" si="47">M194*(1+$F$188)</f>
        <v>358.10098416672224</v>
      </c>
      <c r="O194" s="499">
        <f t="shared" ref="O194" si="48">N194*(1+$F$188)</f>
        <v>365.26300385005669</v>
      </c>
      <c r="P194" s="499">
        <f t="shared" ref="P194" si="49">O194*(1+$F$188)</f>
        <v>372.56826392705784</v>
      </c>
      <c r="Q194" s="499">
        <f t="shared" ref="Q194" si="50">P194*(1+$F$188)</f>
        <v>380.01962920559902</v>
      </c>
      <c r="R194" s="499">
        <f t="shared" ref="R194" si="51">Q194*(1+$F$188)</f>
        <v>387.62002178971102</v>
      </c>
      <c r="S194" s="499">
        <f t="shared" ref="S194" si="52">R194*(1+$F$188)</f>
        <v>395.37242222550526</v>
      </c>
      <c r="T194" s="499">
        <f t="shared" ref="T194" si="53">S194*(1+$F$188)</f>
        <v>403.27987067001538</v>
      </c>
      <c r="U194" s="499">
        <f>S194*(1+$F$188)</f>
        <v>403.27987067001538</v>
      </c>
      <c r="V194" s="499">
        <f t="shared" si="42"/>
        <v>411.34546808341571</v>
      </c>
      <c r="W194" s="499">
        <f t="shared" si="42"/>
        <v>419.57237744508404</v>
      </c>
      <c r="X194" s="499">
        <f t="shared" si="42"/>
        <v>427.96382499398572</v>
      </c>
      <c r="Y194" s="499">
        <f t="shared" si="42"/>
        <v>436.52310149386545</v>
      </c>
      <c r="Z194" s="499">
        <f t="shared" si="42"/>
        <v>445.2535635237428</v>
      </c>
      <c r="AA194" s="499">
        <f t="shared" si="42"/>
        <v>454.15863479421768</v>
      </c>
      <c r="AB194" s="545">
        <f t="shared" si="42"/>
        <v>463.24180749010202</v>
      </c>
    </row>
    <row r="195" spans="2:28">
      <c r="D195" s="468"/>
      <c r="E195" s="468"/>
      <c r="F195" s="468"/>
      <c r="G195" s="468"/>
      <c r="H195" s="468"/>
      <c r="I195" s="468"/>
      <c r="J195" s="468"/>
      <c r="K195" s="468"/>
      <c r="L195" s="468"/>
      <c r="M195" s="468"/>
      <c r="N195" s="468"/>
      <c r="O195" s="468"/>
      <c r="P195" s="468"/>
      <c r="Q195" s="468"/>
      <c r="R195" s="468"/>
      <c r="S195" s="468"/>
      <c r="T195" s="468"/>
      <c r="U195" s="468"/>
      <c r="V195" s="468"/>
      <c r="W195" s="468"/>
      <c r="X195" s="468"/>
      <c r="Y195" s="468"/>
      <c r="Z195" s="468"/>
      <c r="AA195" s="468"/>
      <c r="AB195" s="468"/>
    </row>
    <row r="197" spans="2:28">
      <c r="B197" s="702" t="s">
        <v>587</v>
      </c>
    </row>
    <row r="199" spans="2:28">
      <c r="C199" s="1107">
        <v>2022</v>
      </c>
      <c r="D199" s="1108">
        <v>2021</v>
      </c>
      <c r="E199" s="1108">
        <v>2020</v>
      </c>
      <c r="F199" s="1108">
        <v>2019</v>
      </c>
      <c r="G199" s="1108">
        <v>2018</v>
      </c>
      <c r="H199" s="1108">
        <v>2017</v>
      </c>
      <c r="I199" s="1108">
        <v>2016</v>
      </c>
      <c r="J199" s="1108">
        <v>2015</v>
      </c>
      <c r="K199" s="1108">
        <v>2014</v>
      </c>
      <c r="L199" s="1108">
        <v>2013</v>
      </c>
      <c r="M199" s="1108">
        <v>2012</v>
      </c>
      <c r="N199" s="1109">
        <v>2011</v>
      </c>
    </row>
    <row r="200" spans="2:28">
      <c r="B200" s="539" t="s">
        <v>588</v>
      </c>
      <c r="C200" s="492">
        <f>C10/C7</f>
        <v>0.37422552664188352</v>
      </c>
      <c r="D200" s="453">
        <f t="shared" ref="D200:N200" si="54">D10/D7</f>
        <v>0.27189542483660128</v>
      </c>
      <c r="E200" s="453" t="s">
        <v>589</v>
      </c>
      <c r="F200" s="453">
        <f t="shared" si="54"/>
        <v>0.63698630136986301</v>
      </c>
      <c r="G200" s="453">
        <f t="shared" si="54"/>
        <v>0.95147928994082842</v>
      </c>
      <c r="H200" s="453">
        <f t="shared" si="54"/>
        <v>0.78854024556616642</v>
      </c>
      <c r="I200" s="453">
        <f t="shared" si="54"/>
        <v>1.3432055749128919</v>
      </c>
      <c r="J200" s="453">
        <f t="shared" si="54"/>
        <v>0.42240587695133147</v>
      </c>
      <c r="K200" s="453">
        <f t="shared" si="54"/>
        <v>0.38150289017341038</v>
      </c>
      <c r="L200" s="453">
        <f t="shared" si="54"/>
        <v>0.19416970327954192</v>
      </c>
      <c r="M200" s="453">
        <f t="shared" si="54"/>
        <v>0.19924812030075187</v>
      </c>
      <c r="N200" s="454">
        <f t="shared" si="54"/>
        <v>0.25531914893617019</v>
      </c>
    </row>
    <row r="202" spans="2:28">
      <c r="B202" s="581" t="s">
        <v>590</v>
      </c>
      <c r="C202" s="597">
        <f>AVERAGE(C200:D200,F200:N200)</f>
        <v>0.52899800935540364</v>
      </c>
      <c r="E202" s="732" t="s">
        <v>534</v>
      </c>
      <c r="F202" s="458">
        <v>0.45</v>
      </c>
      <c r="G202" s="1533" t="s">
        <v>591</v>
      </c>
    </row>
    <row r="203" spans="2:28">
      <c r="B203" s="582" t="s">
        <v>592</v>
      </c>
      <c r="C203" s="458">
        <f>AVERAGE(C200:D200,F200:G200)</f>
        <v>0.55864663569729411</v>
      </c>
      <c r="E203" s="733" t="s">
        <v>536</v>
      </c>
      <c r="F203" s="459">
        <v>0.5</v>
      </c>
      <c r="G203" s="1533"/>
    </row>
    <row r="204" spans="2:28">
      <c r="B204" s="584" t="s">
        <v>593</v>
      </c>
      <c r="C204" s="459">
        <f>AVERAGE(C200:D200)</f>
        <v>0.3230604757392424</v>
      </c>
      <c r="F204" s="4"/>
      <c r="G204" s="281"/>
    </row>
    <row r="205" spans="2:28">
      <c r="F205" s="4"/>
      <c r="G205" s="281"/>
    </row>
    <row r="206" spans="2:28">
      <c r="C206" s="676">
        <v>2023</v>
      </c>
      <c r="D206" s="677">
        <v>2024</v>
      </c>
      <c r="E206" s="677">
        <v>2025</v>
      </c>
      <c r="F206" s="677">
        <v>2026</v>
      </c>
      <c r="G206" s="677">
        <v>2027</v>
      </c>
      <c r="H206" s="677">
        <v>2028</v>
      </c>
      <c r="I206" s="677">
        <v>2029</v>
      </c>
      <c r="J206" s="677">
        <v>2030</v>
      </c>
      <c r="K206" s="677">
        <v>2031</v>
      </c>
      <c r="L206" s="677">
        <v>2032</v>
      </c>
      <c r="M206" s="677">
        <v>2033</v>
      </c>
      <c r="N206" s="677">
        <v>2034</v>
      </c>
      <c r="O206" s="677">
        <v>2035</v>
      </c>
      <c r="P206" s="677">
        <v>2036</v>
      </c>
      <c r="Q206" s="677">
        <v>2037</v>
      </c>
      <c r="R206" s="677">
        <v>2038</v>
      </c>
      <c r="S206" s="677">
        <v>2039</v>
      </c>
      <c r="T206" s="677">
        <v>2040</v>
      </c>
      <c r="U206" s="677">
        <v>2041</v>
      </c>
      <c r="V206" s="677">
        <v>2042</v>
      </c>
      <c r="W206" s="677">
        <v>2043</v>
      </c>
      <c r="X206" s="677">
        <v>2044</v>
      </c>
      <c r="Y206" s="677">
        <v>2045</v>
      </c>
      <c r="Z206" s="677">
        <v>2046</v>
      </c>
      <c r="AA206" s="677">
        <v>2047</v>
      </c>
      <c r="AB206" s="678">
        <v>2048</v>
      </c>
    </row>
    <row r="207" spans="2:28">
      <c r="B207" s="689" t="s">
        <v>594</v>
      </c>
      <c r="C207" s="462">
        <f>$F$202*DCF!G17</f>
        <v>359.06321520000006</v>
      </c>
      <c r="D207" s="463">
        <f>$F$202*DCF!H17</f>
        <v>366.30390906153514</v>
      </c>
      <c r="E207" s="463">
        <f>$F$202*DCF!I17</f>
        <v>374.00465726607018</v>
      </c>
      <c r="F207" s="463">
        <f>$F$202*DCF!J17</f>
        <v>383.87519651570074</v>
      </c>
      <c r="G207" s="463">
        <f>$F$203*DCF!K17</f>
        <v>433.4122241848072</v>
      </c>
      <c r="H207" s="463">
        <f>$F$203*DCF!L17</f>
        <v>438.32570692947286</v>
      </c>
      <c r="I207" s="463">
        <f>$F$203*DCF!M17</f>
        <v>443.33622168359443</v>
      </c>
      <c r="J207" s="463">
        <f>$F$203*DCF!N17</f>
        <v>447.62924370656395</v>
      </c>
      <c r="K207" s="463">
        <f>$F$203*DCF!O17</f>
        <v>451.73532525203257</v>
      </c>
      <c r="L207" s="463">
        <f>$F$203*DCF!P17</f>
        <v>455.00322554391113</v>
      </c>
      <c r="M207" s="463">
        <f>$F$203*DCF!Q17</f>
        <v>458.23937973129705</v>
      </c>
      <c r="N207" s="463">
        <f>$F$203*DCF!R17</f>
        <v>460.78260901647377</v>
      </c>
      <c r="O207" s="463">
        <f>$F$203*DCF!S17</f>
        <v>462.61887760585984</v>
      </c>
      <c r="P207" s="463">
        <f>$F$203*DCF!T17</f>
        <v>463.74837745361754</v>
      </c>
      <c r="Q207" s="463">
        <f>$F$203*DCF!U17</f>
        <v>464.19777985376703</v>
      </c>
      <c r="R207" s="463">
        <f>$F$203*DCF!V17</f>
        <v>463.96788970269915</v>
      </c>
      <c r="S207" s="463">
        <f>$F$203*DCF!W17</f>
        <v>463.23297153167903</v>
      </c>
      <c r="T207" s="463">
        <f>$F$203*DCF!X17</f>
        <v>461.98047028589195</v>
      </c>
      <c r="U207" s="463">
        <f>$F$203*DCF!Y17</f>
        <v>460.1953305597815</v>
      </c>
      <c r="V207" s="463">
        <f>$F$203*DCF!Z17</f>
        <v>457.83388748226105</v>
      </c>
      <c r="W207" s="463">
        <f>$F$203*DCF!AA17</f>
        <v>455.41456806204906</v>
      </c>
      <c r="X207" s="463">
        <f>$F$203*DCF!AB17</f>
        <v>452.91110549976912</v>
      </c>
      <c r="Y207" s="463">
        <f>$F$203*DCF!AC17</f>
        <v>450.31515817918341</v>
      </c>
      <c r="Z207" s="463">
        <f>$F$203*DCF!AD17</f>
        <v>447.61788159724938</v>
      </c>
      <c r="AA207" s="463">
        <f>$F$203*DCF!AE17</f>
        <v>444.81331681269592</v>
      </c>
      <c r="AB207" s="464">
        <f>$F$203*DCF!AF17</f>
        <v>441.89367039670594</v>
      </c>
    </row>
    <row r="208" spans="2:28">
      <c r="F208" s="4"/>
      <c r="G208" s="281"/>
    </row>
    <row r="209" spans="2:29">
      <c r="C209" s="1107">
        <v>2022</v>
      </c>
      <c r="D209" s="1108">
        <v>2021</v>
      </c>
      <c r="E209" s="1108">
        <v>2020</v>
      </c>
      <c r="F209" s="1108">
        <v>2019</v>
      </c>
      <c r="G209" s="1108">
        <v>2018</v>
      </c>
      <c r="H209" s="1108">
        <v>2017</v>
      </c>
      <c r="I209" s="1108">
        <v>2016</v>
      </c>
      <c r="J209" s="1108">
        <v>2015</v>
      </c>
      <c r="K209" s="1108">
        <v>2014</v>
      </c>
      <c r="L209" s="1108">
        <v>2013</v>
      </c>
      <c r="M209" s="1108">
        <v>2012</v>
      </c>
      <c r="N209" s="1109">
        <v>2011</v>
      </c>
    </row>
    <row r="210" spans="2:29">
      <c r="B210" s="582" t="s">
        <v>595</v>
      </c>
      <c r="C210" s="604">
        <f>Shares!B5</f>
        <v>28888</v>
      </c>
      <c r="D210" s="604">
        <f>Shares!C5</f>
        <v>28883</v>
      </c>
      <c r="E210" s="604">
        <f>Shares!D5</f>
        <v>28873</v>
      </c>
      <c r="F210" s="604">
        <f>Shares!E5</f>
        <v>28814</v>
      </c>
      <c r="G210" s="604">
        <f>Shares!F5</f>
        <v>29268</v>
      </c>
      <c r="H210" s="604">
        <f>Shares!G5</f>
        <v>29567</v>
      </c>
      <c r="I210" s="604">
        <f>Shares!H5</f>
        <v>29987</v>
      </c>
      <c r="J210" s="604">
        <f>Shares!I5</f>
        <v>30309</v>
      </c>
      <c r="K210" s="604">
        <f>Shares!J5</f>
        <v>30321</v>
      </c>
      <c r="L210" s="604">
        <f>Shares!K5</f>
        <v>30335</v>
      </c>
      <c r="M210" s="604">
        <f>Shares!L5</f>
        <v>30335</v>
      </c>
      <c r="N210" s="604">
        <f>Shares!M5</f>
        <v>30335</v>
      </c>
    </row>
    <row r="211" spans="2:29">
      <c r="B211" s="1117" t="s">
        <v>596</v>
      </c>
      <c r="C211" s="439">
        <f>Shares!B8</f>
        <v>114659</v>
      </c>
      <c r="D211" s="439">
        <f>Shares!C8</f>
        <v>114472</v>
      </c>
      <c r="E211" s="439">
        <f>Shares!D8</f>
        <v>114169</v>
      </c>
      <c r="F211" s="439">
        <f>Shares!E8</f>
        <v>113428</v>
      </c>
      <c r="G211" s="439">
        <f>Shares!F8</f>
        <v>115450</v>
      </c>
      <c r="H211" s="439">
        <f>Shares!G8</f>
        <v>116755</v>
      </c>
      <c r="I211" s="439">
        <f>Shares!H8</f>
        <v>118673</v>
      </c>
      <c r="J211" s="439">
        <f>Shares!I8</f>
        <v>119847</v>
      </c>
      <c r="K211" s="439">
        <f>Shares!J8</f>
        <v>119894</v>
      </c>
      <c r="L211" s="439">
        <f>Shares!K8</f>
        <v>119515</v>
      </c>
      <c r="M211" s="439">
        <f>Shares!L8</f>
        <v>118195</v>
      </c>
      <c r="N211" s="439">
        <f>Shares!M8</f>
        <v>118400</v>
      </c>
    </row>
    <row r="212" spans="2:29">
      <c r="B212" s="586" t="s">
        <v>597</v>
      </c>
      <c r="C212" s="1118">
        <f>SUM(C210:C211)</f>
        <v>143547</v>
      </c>
      <c r="D212" s="1119">
        <f t="shared" ref="D212:N212" si="55">SUM(D210:D211)</f>
        <v>143355</v>
      </c>
      <c r="E212" s="1119">
        <f t="shared" si="55"/>
        <v>143042</v>
      </c>
      <c r="F212" s="1119">
        <f t="shared" si="55"/>
        <v>142242</v>
      </c>
      <c r="G212" s="1119">
        <f t="shared" si="55"/>
        <v>144718</v>
      </c>
      <c r="H212" s="1119">
        <f t="shared" si="55"/>
        <v>146322</v>
      </c>
      <c r="I212" s="1119">
        <f t="shared" si="55"/>
        <v>148660</v>
      </c>
      <c r="J212" s="1119">
        <f t="shared" si="55"/>
        <v>150156</v>
      </c>
      <c r="K212" s="1119">
        <f t="shared" si="55"/>
        <v>150215</v>
      </c>
      <c r="L212" s="1119">
        <f t="shared" si="55"/>
        <v>149850</v>
      </c>
      <c r="M212" s="1119">
        <f t="shared" si="55"/>
        <v>148530</v>
      </c>
      <c r="N212" s="1120">
        <f t="shared" si="55"/>
        <v>148735</v>
      </c>
    </row>
    <row r="213" spans="2:29">
      <c r="F213" s="4"/>
      <c r="G213" s="281"/>
    </row>
    <row r="214" spans="2:29">
      <c r="B214" s="1541" t="s">
        <v>598</v>
      </c>
      <c r="C214" s="1542"/>
      <c r="D214" s="1543"/>
      <c r="F214" s="1541" t="s">
        <v>599</v>
      </c>
      <c r="G214" s="1542"/>
      <c r="H214" s="1543"/>
      <c r="K214" s="586" t="s">
        <v>600</v>
      </c>
      <c r="L214" s="1095" t="s">
        <v>601</v>
      </c>
    </row>
    <row r="215" spans="2:29">
      <c r="B215" s="1110" t="s">
        <v>513</v>
      </c>
      <c r="C215" s="1093">
        <f>AVERAGE(Shares!B6:M6)</f>
        <v>-131.54545454545453</v>
      </c>
      <c r="D215" s="1092">
        <f>AVERAGE(Shares!B7:L7)</f>
        <v>-4.4131481690718307E-3</v>
      </c>
      <c r="F215" s="1110" t="s">
        <v>513</v>
      </c>
      <c r="G215" s="617">
        <f>AVERAGE(Shares!B9:M9)</f>
        <v>-340.09090909090907</v>
      </c>
      <c r="H215" s="1092">
        <f>AVERAGE(Shares!B10:L10)</f>
        <v>-2.873925383463326E-3</v>
      </c>
      <c r="J215" s="732" t="s">
        <v>534</v>
      </c>
      <c r="K215" s="1099">
        <v>-5.0000000000000001E-3</v>
      </c>
      <c r="L215" s="1101">
        <v>-3.5000000000000001E-3</v>
      </c>
    </row>
    <row r="216" spans="2:29">
      <c r="B216" s="1111" t="s">
        <v>514</v>
      </c>
      <c r="C216" s="1094">
        <f>AVERAGE(Shares!B6:F6)</f>
        <v>-135.80000000000001</v>
      </c>
      <c r="D216" s="416">
        <f>AVERAGE(Shares!B7:F7)</f>
        <v>-4.6114750115891171E-3</v>
      </c>
      <c r="F216" s="1111" t="s">
        <v>514</v>
      </c>
      <c r="G216" s="596">
        <f>AVERAGE(Shares!B9:F9)</f>
        <v>-419.2</v>
      </c>
      <c r="H216" s="416">
        <f>AVERAGE(Shares!B10:F10)</f>
        <v>-3.5742001508827447E-3</v>
      </c>
      <c r="J216" s="733" t="s">
        <v>536</v>
      </c>
      <c r="K216" s="459">
        <v>-5.4999999999999997E-3</v>
      </c>
      <c r="L216" s="1100">
        <v>-4.4999999999999997E-3</v>
      </c>
    </row>
    <row r="217" spans="2:29">
      <c r="F217" s="4"/>
      <c r="G217" s="281"/>
    </row>
    <row r="218" spans="2:29">
      <c r="C218" s="676">
        <v>2023</v>
      </c>
      <c r="D218" s="677">
        <v>2024</v>
      </c>
      <c r="E218" s="677">
        <v>2025</v>
      </c>
      <c r="F218" s="677">
        <v>2026</v>
      </c>
      <c r="G218" s="677">
        <v>2027</v>
      </c>
      <c r="H218" s="677">
        <v>2028</v>
      </c>
      <c r="I218" s="677">
        <v>2029</v>
      </c>
      <c r="J218" s="677">
        <v>2030</v>
      </c>
      <c r="K218" s="677">
        <v>2031</v>
      </c>
      <c r="L218" s="677">
        <v>2032</v>
      </c>
      <c r="M218" s="677">
        <v>2033</v>
      </c>
      <c r="N218" s="677">
        <v>2034</v>
      </c>
      <c r="O218" s="677">
        <v>2035</v>
      </c>
      <c r="P218" s="677">
        <v>2036</v>
      </c>
      <c r="Q218" s="677">
        <v>2037</v>
      </c>
      <c r="R218" s="677">
        <v>2038</v>
      </c>
      <c r="S218" s="677">
        <v>2039</v>
      </c>
      <c r="T218" s="677">
        <v>2040</v>
      </c>
      <c r="U218" s="677">
        <v>2041</v>
      </c>
      <c r="V218" s="677">
        <v>2042</v>
      </c>
      <c r="W218" s="677">
        <v>2043</v>
      </c>
      <c r="X218" s="677">
        <v>2044</v>
      </c>
      <c r="Y218" s="677">
        <v>2045</v>
      </c>
      <c r="Z218" s="677">
        <v>2046</v>
      </c>
      <c r="AA218" s="677">
        <v>2047</v>
      </c>
      <c r="AB218" s="678">
        <v>2048</v>
      </c>
    </row>
    <row r="219" spans="2:29">
      <c r="B219" s="1112" t="s">
        <v>602</v>
      </c>
      <c r="C219" s="1102">
        <f>C210*(1+$K$215)</f>
        <v>28743.56</v>
      </c>
      <c r="D219" s="1103">
        <f>C219*(1+$K$215)</f>
        <v>28599.842200000003</v>
      </c>
      <c r="E219" s="1103">
        <f t="shared" ref="E219" si="56">D219*(1+$K$215)</f>
        <v>28456.842989000004</v>
      </c>
      <c r="F219" s="1103">
        <f>E219*(1+$K$215)</f>
        <v>28314.558774055004</v>
      </c>
      <c r="G219" s="1103">
        <f>F219*(1+$K$216)</f>
        <v>28158.828700797701</v>
      </c>
      <c r="H219" s="1103">
        <f t="shared" ref="H219:AB219" si="57">G219*(1+$K$216)</f>
        <v>28003.955142943316</v>
      </c>
      <c r="I219" s="1103">
        <f t="shared" si="57"/>
        <v>27849.93338965713</v>
      </c>
      <c r="J219" s="1103">
        <f t="shared" si="57"/>
        <v>27696.758756014016</v>
      </c>
      <c r="K219" s="1103">
        <f t="shared" si="57"/>
        <v>27544.42658285594</v>
      </c>
      <c r="L219" s="1103">
        <f t="shared" si="57"/>
        <v>27392.932236650235</v>
      </c>
      <c r="M219" s="1103">
        <f t="shared" si="57"/>
        <v>27242.271109348661</v>
      </c>
      <c r="N219" s="1103">
        <f t="shared" si="57"/>
        <v>27092.438618247244</v>
      </c>
      <c r="O219" s="1103">
        <f t="shared" si="57"/>
        <v>26943.430205846886</v>
      </c>
      <c r="P219" s="1103">
        <f t="shared" si="57"/>
        <v>26795.241339714728</v>
      </c>
      <c r="Q219" s="1103">
        <f t="shared" si="57"/>
        <v>26647.8675123463</v>
      </c>
      <c r="R219" s="1103">
        <f t="shared" si="57"/>
        <v>26501.304241028396</v>
      </c>
      <c r="S219" s="1103">
        <f t="shared" si="57"/>
        <v>26355.547067702741</v>
      </c>
      <c r="T219" s="1103">
        <f t="shared" si="57"/>
        <v>26210.591558830376</v>
      </c>
      <c r="U219" s="1103">
        <f t="shared" si="57"/>
        <v>26066.433305256811</v>
      </c>
      <c r="V219" s="1103">
        <f t="shared" si="57"/>
        <v>25923.067922077898</v>
      </c>
      <c r="W219" s="1103">
        <f t="shared" si="57"/>
        <v>25780.491048506472</v>
      </c>
      <c r="X219" s="1103">
        <f t="shared" si="57"/>
        <v>25638.698347739686</v>
      </c>
      <c r="Y219" s="1103">
        <f t="shared" si="57"/>
        <v>25497.685506827118</v>
      </c>
      <c r="Z219" s="1103">
        <f t="shared" si="57"/>
        <v>25357.448236539571</v>
      </c>
      <c r="AA219" s="1103">
        <f t="shared" si="57"/>
        <v>25217.982271238605</v>
      </c>
      <c r="AB219" s="1104">
        <f t="shared" si="57"/>
        <v>25079.283368746794</v>
      </c>
      <c r="AC219" s="68"/>
    </row>
    <row r="220" spans="2:29">
      <c r="B220" s="1113" t="s">
        <v>603</v>
      </c>
      <c r="C220" s="1121">
        <f>C211*(1+$L$215)</f>
        <v>114257.69350000001</v>
      </c>
      <c r="D220" s="1122">
        <f>C220*(1+$L$215)</f>
        <v>113857.79157275001</v>
      </c>
      <c r="E220" s="1122">
        <f t="shared" ref="E220:F220" si="58">D220*(1+$L$215)</f>
        <v>113459.28930224539</v>
      </c>
      <c r="F220" s="1122">
        <f t="shared" si="58"/>
        <v>113062.18178968754</v>
      </c>
      <c r="G220" s="1122">
        <f>F220*(1+$L$216)</f>
        <v>112553.40197163395</v>
      </c>
      <c r="H220" s="1122">
        <f t="shared" ref="H220:AB220" si="59">G220*(1+$L$216)</f>
        <v>112046.9116627616</v>
      </c>
      <c r="I220" s="1122">
        <f t="shared" si="59"/>
        <v>111542.70056027918</v>
      </c>
      <c r="J220" s="1122">
        <f t="shared" si="59"/>
        <v>111040.75840775792</v>
      </c>
      <c r="K220" s="1122">
        <f t="shared" si="59"/>
        <v>110541.07499492302</v>
      </c>
      <c r="L220" s="1122">
        <f t="shared" si="59"/>
        <v>110043.64015744587</v>
      </c>
      <c r="M220" s="1122">
        <f t="shared" si="59"/>
        <v>109548.44377673737</v>
      </c>
      <c r="N220" s="1122">
        <f t="shared" si="59"/>
        <v>109055.47577974206</v>
      </c>
      <c r="O220" s="1122">
        <f t="shared" si="59"/>
        <v>108564.72613873323</v>
      </c>
      <c r="P220" s="1122">
        <f t="shared" si="59"/>
        <v>108076.18487110893</v>
      </c>
      <c r="Q220" s="1122">
        <f t="shared" si="59"/>
        <v>107589.84203918894</v>
      </c>
      <c r="R220" s="1122">
        <f t="shared" si="59"/>
        <v>107105.6877500126</v>
      </c>
      <c r="S220" s="1122">
        <f t="shared" si="59"/>
        <v>106623.71215513755</v>
      </c>
      <c r="T220" s="1122">
        <f t="shared" si="59"/>
        <v>106143.90545043943</v>
      </c>
      <c r="U220" s="1122">
        <f t="shared" si="59"/>
        <v>105666.25787591246</v>
      </c>
      <c r="V220" s="1122">
        <f t="shared" si="59"/>
        <v>105190.75971547086</v>
      </c>
      <c r="W220" s="1122">
        <f t="shared" si="59"/>
        <v>104717.40129675125</v>
      </c>
      <c r="X220" s="1122">
        <f t="shared" si="59"/>
        <v>104246.17299091587</v>
      </c>
      <c r="Y220" s="1122">
        <f t="shared" si="59"/>
        <v>103777.06521245676</v>
      </c>
      <c r="Z220" s="1122">
        <f t="shared" si="59"/>
        <v>103310.0684190007</v>
      </c>
      <c r="AA220" s="1122">
        <f t="shared" si="59"/>
        <v>102845.1731111152</v>
      </c>
      <c r="AB220" s="1123">
        <f t="shared" si="59"/>
        <v>102382.36983211519</v>
      </c>
      <c r="AC220" s="68"/>
    </row>
    <row r="221" spans="2:29">
      <c r="B221" s="690" t="s">
        <v>604</v>
      </c>
      <c r="C221" s="1124">
        <f>SUM(C219:C220)</f>
        <v>143001.25350000002</v>
      </c>
      <c r="D221" s="1125">
        <f t="shared" ref="D221" si="60">SUM(D219:D220)</f>
        <v>142457.63377275001</v>
      </c>
      <c r="E221" s="1125">
        <f t="shared" ref="E221" si="61">SUM(E219:E220)</f>
        <v>141916.13229124539</v>
      </c>
      <c r="F221" s="1125">
        <f t="shared" ref="F221" si="62">SUM(F219:F220)</f>
        <v>141376.74056374255</v>
      </c>
      <c r="G221" s="1125">
        <f t="shared" ref="G221" si="63">SUM(G219:G220)</f>
        <v>140712.23067243164</v>
      </c>
      <c r="H221" s="1125">
        <f t="shared" ref="H221" si="64">SUM(H219:H220)</f>
        <v>140050.86680570492</v>
      </c>
      <c r="I221" s="1125">
        <f t="shared" ref="I221" si="65">SUM(I219:I220)</f>
        <v>139392.63394993631</v>
      </c>
      <c r="J221" s="1125">
        <f t="shared" ref="J221" si="66">SUM(J219:J220)</f>
        <v>138737.51716377193</v>
      </c>
      <c r="K221" s="1125">
        <f t="shared" ref="K221" si="67">SUM(K219:K220)</f>
        <v>138085.50157777895</v>
      </c>
      <c r="L221" s="1125">
        <f t="shared" ref="L221" si="68">SUM(L219:L220)</f>
        <v>137436.57239409612</v>
      </c>
      <c r="M221" s="1125">
        <f t="shared" ref="M221" si="69">SUM(M219:M220)</f>
        <v>136790.71488608603</v>
      </c>
      <c r="N221" s="1125">
        <f t="shared" ref="N221:AB221" si="70">SUM(N219:N220)</f>
        <v>136147.91439798931</v>
      </c>
      <c r="O221" s="1125">
        <f t="shared" si="70"/>
        <v>135508.15634458011</v>
      </c>
      <c r="P221" s="1125">
        <f t="shared" si="70"/>
        <v>134871.42621082364</v>
      </c>
      <c r="Q221" s="1125">
        <f t="shared" si="70"/>
        <v>134237.70955153523</v>
      </c>
      <c r="R221" s="1125">
        <f t="shared" si="70"/>
        <v>133606.991991041</v>
      </c>
      <c r="S221" s="1125">
        <f t="shared" si="70"/>
        <v>132979.25922284028</v>
      </c>
      <c r="T221" s="1125">
        <f t="shared" si="70"/>
        <v>132354.49700926981</v>
      </c>
      <c r="U221" s="1125">
        <f t="shared" si="70"/>
        <v>131732.69118116927</v>
      </c>
      <c r="V221" s="1125">
        <f t="shared" si="70"/>
        <v>131113.82763754876</v>
      </c>
      <c r="W221" s="1125">
        <f t="shared" si="70"/>
        <v>130497.89234525773</v>
      </c>
      <c r="X221" s="1125">
        <f t="shared" si="70"/>
        <v>129884.87133865556</v>
      </c>
      <c r="Y221" s="1125">
        <f t="shared" si="70"/>
        <v>129274.75071928388</v>
      </c>
      <c r="Z221" s="1125">
        <f t="shared" si="70"/>
        <v>128667.51665554027</v>
      </c>
      <c r="AA221" s="1125">
        <f t="shared" si="70"/>
        <v>128063.15538235381</v>
      </c>
      <c r="AB221" s="1126">
        <f t="shared" si="70"/>
        <v>127461.65320086198</v>
      </c>
    </row>
    <row r="222" spans="2:29">
      <c r="G222" s="281"/>
    </row>
    <row r="223" spans="2:29">
      <c r="G223" s="281"/>
    </row>
    <row r="224" spans="2:29">
      <c r="C224" s="1107">
        <v>2022</v>
      </c>
      <c r="D224" s="1108">
        <v>2021</v>
      </c>
      <c r="E224" s="1108">
        <v>2020</v>
      </c>
      <c r="F224" s="1108">
        <v>2019</v>
      </c>
      <c r="G224" s="1108">
        <v>2018</v>
      </c>
      <c r="H224" s="1108">
        <v>2017</v>
      </c>
      <c r="I224" s="1108">
        <v>2016</v>
      </c>
      <c r="J224" s="1108">
        <v>2015</v>
      </c>
      <c r="K224" s="1108">
        <v>2014</v>
      </c>
      <c r="L224" s="1108">
        <v>2013</v>
      </c>
      <c r="M224" s="1108">
        <v>2012</v>
      </c>
      <c r="N224" s="1109">
        <v>2011</v>
      </c>
    </row>
    <row r="225" spans="2:28">
      <c r="B225" s="1110" t="s">
        <v>605</v>
      </c>
      <c r="C225" s="1136">
        <f>Shares!B16</f>
        <v>6</v>
      </c>
      <c r="D225" s="1103">
        <f>Shares!C16</f>
        <v>5.5</v>
      </c>
      <c r="E225" s="1103">
        <f>Shares!D16</f>
        <v>3.5</v>
      </c>
      <c r="F225" s="1103">
        <f>Shares!E16</f>
        <v>5.5</v>
      </c>
      <c r="G225" s="1103">
        <f>Shares!F16</f>
        <v>8</v>
      </c>
      <c r="H225" s="1103">
        <f>Shares!G16</f>
        <v>7.5</v>
      </c>
      <c r="I225" s="1103">
        <f>Shares!H16</f>
        <v>6.75</v>
      </c>
      <c r="J225" s="1103">
        <f>Shares!I16</f>
        <v>7.5</v>
      </c>
      <c r="K225" s="1103">
        <f>Shares!J16</f>
        <v>7.5</v>
      </c>
      <c r="L225" s="1103">
        <f>Shares!K16</f>
        <v>7.5</v>
      </c>
      <c r="M225" s="1103">
        <f>Shares!L16</f>
        <v>6.75</v>
      </c>
      <c r="N225" s="1104">
        <f>Shares!M16</f>
        <v>5.75</v>
      </c>
    </row>
    <row r="226" spans="2:28">
      <c r="B226" s="1111" t="s">
        <v>606</v>
      </c>
      <c r="C226" s="1094">
        <f>Shares!B18</f>
        <v>1.2</v>
      </c>
      <c r="D226" s="1105">
        <f>Shares!C18</f>
        <v>1.1000000000000001</v>
      </c>
      <c r="E226" s="1105">
        <f>Shares!D18</f>
        <v>0.7</v>
      </c>
      <c r="F226" s="1105">
        <f>Shares!E18</f>
        <v>1.1000000000000001</v>
      </c>
      <c r="G226" s="1105">
        <f>Shares!F18</f>
        <v>1.6</v>
      </c>
      <c r="H226" s="1105">
        <f>Shares!G18</f>
        <v>1.5</v>
      </c>
      <c r="I226" s="1105">
        <f>Shares!H18</f>
        <v>1.35</v>
      </c>
      <c r="J226" s="1105">
        <f>Shares!I18</f>
        <v>1.5</v>
      </c>
      <c r="K226" s="1105">
        <f>Shares!J18</f>
        <v>1.5</v>
      </c>
      <c r="L226" s="1105">
        <f>Shares!K18</f>
        <v>1.5</v>
      </c>
      <c r="M226" s="1105">
        <f>Shares!L18</f>
        <v>1.35</v>
      </c>
      <c r="N226" s="1106">
        <f>Shares!M18</f>
        <v>1.1499999999999999</v>
      </c>
    </row>
    <row r="227" spans="2:28">
      <c r="C227" s="1159"/>
      <c r="D227" s="1159"/>
      <c r="E227" s="1159"/>
      <c r="F227" s="1159"/>
      <c r="G227" s="1159"/>
      <c r="H227" s="1159"/>
      <c r="I227" s="1159"/>
      <c r="J227" s="1159"/>
      <c r="K227" s="1159"/>
      <c r="L227" s="1159"/>
      <c r="M227" s="1159"/>
      <c r="N227" s="1159"/>
    </row>
    <row r="228" spans="2:28">
      <c r="B228" s="732" t="s">
        <v>534</v>
      </c>
      <c r="C228" s="458">
        <v>0.06</v>
      </c>
      <c r="D228" s="1532" t="s">
        <v>607</v>
      </c>
      <c r="E228" s="1159"/>
      <c r="F228" s="1159"/>
      <c r="G228" s="1159"/>
      <c r="H228" s="1159"/>
      <c r="I228" s="1159"/>
      <c r="J228" s="1159"/>
      <c r="K228" s="1159"/>
      <c r="L228" s="1159"/>
      <c r="M228" s="1159"/>
      <c r="N228" s="1159"/>
    </row>
    <row r="229" spans="2:28">
      <c r="B229" s="733" t="s">
        <v>536</v>
      </c>
      <c r="C229" s="459">
        <v>0.05</v>
      </c>
      <c r="D229" s="1532"/>
      <c r="E229" s="1159"/>
      <c r="F229" s="1159"/>
      <c r="G229" s="1159"/>
      <c r="H229" s="1159"/>
      <c r="I229" s="1159"/>
      <c r="J229" s="1159"/>
      <c r="K229" s="1159"/>
      <c r="L229" s="1159"/>
      <c r="M229" s="1159"/>
      <c r="N229" s="1159"/>
    </row>
    <row r="230" spans="2:28">
      <c r="G230" s="281"/>
    </row>
    <row r="231" spans="2:28">
      <c r="C231" s="676">
        <v>2023</v>
      </c>
      <c r="D231" s="677">
        <v>2024</v>
      </c>
      <c r="E231" s="677">
        <v>2025</v>
      </c>
      <c r="F231" s="677">
        <v>2026</v>
      </c>
      <c r="G231" s="677">
        <v>2027</v>
      </c>
      <c r="H231" s="677">
        <v>2028</v>
      </c>
      <c r="I231" s="677">
        <v>2029</v>
      </c>
      <c r="J231" s="677">
        <v>2030</v>
      </c>
      <c r="K231" s="677">
        <v>2031</v>
      </c>
      <c r="L231" s="677">
        <v>2032</v>
      </c>
      <c r="M231" s="677">
        <v>2033</v>
      </c>
      <c r="N231" s="677">
        <v>2034</v>
      </c>
      <c r="O231" s="677">
        <v>2035</v>
      </c>
      <c r="P231" s="677">
        <v>2036</v>
      </c>
      <c r="Q231" s="677">
        <v>2037</v>
      </c>
      <c r="R231" s="677">
        <v>2038</v>
      </c>
      <c r="S231" s="677">
        <v>2039</v>
      </c>
      <c r="T231" s="677">
        <v>2040</v>
      </c>
      <c r="U231" s="677">
        <v>2041</v>
      </c>
      <c r="V231" s="677">
        <v>2042</v>
      </c>
      <c r="W231" s="677">
        <v>2043</v>
      </c>
      <c r="X231" s="677">
        <v>2044</v>
      </c>
      <c r="Y231" s="677">
        <v>2045</v>
      </c>
      <c r="Z231" s="677">
        <v>2046</v>
      </c>
      <c r="AA231" s="677">
        <v>2047</v>
      </c>
      <c r="AB231" s="678">
        <v>2048</v>
      </c>
    </row>
    <row r="232" spans="2:28">
      <c r="B232" s="1134" t="s">
        <v>608</v>
      </c>
      <c r="C232" s="1133">
        <v>6</v>
      </c>
      <c r="D232" s="1127">
        <f>C232*(1+$C$228)</f>
        <v>6.36</v>
      </c>
      <c r="E232" s="1127">
        <f t="shared" ref="E232:G232" si="71">D232*(1+$C$228)</f>
        <v>6.7416000000000009</v>
      </c>
      <c r="F232" s="1127">
        <f t="shared" si="71"/>
        <v>7.1460960000000018</v>
      </c>
      <c r="G232" s="1127">
        <f t="shared" si="71"/>
        <v>7.5748617600000019</v>
      </c>
      <c r="H232" s="1127">
        <f>G232*(1+$C$229)</f>
        <v>7.9536048480000021</v>
      </c>
      <c r="I232" s="1127">
        <f t="shared" ref="I232:AB232" si="72">H232*(1+$C$229)</f>
        <v>8.3512850904000029</v>
      </c>
      <c r="J232" s="1127">
        <f t="shared" si="72"/>
        <v>8.7688493449200031</v>
      </c>
      <c r="K232" s="1127">
        <f t="shared" si="72"/>
        <v>9.2072918121660035</v>
      </c>
      <c r="L232" s="1127">
        <f t="shared" si="72"/>
        <v>9.6676564027743037</v>
      </c>
      <c r="M232" s="1127">
        <f t="shared" si="72"/>
        <v>10.151039222913019</v>
      </c>
      <c r="N232" s="1127">
        <f t="shared" si="72"/>
        <v>10.65859118405867</v>
      </c>
      <c r="O232" s="1127">
        <f t="shared" si="72"/>
        <v>11.191520743261604</v>
      </c>
      <c r="P232" s="1127">
        <f t="shared" si="72"/>
        <v>11.751096780424685</v>
      </c>
      <c r="Q232" s="1127">
        <f t="shared" si="72"/>
        <v>12.338651619445921</v>
      </c>
      <c r="R232" s="1127">
        <f t="shared" si="72"/>
        <v>12.955584200418217</v>
      </c>
      <c r="S232" s="1127">
        <f t="shared" si="72"/>
        <v>13.603363410439128</v>
      </c>
      <c r="T232" s="1127">
        <f t="shared" si="72"/>
        <v>14.283531580961085</v>
      </c>
      <c r="U232" s="1127">
        <f t="shared" si="72"/>
        <v>14.99770816000914</v>
      </c>
      <c r="V232" s="1127">
        <f t="shared" si="72"/>
        <v>15.747593568009597</v>
      </c>
      <c r="W232" s="1127">
        <f t="shared" si="72"/>
        <v>16.534973246410079</v>
      </c>
      <c r="X232" s="1127">
        <f t="shared" si="72"/>
        <v>17.361721908730583</v>
      </c>
      <c r="Y232" s="1127">
        <f t="shared" si="72"/>
        <v>18.229808004167115</v>
      </c>
      <c r="Z232" s="1127">
        <f t="shared" si="72"/>
        <v>19.141298404375473</v>
      </c>
      <c r="AA232" s="1127">
        <f t="shared" si="72"/>
        <v>20.098363324594246</v>
      </c>
      <c r="AB232" s="1127">
        <f t="shared" si="72"/>
        <v>21.10328149082396</v>
      </c>
    </row>
    <row r="233" spans="2:28">
      <c r="B233" s="1135" t="s">
        <v>609</v>
      </c>
      <c r="C233" s="591">
        <v>1.2</v>
      </c>
      <c r="D233" s="592">
        <f>C233*(1+$C$228)</f>
        <v>1.272</v>
      </c>
      <c r="E233" s="592">
        <f t="shared" ref="E233:G233" si="73">D233*(1+$C$228)</f>
        <v>1.3483200000000002</v>
      </c>
      <c r="F233" s="592">
        <f t="shared" si="73"/>
        <v>1.4292192000000004</v>
      </c>
      <c r="G233" s="592">
        <f t="shared" si="73"/>
        <v>1.5149723520000005</v>
      </c>
      <c r="H233" s="592">
        <f>G233*(1+$C$229)</f>
        <v>1.5907209696000006</v>
      </c>
      <c r="I233" s="592">
        <f t="shared" ref="I233:AB233" si="74">H233*(1+$C$229)</f>
        <v>1.6702570180800007</v>
      </c>
      <c r="J233" s="592">
        <f t="shared" si="74"/>
        <v>1.7537698689840009</v>
      </c>
      <c r="K233" s="592">
        <f t="shared" si="74"/>
        <v>1.841458362433201</v>
      </c>
      <c r="L233" s="592">
        <f t="shared" si="74"/>
        <v>1.9335312805548612</v>
      </c>
      <c r="M233" s="592">
        <f t="shared" si="74"/>
        <v>2.0302078445826042</v>
      </c>
      <c r="N233" s="592">
        <f t="shared" si="74"/>
        <v>2.1317182368117344</v>
      </c>
      <c r="O233" s="592">
        <f t="shared" si="74"/>
        <v>2.2383041486523214</v>
      </c>
      <c r="P233" s="592">
        <f t="shared" si="74"/>
        <v>2.3502193560849376</v>
      </c>
      <c r="Q233" s="592">
        <f t="shared" si="74"/>
        <v>2.4677303238891848</v>
      </c>
      <c r="R233" s="592">
        <f t="shared" si="74"/>
        <v>2.591116840083644</v>
      </c>
      <c r="S233" s="592">
        <f t="shared" si="74"/>
        <v>2.7206726820878262</v>
      </c>
      <c r="T233" s="592">
        <f t="shared" si="74"/>
        <v>2.8567063161922177</v>
      </c>
      <c r="U233" s="592">
        <f t="shared" si="74"/>
        <v>2.9995416320018289</v>
      </c>
      <c r="V233" s="592">
        <f t="shared" si="74"/>
        <v>3.1495187136019203</v>
      </c>
      <c r="W233" s="592">
        <f t="shared" si="74"/>
        <v>3.3069946492820166</v>
      </c>
      <c r="X233" s="592">
        <f t="shared" si="74"/>
        <v>3.4723443817461175</v>
      </c>
      <c r="Y233" s="592">
        <f t="shared" si="74"/>
        <v>3.6459616008334237</v>
      </c>
      <c r="Z233" s="592">
        <f t="shared" si="74"/>
        <v>3.8282596808750951</v>
      </c>
      <c r="AA233" s="592">
        <f t="shared" si="74"/>
        <v>4.0196726649188497</v>
      </c>
      <c r="AB233" s="592">
        <f t="shared" si="74"/>
        <v>4.2206562981647924</v>
      </c>
    </row>
    <row r="234" spans="2:28">
      <c r="G234" s="281"/>
    </row>
    <row r="235" spans="2:28">
      <c r="C235" s="4"/>
      <c r="D235" s="4"/>
      <c r="E235" s="4"/>
      <c r="F235" s="4"/>
      <c r="G235" s="4"/>
      <c r="H235" s="4"/>
      <c r="I235" s="4"/>
      <c r="J235" s="4"/>
      <c r="K235" s="4"/>
      <c r="L235" s="4"/>
      <c r="M235" s="4"/>
      <c r="N235" s="4"/>
    </row>
    <row r="236" spans="2:28">
      <c r="C236" s="676">
        <v>2023</v>
      </c>
      <c r="D236" s="677">
        <v>2024</v>
      </c>
      <c r="E236" s="677">
        <v>2025</v>
      </c>
      <c r="F236" s="677">
        <v>2026</v>
      </c>
      <c r="G236" s="677">
        <v>2027</v>
      </c>
      <c r="H236" s="677">
        <v>2028</v>
      </c>
      <c r="I236" s="677">
        <v>2029</v>
      </c>
      <c r="J236" s="677">
        <v>2030</v>
      </c>
      <c r="K236" s="677">
        <v>2031</v>
      </c>
      <c r="L236" s="677">
        <v>2032</v>
      </c>
      <c r="M236" s="677">
        <v>2033</v>
      </c>
      <c r="N236" s="677">
        <v>2034</v>
      </c>
      <c r="O236" s="677">
        <v>2035</v>
      </c>
      <c r="P236" s="677">
        <v>2036</v>
      </c>
      <c r="Q236" s="677">
        <v>2037</v>
      </c>
      <c r="R236" s="677">
        <v>2038</v>
      </c>
      <c r="S236" s="677">
        <v>2039</v>
      </c>
      <c r="T236" s="677">
        <v>2040</v>
      </c>
      <c r="U236" s="677">
        <v>2041</v>
      </c>
      <c r="V236" s="677">
        <v>2042</v>
      </c>
      <c r="W236" s="677">
        <v>2043</v>
      </c>
      <c r="X236" s="677">
        <v>2044</v>
      </c>
      <c r="Y236" s="677">
        <v>2045</v>
      </c>
      <c r="Z236" s="677">
        <v>2046</v>
      </c>
      <c r="AA236" s="677">
        <v>2047</v>
      </c>
      <c r="AB236" s="678">
        <v>2048</v>
      </c>
    </row>
    <row r="237" spans="2:28">
      <c r="B237" s="690" t="s">
        <v>610</v>
      </c>
      <c r="C237" s="499">
        <f t="shared" ref="C237:AB237" si="75">(C232*C219+C220*C233)/1000</f>
        <v>309.57059220000002</v>
      </c>
      <c r="D237" s="499">
        <f t="shared" si="75"/>
        <v>326.72210727253798</v>
      </c>
      <c r="E237" s="499">
        <f t="shared" si="75"/>
        <v>344.82408164664605</v>
      </c>
      <c r="F237" s="499">
        <f t="shared" si="75"/>
        <v>363.92919620475129</v>
      </c>
      <c r="G237" s="499">
        <f t="shared" si="75"/>
        <v>383.81452684263081</v>
      </c>
      <c r="H237" s="499">
        <f t="shared" si="75"/>
        <v>400.9677653489623</v>
      </c>
      <c r="I237" s="499">
        <f t="shared" si="75"/>
        <v>418.88771191207911</v>
      </c>
      <c r="J237" s="499">
        <f t="shared" si="75"/>
        <v>437.60864119873861</v>
      </c>
      <c r="K237" s="499">
        <f t="shared" si="75"/>
        <v>457.16636028889371</v>
      </c>
      <c r="L237" s="499">
        <f t="shared" si="75"/>
        <v>477.5982771989589</v>
      </c>
      <c r="M237" s="499">
        <f t="shared" si="75"/>
        <v>498.94347246957699</v>
      </c>
      <c r="N237" s="499">
        <f t="shared" si="75"/>
        <v>521.24277395495733</v>
      </c>
      <c r="O237" s="499">
        <f t="shared" si="75"/>
        <v>544.53883495698642</v>
      </c>
      <c r="P237" s="499">
        <f t="shared" si="75"/>
        <v>568.87621585371846</v>
      </c>
      <c r="Q237" s="499">
        <f t="shared" si="75"/>
        <v>594.3014693785459</v>
      </c>
      <c r="R237" s="499">
        <f t="shared" si="75"/>
        <v>620.86322971334187</v>
      </c>
      <c r="S237" s="499">
        <f t="shared" si="75"/>
        <v>648.61230556617215</v>
      </c>
      <c r="T237" s="499">
        <f t="shared" si="75"/>
        <v>677.60177741180564</v>
      </c>
      <c r="U237" s="499">
        <f t="shared" si="75"/>
        <v>707.88709908122462</v>
      </c>
      <c r="V237" s="499">
        <f t="shared" si="75"/>
        <v>739.52620389466824</v>
      </c>
      <c r="W237" s="499">
        <f t="shared" si="75"/>
        <v>772.5796155414431</v>
      </c>
      <c r="X237" s="499">
        <f t="shared" si="75"/>
        <v>807.11056391882732</v>
      </c>
      <c r="Y237" s="499">
        <f t="shared" si="75"/>
        <v>843.18510615189632</v>
      </c>
      <c r="Z237" s="499">
        <f t="shared" si="75"/>
        <v>880.87225302601644</v>
      </c>
      <c r="AA237" s="499">
        <f t="shared" si="75"/>
        <v>920.24410107412677</v>
      </c>
      <c r="AB237" s="545">
        <f t="shared" si="75"/>
        <v>961.37597057175731</v>
      </c>
    </row>
    <row r="238" spans="2:28">
      <c r="B238" s="1115" t="s">
        <v>611</v>
      </c>
      <c r="C238" s="498">
        <f t="shared" ref="C238:AB238" si="76">C207-C237</f>
        <v>49.492623000000037</v>
      </c>
      <c r="D238" s="494">
        <f t="shared" si="76"/>
        <v>39.581801788997154</v>
      </c>
      <c r="E238" s="494">
        <f t="shared" si="76"/>
        <v>29.180575619424133</v>
      </c>
      <c r="F238" s="494">
        <f t="shared" si="76"/>
        <v>19.946000310949444</v>
      </c>
      <c r="G238" s="494">
        <f t="shared" si="76"/>
        <v>49.597697342176389</v>
      </c>
      <c r="H238" s="494">
        <f t="shared" si="76"/>
        <v>37.357941580510555</v>
      </c>
      <c r="I238" s="494">
        <f t="shared" si="76"/>
        <v>24.448509771515319</v>
      </c>
      <c r="J238" s="494">
        <f t="shared" si="76"/>
        <v>10.020602507825345</v>
      </c>
      <c r="K238" s="494">
        <f t="shared" si="76"/>
        <v>-5.4310350368611466</v>
      </c>
      <c r="L238" s="494">
        <f t="shared" si="76"/>
        <v>-22.595051655047769</v>
      </c>
      <c r="M238" s="494">
        <f t="shared" si="76"/>
        <v>-40.70409273827994</v>
      </c>
      <c r="N238" s="494">
        <f t="shared" si="76"/>
        <v>-60.460164938483558</v>
      </c>
      <c r="O238" s="494">
        <f t="shared" si="76"/>
        <v>-81.919957351126584</v>
      </c>
      <c r="P238" s="494">
        <f t="shared" si="76"/>
        <v>-105.12783840010093</v>
      </c>
      <c r="Q238" s="494">
        <f t="shared" si="76"/>
        <v>-130.10368952477887</v>
      </c>
      <c r="R238" s="494">
        <f t="shared" si="76"/>
        <v>-156.89534001064271</v>
      </c>
      <c r="S238" s="494">
        <f t="shared" si="76"/>
        <v>-185.37933403449313</v>
      </c>
      <c r="T238" s="494">
        <f t="shared" si="76"/>
        <v>-215.62130712591369</v>
      </c>
      <c r="U238" s="494">
        <f t="shared" si="76"/>
        <v>-247.69176852144312</v>
      </c>
      <c r="V238" s="494">
        <f t="shared" si="76"/>
        <v>-281.69231641240719</v>
      </c>
      <c r="W238" s="494">
        <f t="shared" si="76"/>
        <v>-317.16504747939405</v>
      </c>
      <c r="X238" s="494">
        <f t="shared" si="76"/>
        <v>-354.1994584190582</v>
      </c>
      <c r="Y238" s="494">
        <f t="shared" si="76"/>
        <v>-392.86994797271291</v>
      </c>
      <c r="Z238" s="494">
        <f t="shared" si="76"/>
        <v>-433.25437142876706</v>
      </c>
      <c r="AA238" s="494">
        <f t="shared" si="76"/>
        <v>-475.43078426143086</v>
      </c>
      <c r="AB238" s="495">
        <f t="shared" si="76"/>
        <v>-519.48230017505136</v>
      </c>
    </row>
    <row r="239" spans="2:28">
      <c r="C239" s="468"/>
      <c r="D239" s="468"/>
      <c r="E239" s="468"/>
      <c r="F239" s="468"/>
      <c r="G239" s="468"/>
      <c r="H239" s="468"/>
      <c r="I239" s="468"/>
      <c r="J239" s="468"/>
      <c r="K239" s="468"/>
      <c r="L239" s="468"/>
      <c r="M239" s="468"/>
      <c r="N239" s="468"/>
      <c r="O239" s="468"/>
      <c r="P239" s="468"/>
      <c r="Q239" s="468"/>
      <c r="R239" s="468"/>
      <c r="S239" s="468"/>
      <c r="T239" s="468"/>
      <c r="U239" s="468"/>
      <c r="V239" s="468"/>
      <c r="W239" s="468"/>
      <c r="X239" s="468"/>
      <c r="Y239" s="468"/>
      <c r="Z239" s="468"/>
      <c r="AA239" s="468"/>
      <c r="AB239" s="468"/>
    </row>
    <row r="241" spans="2:28">
      <c r="B241" s="736" t="s">
        <v>612</v>
      </c>
    </row>
    <row r="243" spans="2:28">
      <c r="C243" s="683">
        <v>2022</v>
      </c>
      <c r="D243" s="684">
        <v>2021</v>
      </c>
      <c r="E243" s="684">
        <v>2020</v>
      </c>
      <c r="F243" s="684">
        <v>2019</v>
      </c>
      <c r="G243" s="685">
        <v>2018</v>
      </c>
    </row>
    <row r="244" spans="2:28">
      <c r="B244" s="450" t="s">
        <v>613</v>
      </c>
      <c r="C244" s="604">
        <f>Inputs!B48+Inputs!B44+Inputs!B45</f>
        <v>8</v>
      </c>
      <c r="D244" s="434">
        <f>Inputs!C48+Inputs!C44+Inputs!C45</f>
        <v>7</v>
      </c>
      <c r="E244" s="434">
        <f>Inputs!D48+Inputs!D44+Inputs!D45</f>
        <v>46</v>
      </c>
      <c r="F244" s="434">
        <f>Inputs!E48+Inputs!E44+Inputs!E45</f>
        <v>30</v>
      </c>
      <c r="G244" s="435">
        <f>Inputs!F48+Inputs!F44+Inputs!F45</f>
        <v>182</v>
      </c>
    </row>
    <row r="245" spans="2:28">
      <c r="B245" s="451" t="s">
        <v>614</v>
      </c>
      <c r="C245" s="443">
        <f>C244/'Fin. Data'!B20</f>
        <v>4.996876951905059E-3</v>
      </c>
      <c r="D245" s="445">
        <f>D244/'Fin. Data'!C20</f>
        <v>4.7425474254742545E-3</v>
      </c>
      <c r="E245" s="445">
        <f>E244/'Fin. Data'!D20</f>
        <v>8.7954110898661564E-2</v>
      </c>
      <c r="F245" s="445">
        <f>F244/'Fin. Data'!E20</f>
        <v>1.9607843137254902E-2</v>
      </c>
      <c r="G245" s="416">
        <f>G244/'Fin. Data'!F20</f>
        <v>0.11003627569528417</v>
      </c>
    </row>
    <row r="247" spans="2:28">
      <c r="B247" s="639" t="s">
        <v>513</v>
      </c>
      <c r="C247" s="458">
        <f>AVERAGE(C245:G245)</f>
        <v>4.5467530821715993E-2</v>
      </c>
      <c r="E247" s="732" t="s">
        <v>534</v>
      </c>
      <c r="F247" s="458">
        <v>3.5000000000000003E-2</v>
      </c>
    </row>
    <row r="248" spans="2:28">
      <c r="B248" s="641" t="s">
        <v>562</v>
      </c>
      <c r="C248" s="459">
        <f>AVERAGE(C245:E245)</f>
        <v>3.2564511758680297E-2</v>
      </c>
      <c r="E248" s="733" t="s">
        <v>536</v>
      </c>
      <c r="F248" s="459">
        <v>0.05</v>
      </c>
    </row>
    <row r="249" spans="2:28">
      <c r="B249" s="641" t="s">
        <v>615</v>
      </c>
      <c r="C249" s="459">
        <f>AVERAGE(C245:D245,F245:G245)</f>
        <v>3.4845885802479597E-2</v>
      </c>
      <c r="F249" s="4"/>
    </row>
    <row r="251" spans="2:28">
      <c r="C251" s="676">
        <v>2023</v>
      </c>
      <c r="D251" s="677">
        <v>2024</v>
      </c>
      <c r="E251" s="677">
        <v>2025</v>
      </c>
      <c r="F251" s="677">
        <v>2026</v>
      </c>
      <c r="G251" s="677">
        <v>2027</v>
      </c>
      <c r="H251" s="677">
        <v>2028</v>
      </c>
      <c r="I251" s="677">
        <v>2029</v>
      </c>
      <c r="J251" s="677">
        <v>2030</v>
      </c>
      <c r="K251" s="677">
        <v>2031</v>
      </c>
      <c r="L251" s="677">
        <v>2032</v>
      </c>
      <c r="M251" s="677">
        <v>2033</v>
      </c>
      <c r="N251" s="677">
        <v>2034</v>
      </c>
      <c r="O251" s="677">
        <v>2035</v>
      </c>
      <c r="P251" s="677">
        <v>2036</v>
      </c>
      <c r="Q251" s="677">
        <v>2037</v>
      </c>
      <c r="R251" s="677">
        <v>2038</v>
      </c>
      <c r="S251" s="677">
        <v>2039</v>
      </c>
      <c r="T251" s="677">
        <v>2040</v>
      </c>
      <c r="U251" s="677">
        <v>2041</v>
      </c>
      <c r="V251" s="677">
        <v>2042</v>
      </c>
      <c r="W251" s="677">
        <v>2043</v>
      </c>
      <c r="X251" s="677">
        <v>2044</v>
      </c>
      <c r="Y251" s="677">
        <v>2045</v>
      </c>
      <c r="Z251" s="677">
        <v>2046</v>
      </c>
      <c r="AA251" s="677">
        <v>2047</v>
      </c>
      <c r="AB251" s="678">
        <v>2048</v>
      </c>
    </row>
    <row r="252" spans="2:28">
      <c r="B252" s="690" t="s">
        <v>616</v>
      </c>
      <c r="C252" s="499">
        <f>3%*DCF!G12</f>
        <v>46.486052682201944</v>
      </c>
      <c r="D252" s="463">
        <f>$F$247*DCF!H12</f>
        <v>55.156985241313471</v>
      </c>
      <c r="E252" s="463">
        <f>$F$247*DCF!I12</f>
        <v>56.184194809323756</v>
      </c>
      <c r="F252" s="463">
        <f>$F$247*DCF!J12</f>
        <v>57.307352364277889</v>
      </c>
      <c r="G252" s="463">
        <f>4.5%*DCF!K12</f>
        <v>74.522457694401922</v>
      </c>
      <c r="H252" s="463">
        <f>5.5%*DCF!L12</f>
        <v>92.42672571778651</v>
      </c>
      <c r="I252" s="463">
        <f>6%*DCF!M12</f>
        <v>102.5867390698791</v>
      </c>
      <c r="J252" s="463">
        <f>6.5%*DCF!N12</f>
        <v>113.30567475369509</v>
      </c>
      <c r="K252" s="463">
        <f>$F$248*DCF!O12</f>
        <v>88.997829476172896</v>
      </c>
      <c r="L252" s="463">
        <f>$F$248*DCF!P12</f>
        <v>90.977187906703691</v>
      </c>
      <c r="M252" s="463">
        <f>$F$248*DCF!Q12</f>
        <v>92.442135678204863</v>
      </c>
      <c r="N252" s="463">
        <f>$F$248*DCF!R12</f>
        <v>93.444524795641371</v>
      </c>
      <c r="O252" s="463">
        <f>$F$248*DCF!S12</f>
        <v>94.029730706779418</v>
      </c>
      <c r="P252" s="463">
        <f>$F$248*DCF!T12</f>
        <v>94.237618143759377</v>
      </c>
      <c r="Q252" s="463">
        <f>$F$248*DCF!U12</f>
        <v>94.103369997664686</v>
      </c>
      <c r="R252" s="463">
        <f>$F$248*DCF!V12</f>
        <v>93.98104489963147</v>
      </c>
      <c r="S252" s="463">
        <f>$F$248*DCF!W12</f>
        <v>93.855786850281916</v>
      </c>
      <c r="T252" s="463">
        <f>$F$248*DCF!X12</f>
        <v>93.714837966339203</v>
      </c>
      <c r="U252" s="463">
        <f>$F$248*DCF!Y12</f>
        <v>93.547288786301209</v>
      </c>
      <c r="V252" s="463">
        <f>$F$248*DCF!Z12</f>
        <v>93.343862756833332</v>
      </c>
      <c r="W252" s="463">
        <f>$F$248*DCF!AA12</f>
        <v>93.168565147127438</v>
      </c>
      <c r="X252" s="463">
        <f>$F$248*DCF!AB12</f>
        <v>93.017506543422797</v>
      </c>
      <c r="Y252" s="463">
        <f>$F$248*DCF!AC12</f>
        <v>92.887335334634045</v>
      </c>
      <c r="Z252" s="463">
        <f>$F$248*DCF!AD12</f>
        <v>92.775163348517594</v>
      </c>
      <c r="AA252" s="463">
        <f>$F$248*DCF!AE12</f>
        <v>92.67850177038224</v>
      </c>
      <c r="AB252" s="463">
        <f>$F$248*DCF!AF12</f>
        <v>92.595205922540899</v>
      </c>
    </row>
    <row r="255" spans="2:28">
      <c r="B255" s="702" t="s">
        <v>617</v>
      </c>
    </row>
    <row r="257" spans="2:14">
      <c r="C257" s="1107">
        <v>2022</v>
      </c>
      <c r="D257" s="1182">
        <v>2021</v>
      </c>
      <c r="E257" s="1186">
        <v>2020</v>
      </c>
      <c r="F257" s="1184">
        <v>2019</v>
      </c>
      <c r="G257" s="1108">
        <v>2018</v>
      </c>
      <c r="H257" s="1108">
        <v>2017</v>
      </c>
      <c r="I257" s="1108">
        <v>2016</v>
      </c>
      <c r="J257" s="1108">
        <v>2015</v>
      </c>
      <c r="K257" s="1108">
        <v>2014</v>
      </c>
      <c r="L257" s="1108">
        <v>2013</v>
      </c>
      <c r="M257" s="1108">
        <v>2012</v>
      </c>
      <c r="N257" s="1109">
        <v>2011</v>
      </c>
    </row>
    <row r="258" spans="2:14">
      <c r="B258" s="554" t="s">
        <v>618</v>
      </c>
      <c r="C258" s="492">
        <f>-C8/C6</f>
        <v>0.22845188284518828</v>
      </c>
      <c r="D258" s="1183">
        <f>-D8/D6</f>
        <v>0.22810394610202117</v>
      </c>
      <c r="E258" s="1185" t="s">
        <v>69</v>
      </c>
      <c r="F258" s="456">
        <f t="shared" ref="F258:N258" si="77">-F8/F6</f>
        <v>0.24404194470924689</v>
      </c>
      <c r="G258" s="456">
        <f t="shared" si="77"/>
        <v>0.22676896845694799</v>
      </c>
      <c r="H258" s="456">
        <f t="shared" si="77"/>
        <v>0.252</v>
      </c>
      <c r="I258" s="456">
        <f t="shared" si="77"/>
        <v>0.22330097087378642</v>
      </c>
      <c r="J258" s="456">
        <f t="shared" si="77"/>
        <v>0.19243754220121539</v>
      </c>
      <c r="K258" s="456">
        <f t="shared" si="77"/>
        <v>0.19584736251402918</v>
      </c>
      <c r="L258" s="456">
        <f t="shared" si="77"/>
        <v>0.18592528236316247</v>
      </c>
      <c r="M258" s="456">
        <f t="shared" si="77"/>
        <v>0.20701932858596134</v>
      </c>
      <c r="N258" s="457">
        <f t="shared" si="77"/>
        <v>0.2066625539790253</v>
      </c>
    </row>
    <row r="260" spans="2:14">
      <c r="B260" s="1188" t="s">
        <v>513</v>
      </c>
      <c r="C260" s="1187">
        <f>AVERAGE(C258:N258)</f>
        <v>0.21732361660278041</v>
      </c>
      <c r="E260" s="732" t="s">
        <v>534</v>
      </c>
      <c r="F260" s="458">
        <v>0.23499999999999999</v>
      </c>
      <c r="G260" s="1536" t="s">
        <v>619</v>
      </c>
    </row>
    <row r="261" spans="2:14">
      <c r="B261" s="410" t="s">
        <v>592</v>
      </c>
      <c r="C261" s="446">
        <f>AVERAGE(C258:D258,F258:G258)</f>
        <v>0.2318416855283511</v>
      </c>
      <c r="E261" s="733" t="s">
        <v>536</v>
      </c>
      <c r="F261" s="514">
        <v>0.23</v>
      </c>
      <c r="G261" s="1533"/>
    </row>
    <row r="262" spans="2:14">
      <c r="B262" s="414" t="s">
        <v>593</v>
      </c>
      <c r="C262" s="1100">
        <f>AVERAGE(C258:D258)</f>
        <v>0.22827791447360474</v>
      </c>
    </row>
  </sheetData>
  <mergeCells count="12">
    <mergeCell ref="D228:D229"/>
    <mergeCell ref="G172:G173"/>
    <mergeCell ref="G21:H21"/>
    <mergeCell ref="G77:G78"/>
    <mergeCell ref="G260:G261"/>
    <mergeCell ref="G94:G95"/>
    <mergeCell ref="G187:G188"/>
    <mergeCell ref="B145:E145"/>
    <mergeCell ref="B214:D214"/>
    <mergeCell ref="F214:H214"/>
    <mergeCell ref="G127:G128"/>
    <mergeCell ref="G202:G203"/>
  </mergeCells>
  <conditionalFormatting sqref="C110:N110">
    <cfRule type="colorScale" priority="4">
      <colorScale>
        <cfvo type="min"/>
        <cfvo type="percentile" val="50"/>
        <cfvo type="max"/>
        <color rgb="FF63BE7B"/>
        <color rgb="FFFFEB84"/>
        <color rgb="FFF8696B"/>
      </colorScale>
    </cfRule>
  </conditionalFormatting>
  <conditionalFormatting sqref="C111:N111">
    <cfRule type="colorScale" priority="5">
      <colorScale>
        <cfvo type="min"/>
        <cfvo type="percentile" val="50"/>
        <cfvo type="max"/>
        <color rgb="FF63BE7B"/>
        <color rgb="FFFFEB84"/>
        <color rgb="FFF8696B"/>
      </colorScale>
    </cfRule>
  </conditionalFormatting>
  <conditionalFormatting sqref="C112:N112">
    <cfRule type="colorScale" priority="3">
      <colorScale>
        <cfvo type="min"/>
        <cfvo type="percentile" val="50"/>
        <cfvo type="max"/>
        <color rgb="FF63BE7B"/>
        <color rgb="FFFFEB84"/>
        <color rgb="FFF8696B"/>
      </colorScale>
    </cfRule>
  </conditionalFormatting>
  <conditionalFormatting sqref="C124:N124 C113:N113">
    <cfRule type="colorScale" priority="2">
      <colorScale>
        <cfvo type="min"/>
        <cfvo type="percentile" val="50"/>
        <cfvo type="max"/>
        <color rgb="FF63BE7B"/>
        <color rgb="FFFFEB84"/>
        <color rgb="FFF8696B"/>
      </colorScale>
    </cfRule>
  </conditionalFormatting>
  <conditionalFormatting sqref="C125:N125">
    <cfRule type="colorScale" priority="1">
      <colorScale>
        <cfvo type="min"/>
        <cfvo type="percentile" val="50"/>
        <cfvo type="max"/>
        <color rgb="FF63BE7B"/>
        <color rgb="FFFFEB84"/>
        <color rgb="FFF8696B"/>
      </colorScale>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IB88"/>
  <sheetViews>
    <sheetView topLeftCell="A34" workbookViewId="0">
      <selection activeCell="C84" sqref="C84"/>
    </sheetView>
  </sheetViews>
  <sheetFormatPr defaultColWidth="11.42578125" defaultRowHeight="12"/>
  <cols>
    <col min="1" max="1" width="36.140625" style="42" customWidth="1"/>
    <col min="2" max="10" width="12.42578125" style="42" customWidth="1"/>
    <col min="11" max="12" width="12.42578125" style="50" customWidth="1"/>
    <col min="13" max="13" width="12.140625" style="50" bestFit="1" customWidth="1"/>
    <col min="14" max="16384" width="11.42578125" style="41"/>
  </cols>
  <sheetData>
    <row r="1" spans="1:14" ht="15.75">
      <c r="A1" s="1545" t="e" vm="1">
        <f>Inputs!H3</f>
        <v>#VALUE!</v>
      </c>
      <c r="B1" s="1545"/>
      <c r="C1" s="1545"/>
      <c r="D1" s="1545"/>
      <c r="E1" s="1545"/>
      <c r="F1" s="1545"/>
      <c r="G1" s="1545"/>
      <c r="H1" s="1545"/>
      <c r="I1" s="1545"/>
      <c r="J1" s="1545"/>
      <c r="K1" s="1545"/>
      <c r="L1" s="1545"/>
      <c r="M1" s="1545"/>
    </row>
    <row r="2" spans="1:14" ht="12" customHeight="1">
      <c r="A2" s="1546" t="str">
        <f>Inputs!G2</f>
        <v>Figures in Millions of Swiss Francs</v>
      </c>
      <c r="B2" s="1546"/>
      <c r="C2" s="1546"/>
      <c r="D2" s="1546"/>
      <c r="E2" s="1546"/>
      <c r="F2" s="1546"/>
      <c r="G2" s="1546"/>
      <c r="H2" s="1546"/>
      <c r="I2" s="1546"/>
      <c r="J2" s="1546"/>
      <c r="K2" s="1546"/>
      <c r="L2" s="1546"/>
      <c r="M2" s="1546"/>
    </row>
    <row r="3" spans="1:14" ht="20.25">
      <c r="A3" s="1544" t="s">
        <v>620</v>
      </c>
      <c r="B3" s="1544"/>
      <c r="C3" s="1544"/>
      <c r="D3" s="1544"/>
      <c r="E3" s="1544"/>
      <c r="F3" s="1544"/>
      <c r="G3" s="1544"/>
      <c r="H3" s="1544"/>
      <c r="I3" s="1544"/>
      <c r="J3" s="1544"/>
      <c r="K3" s="1544"/>
      <c r="L3" s="1544"/>
      <c r="M3" s="1544"/>
    </row>
    <row r="4" spans="1:14">
      <c r="A4" s="51"/>
      <c r="B4" s="52">
        <f>OP!J20</f>
        <v>2022</v>
      </c>
      <c r="C4" s="43">
        <f>B4-1</f>
        <v>2021</v>
      </c>
      <c r="D4" s="43">
        <f t="shared" ref="D4:M4" si="0">C4-1</f>
        <v>2020</v>
      </c>
      <c r="E4" s="43">
        <f t="shared" si="0"/>
        <v>2019</v>
      </c>
      <c r="F4" s="43">
        <f t="shared" si="0"/>
        <v>2018</v>
      </c>
      <c r="G4" s="43">
        <f t="shared" si="0"/>
        <v>2017</v>
      </c>
      <c r="H4" s="43">
        <f t="shared" si="0"/>
        <v>2016</v>
      </c>
      <c r="I4" s="43">
        <f t="shared" si="0"/>
        <v>2015</v>
      </c>
      <c r="J4" s="43">
        <f t="shared" si="0"/>
        <v>2014</v>
      </c>
      <c r="K4" s="43">
        <f t="shared" si="0"/>
        <v>2013</v>
      </c>
      <c r="L4" s="43">
        <f t="shared" si="0"/>
        <v>2012</v>
      </c>
      <c r="M4" s="43">
        <f t="shared" si="0"/>
        <v>2011</v>
      </c>
      <c r="N4" s="46"/>
    </row>
    <row r="5" spans="1:14" ht="12.75">
      <c r="A5" s="53" t="s">
        <v>123</v>
      </c>
      <c r="B5" s="54">
        <f>_xlfn.XLOOKUP($A5,Inputs!$A:$A,Inputs!B:B,,0)</f>
        <v>7499</v>
      </c>
      <c r="C5" s="54">
        <f>_xlfn.XLOOKUP($A5,Inputs!$A:$A,Inputs!C:C,,0)</f>
        <v>7313</v>
      </c>
      <c r="D5" s="54">
        <f>_xlfn.XLOOKUP($A5,Inputs!$A:$A,Inputs!D:D,,0)</f>
        <v>5595</v>
      </c>
      <c r="E5" s="54">
        <f>_xlfn.XLOOKUP($A5,Inputs!$A:$A,Inputs!E:E,,0)</f>
        <v>8243</v>
      </c>
      <c r="F5" s="54">
        <f>_xlfn.XLOOKUP($A5,Inputs!$A:$A,Inputs!F:F,,0)</f>
        <v>8475</v>
      </c>
      <c r="G5" s="54">
        <f>_xlfn.XLOOKUP($A5,Inputs!$A:$A,Inputs!G:G,,0)</f>
        <v>7989</v>
      </c>
      <c r="H5" s="54">
        <f>_xlfn.XLOOKUP($A5,Inputs!$A:$A,Inputs!H:H,,0)</f>
        <v>7553</v>
      </c>
      <c r="I5" s="54">
        <f>_xlfn.XLOOKUP($A5,Inputs!$A:$A,Inputs!I:I,,0)</f>
        <v>8451</v>
      </c>
      <c r="J5" s="54">
        <f>_xlfn.XLOOKUP($A5,Inputs!$A:$A,Inputs!J:J,,0)</f>
        <v>8709</v>
      </c>
      <c r="K5" s="54">
        <f>_xlfn.XLOOKUP($A5,Inputs!$A:$A,Inputs!K:K,,0)</f>
        <v>8456</v>
      </c>
      <c r="L5" s="54">
        <f>_xlfn.XLOOKUP($A5,Inputs!$A:$A,Inputs!L:L,,0)</f>
        <v>7796</v>
      </c>
      <c r="M5" s="55">
        <f>_xlfn.XLOOKUP($A5,Inputs!$A:$A,Inputs!M:M,,0)</f>
        <v>6852</v>
      </c>
      <c r="N5" s="46"/>
    </row>
    <row r="6" spans="1:14" ht="12.75">
      <c r="A6" s="56" t="s">
        <v>621</v>
      </c>
      <c r="B6" s="57">
        <f t="shared" ref="B6:M6" si="1">IFERROR(B5/C5-1,"-")</f>
        <v>2.5434158348147218E-2</v>
      </c>
      <c r="C6" s="57">
        <f t="shared" si="1"/>
        <v>0.30705987488829312</v>
      </c>
      <c r="D6" s="57">
        <f t="shared" si="1"/>
        <v>-0.32124226616523111</v>
      </c>
      <c r="E6" s="57">
        <f t="shared" si="1"/>
        <v>-2.7374631268436533E-2</v>
      </c>
      <c r="F6" s="57">
        <f t="shared" si="1"/>
        <v>6.083364626361254E-2</v>
      </c>
      <c r="G6" s="57">
        <f t="shared" si="1"/>
        <v>5.7725407122997563E-2</v>
      </c>
      <c r="H6" s="57">
        <f t="shared" si="1"/>
        <v>-0.10625961424683472</v>
      </c>
      <c r="I6" s="57">
        <f t="shared" si="1"/>
        <v>-2.9624526352049596E-2</v>
      </c>
      <c r="J6" s="57">
        <f t="shared" si="1"/>
        <v>2.9919583727530785E-2</v>
      </c>
      <c r="K6" s="57">
        <f t="shared" si="1"/>
        <v>8.4658799384299543E-2</v>
      </c>
      <c r="L6" s="57">
        <f t="shared" si="1"/>
        <v>0.1377699941622883</v>
      </c>
      <c r="M6" s="58" t="str">
        <f t="shared" si="1"/>
        <v>-</v>
      </c>
      <c r="N6" s="46"/>
    </row>
    <row r="7" spans="1:14" ht="12.75">
      <c r="A7" s="53" t="s">
        <v>622</v>
      </c>
      <c r="B7" s="54">
        <f>_xlfn.XLOOKUP($A7,Inputs!$A:$A,Inputs!B:B,,0)</f>
        <v>5652</v>
      </c>
      <c r="C7" s="54">
        <f>_xlfn.XLOOKUP($A7,Inputs!$A:$A,Inputs!C:C,,0)</f>
        <v>5789</v>
      </c>
      <c r="D7" s="54">
        <f>_xlfn.XLOOKUP($A7,Inputs!$A:$A,Inputs!D:D,,0)</f>
        <v>4612</v>
      </c>
      <c r="E7" s="54">
        <f>_xlfn.XLOOKUP($A7,Inputs!$A:$A,Inputs!E:E,,0)</f>
        <v>6643</v>
      </c>
      <c r="F7" s="54">
        <f>_xlfn.XLOOKUP($A7,Inputs!$A:$A,Inputs!F:F,,0)</f>
        <v>6249</v>
      </c>
      <c r="G7" s="54">
        <f>_xlfn.XLOOKUP($A7,Inputs!$A:$A,Inputs!G:G,,0)</f>
        <v>6254</v>
      </c>
      <c r="H7" s="54">
        <f>_xlfn.XLOOKUP($A7,Inputs!$A:$A,Inputs!H:H,,0)</f>
        <v>5911</v>
      </c>
      <c r="I7" s="54">
        <f>_xlfn.XLOOKUP($A7,Inputs!$A:$A,Inputs!I:I,,0)</f>
        <v>6450</v>
      </c>
      <c r="J7" s="54">
        <f>_xlfn.XLOOKUP($A7,Inputs!$A:$A,Inputs!J:J,,0)</f>
        <v>6469</v>
      </c>
      <c r="K7" s="54">
        <f>_xlfn.XLOOKUP($A7,Inputs!$A:$A,Inputs!K:K,,0)</f>
        <v>6000</v>
      </c>
      <c r="L7" s="54">
        <f>_xlfn.XLOOKUP($A7,Inputs!$A:$A,Inputs!L:L,,0)</f>
        <v>5440</v>
      </c>
      <c r="M7" s="55">
        <f>_xlfn.XLOOKUP($A7,Inputs!$A:$A,Inputs!M:M,,0)</f>
        <v>4631</v>
      </c>
      <c r="N7" s="46"/>
    </row>
    <row r="8" spans="1:14" ht="12.75">
      <c r="A8" s="56" t="s">
        <v>623</v>
      </c>
      <c r="B8" s="57">
        <f>IFERROR(B7/B$5,"-")</f>
        <v>0.75370049339911993</v>
      </c>
      <c r="C8" s="57">
        <f t="shared" ref="C8:M8" si="2">IFERROR(C7/C$5,"-")</f>
        <v>0.79160399288937511</v>
      </c>
      <c r="D8" s="57">
        <f t="shared" si="2"/>
        <v>0.82430741733690793</v>
      </c>
      <c r="E8" s="57">
        <f t="shared" si="2"/>
        <v>0.80589591168263985</v>
      </c>
      <c r="F8" s="57">
        <f t="shared" si="2"/>
        <v>0.73734513274336289</v>
      </c>
      <c r="G8" s="57">
        <f t="shared" si="2"/>
        <v>0.78282638628113654</v>
      </c>
      <c r="H8" s="57">
        <f t="shared" si="2"/>
        <v>0.78260293922944524</v>
      </c>
      <c r="I8" s="57">
        <f t="shared" si="2"/>
        <v>0.76322328718494847</v>
      </c>
      <c r="J8" s="57">
        <f t="shared" si="2"/>
        <v>0.74279480996670111</v>
      </c>
      <c r="K8" s="57">
        <f t="shared" si="2"/>
        <v>0.70955534531693476</v>
      </c>
      <c r="L8" s="57">
        <f t="shared" si="2"/>
        <v>0.69779374037968189</v>
      </c>
      <c r="M8" s="58">
        <f t="shared" si="2"/>
        <v>0.67586106246351429</v>
      </c>
      <c r="N8" s="46"/>
    </row>
    <row r="9" spans="1:14" ht="12.75">
      <c r="A9" s="53" t="s">
        <v>624</v>
      </c>
      <c r="B9" s="54">
        <f t="shared" ref="B9:M9" si="3">B5-B11</f>
        <v>6341</v>
      </c>
      <c r="C9" s="54">
        <f t="shared" si="3"/>
        <v>6292</v>
      </c>
      <c r="D9" s="54">
        <f t="shared" si="3"/>
        <v>5543</v>
      </c>
      <c r="E9" s="54">
        <f t="shared" si="3"/>
        <v>7220</v>
      </c>
      <c r="F9" s="54">
        <f t="shared" si="3"/>
        <v>7321</v>
      </c>
      <c r="G9" s="54">
        <f t="shared" si="3"/>
        <v>6987</v>
      </c>
      <c r="H9" s="54">
        <f t="shared" si="3"/>
        <v>6748</v>
      </c>
      <c r="I9" s="54">
        <f t="shared" si="3"/>
        <v>7000</v>
      </c>
      <c r="J9" s="54">
        <f t="shared" si="3"/>
        <v>6957</v>
      </c>
      <c r="K9" s="54">
        <f t="shared" si="3"/>
        <v>6142</v>
      </c>
      <c r="L9" s="54">
        <f t="shared" si="3"/>
        <v>5818</v>
      </c>
      <c r="M9" s="55">
        <f t="shared" si="3"/>
        <v>5238</v>
      </c>
      <c r="N9" s="46"/>
    </row>
    <row r="10" spans="1:14" ht="12.75">
      <c r="A10" s="56" t="s">
        <v>623</v>
      </c>
      <c r="B10" s="57">
        <f>IFERROR(B9/B$5,"-")</f>
        <v>0.8455794105880784</v>
      </c>
      <c r="C10" s="57">
        <f t="shared" ref="C10:M10" si="4">IFERROR(C9/C$5,"-")</f>
        <v>0.86038561465882679</v>
      </c>
      <c r="D10" s="57">
        <f t="shared" si="4"/>
        <v>0.99070598748882932</v>
      </c>
      <c r="E10" s="57">
        <f t="shared" si="4"/>
        <v>0.87589469853208779</v>
      </c>
      <c r="F10" s="57">
        <f t="shared" si="4"/>
        <v>0.86383480825958703</v>
      </c>
      <c r="G10" s="57">
        <f t="shared" si="4"/>
        <v>0.87457754412316935</v>
      </c>
      <c r="H10" s="57">
        <f t="shared" si="4"/>
        <v>0.8934198331788693</v>
      </c>
      <c r="I10" s="57">
        <f t="shared" si="4"/>
        <v>0.82830434268133946</v>
      </c>
      <c r="J10" s="57">
        <f t="shared" si="4"/>
        <v>0.79882879779538407</v>
      </c>
      <c r="K10" s="57">
        <f t="shared" si="4"/>
        <v>0.72634815515610218</v>
      </c>
      <c r="L10" s="57">
        <f t="shared" si="4"/>
        <v>0.74628014366341711</v>
      </c>
      <c r="M10" s="58">
        <f t="shared" si="4"/>
        <v>0.76444833625218911</v>
      </c>
      <c r="N10" s="46"/>
    </row>
    <row r="11" spans="1:14" ht="12.75">
      <c r="A11" s="53" t="s">
        <v>282</v>
      </c>
      <c r="B11" s="54">
        <f>_xlfn.XLOOKUP($A11,Inputs!$A:$A,Inputs!B:B,,0)</f>
        <v>1158</v>
      </c>
      <c r="C11" s="54">
        <f>_xlfn.XLOOKUP($A11,Inputs!$A:$A,Inputs!C:C,,0)</f>
        <v>1021</v>
      </c>
      <c r="D11" s="54">
        <f>_xlfn.XLOOKUP($A11,Inputs!$A:$A,Inputs!D:D,,0)</f>
        <v>52</v>
      </c>
      <c r="E11" s="54">
        <f>_xlfn.XLOOKUP($A11,Inputs!$A:$A,Inputs!E:E,,0)</f>
        <v>1023</v>
      </c>
      <c r="F11" s="54">
        <f>_xlfn.XLOOKUP($A11,Inputs!$A:$A,Inputs!F:F,,0)</f>
        <v>1154</v>
      </c>
      <c r="G11" s="54">
        <f>_xlfn.XLOOKUP($A11,Inputs!$A:$A,Inputs!G:G,,0)</f>
        <v>1002</v>
      </c>
      <c r="H11" s="54">
        <f>_xlfn.XLOOKUP($A11,Inputs!$A:$A,Inputs!H:H,,0)</f>
        <v>805</v>
      </c>
      <c r="I11" s="54">
        <f>_xlfn.XLOOKUP($A11,Inputs!$A:$A,Inputs!I:I,,0)</f>
        <v>1451</v>
      </c>
      <c r="J11" s="54">
        <f>_xlfn.XLOOKUP($A11,Inputs!$A:$A,Inputs!J:J,,0)</f>
        <v>1752</v>
      </c>
      <c r="K11" s="54">
        <f>_xlfn.XLOOKUP($A11,Inputs!$A:$A,Inputs!K:K,,0)</f>
        <v>2314</v>
      </c>
      <c r="L11" s="54">
        <f>_xlfn.XLOOKUP($A11,Inputs!$A:$A,Inputs!L:L,,0)</f>
        <v>1978</v>
      </c>
      <c r="M11" s="55">
        <f>_xlfn.XLOOKUP($A11,Inputs!$A:$A,Inputs!M:M,,0)</f>
        <v>1614</v>
      </c>
      <c r="N11" s="46"/>
    </row>
    <row r="12" spans="1:14" ht="12.75">
      <c r="A12" s="56" t="s">
        <v>623</v>
      </c>
      <c r="B12" s="57">
        <f t="shared" ref="B12:M12" si="5">IFERROR(B11/B$5,"-")</f>
        <v>0.15442058941192158</v>
      </c>
      <c r="C12" s="57">
        <f t="shared" si="5"/>
        <v>0.13961438534117326</v>
      </c>
      <c r="D12" s="57">
        <f t="shared" si="5"/>
        <v>9.2940125111706882E-3</v>
      </c>
      <c r="E12" s="57">
        <f t="shared" si="5"/>
        <v>0.12410530146791217</v>
      </c>
      <c r="F12" s="57">
        <f t="shared" si="5"/>
        <v>0.13616519174041297</v>
      </c>
      <c r="G12" s="57">
        <f t="shared" si="5"/>
        <v>0.12542245587683065</v>
      </c>
      <c r="H12" s="57">
        <f t="shared" si="5"/>
        <v>0.10658016682113068</v>
      </c>
      <c r="I12" s="57">
        <f t="shared" si="5"/>
        <v>0.17169565731866052</v>
      </c>
      <c r="J12" s="57">
        <f t="shared" si="5"/>
        <v>0.2011712022046159</v>
      </c>
      <c r="K12" s="57">
        <f t="shared" si="5"/>
        <v>0.27365184484389782</v>
      </c>
      <c r="L12" s="57">
        <f t="shared" si="5"/>
        <v>0.25371985633658284</v>
      </c>
      <c r="M12" s="58">
        <f t="shared" si="5"/>
        <v>0.23555166374781086</v>
      </c>
      <c r="N12" s="46"/>
    </row>
    <row r="13" spans="1:14" ht="12.75">
      <c r="A13" s="53" t="s">
        <v>625</v>
      </c>
      <c r="B13" s="57">
        <f t="shared" ref="B13:M13" si="6">IFERROR(B12/C12-1,"-")</f>
        <v>0.10605070555277418</v>
      </c>
      <c r="C13" s="57">
        <f t="shared" si="6"/>
        <v>14.021970884305084</v>
      </c>
      <c r="D13" s="57">
        <f t="shared" si="6"/>
        <v>-0.92511188159376345</v>
      </c>
      <c r="E13" s="57">
        <f t="shared" si="6"/>
        <v>-8.8568084973521977E-2</v>
      </c>
      <c r="F13" s="57">
        <f t="shared" si="6"/>
        <v>8.5652411990178701E-2</v>
      </c>
      <c r="G13" s="57">
        <f t="shared" si="6"/>
        <v>0.17678982514000241</v>
      </c>
      <c r="H13" s="57">
        <f t="shared" si="6"/>
        <v>-0.37924949014102316</v>
      </c>
      <c r="I13" s="57">
        <f t="shared" si="6"/>
        <v>-0.14651970343138443</v>
      </c>
      <c r="J13" s="57">
        <f t="shared" si="6"/>
        <v>-0.26486443999903542</v>
      </c>
      <c r="K13" s="57">
        <f t="shared" si="6"/>
        <v>7.8559040648648937E-2</v>
      </c>
      <c r="L13" s="57">
        <f t="shared" si="6"/>
        <v>7.7130393815530107E-2</v>
      </c>
      <c r="M13" s="58" t="str">
        <f t="shared" si="6"/>
        <v>-</v>
      </c>
      <c r="N13" s="46"/>
    </row>
    <row r="14" spans="1:14" ht="12.75">
      <c r="A14" s="59" t="s">
        <v>283</v>
      </c>
      <c r="B14" s="54">
        <f>_xlfn.XLOOKUP($A14,Inputs!$A:$A,Inputs!B:B,,0)</f>
        <v>-41</v>
      </c>
      <c r="C14" s="54">
        <f>_xlfn.XLOOKUP($A14,Inputs!$A:$A,Inputs!C:C,,0)</f>
        <v>-1</v>
      </c>
      <c r="D14" s="54">
        <f>_xlfn.XLOOKUP($A14,Inputs!$A:$A,Inputs!D:D,,0)</f>
        <v>-6</v>
      </c>
      <c r="E14" s="54">
        <f>_xlfn.XLOOKUP($A14,Inputs!$A:$A,Inputs!E:E,,0)</f>
        <v>-11</v>
      </c>
      <c r="F14" s="54">
        <f>_xlfn.XLOOKUP($A14,Inputs!$A:$A,Inputs!F:F,,0)</f>
        <v>-24</v>
      </c>
      <c r="G14" s="54">
        <f>_xlfn.XLOOKUP($A14,Inputs!$A:$A,Inputs!G:G,,0)</f>
        <v>-19</v>
      </c>
      <c r="H14" s="54">
        <f>_xlfn.XLOOKUP($A14,Inputs!$A:$A,Inputs!H:H,,0)</f>
        <v>-28</v>
      </c>
      <c r="I14" s="54">
        <f>_xlfn.XLOOKUP($A14,Inputs!$A:$A,Inputs!I:I,,0)</f>
        <v>-47</v>
      </c>
      <c r="J14" s="54">
        <f>_xlfn.XLOOKUP($A14,Inputs!$A:$A,Inputs!J:J,,0)</f>
        <v>11</v>
      </c>
      <c r="K14" s="54">
        <f>_xlfn.XLOOKUP($A14,Inputs!$A:$A,Inputs!K:K,,0)</f>
        <v>23</v>
      </c>
      <c r="L14" s="54">
        <f>_xlfn.XLOOKUP($A14,Inputs!$A:$A,Inputs!L:L,,0)</f>
        <v>13</v>
      </c>
      <c r="M14" s="55">
        <f>_xlfn.XLOOKUP($A14,Inputs!$A:$A,Inputs!M:M,,0)</f>
        <v>-3</v>
      </c>
      <c r="N14" s="46"/>
    </row>
    <row r="15" spans="1:14" ht="12.75">
      <c r="A15" s="53" t="s">
        <v>626</v>
      </c>
      <c r="B15" s="54">
        <f>_xlfn.XLOOKUP($A15,Inputs!$A:$A,Inputs!B:B,,0)</f>
        <v>-37</v>
      </c>
      <c r="C15" s="54">
        <f>_xlfn.XLOOKUP($A15,Inputs!$A:$A,Inputs!C:C,,0)</f>
        <v>-18</v>
      </c>
      <c r="D15" s="54">
        <f>_xlfn.XLOOKUP($A15,Inputs!$A:$A,Inputs!D:D,,0)</f>
        <v>-8</v>
      </c>
      <c r="E15" s="54">
        <f>_xlfn.XLOOKUP($A15,Inputs!$A:$A,Inputs!E:E,,0)</f>
        <v>-26</v>
      </c>
      <c r="F15" s="54">
        <f>_xlfn.XLOOKUP($A15,Inputs!$A:$A,Inputs!F:F,,0)</f>
        <v>-19</v>
      </c>
      <c r="G15" s="54">
        <f>_xlfn.XLOOKUP($A15,Inputs!$A:$A,Inputs!G:G,,0)</f>
        <v>2</v>
      </c>
      <c r="H15" s="54">
        <f>_xlfn.XLOOKUP($A15,Inputs!$A:$A,Inputs!H:H,,0)</f>
        <v>-19</v>
      </c>
      <c r="I15" s="54">
        <f>_xlfn.XLOOKUP($A15,Inputs!$A:$A,Inputs!I:I,,0)</f>
        <v>-30</v>
      </c>
      <c r="J15" s="54">
        <f>_xlfn.XLOOKUP($A15,Inputs!$A:$A,Inputs!J:J,,0)</f>
        <v>-30</v>
      </c>
      <c r="K15" s="54">
        <f>_xlfn.XLOOKUP($A15,Inputs!$A:$A,Inputs!K:K,,0)</f>
        <v>12</v>
      </c>
      <c r="L15" s="54">
        <f>_xlfn.XLOOKUP($A15,Inputs!$A:$A,Inputs!L:L,,0)</f>
        <v>12</v>
      </c>
      <c r="M15" s="55">
        <f>_xlfn.XLOOKUP($A15,Inputs!$A:$A,Inputs!M:M,,0)</f>
        <v>-7</v>
      </c>
      <c r="N15" s="46"/>
    </row>
    <row r="16" spans="1:14" ht="12.75">
      <c r="A16" s="59" t="s">
        <v>62</v>
      </c>
      <c r="B16" s="54">
        <f>B11-B15</f>
        <v>1195</v>
      </c>
      <c r="C16" s="54">
        <f t="shared" ref="C16:M16" si="7">C11-C15</f>
        <v>1039</v>
      </c>
      <c r="D16" s="54">
        <f t="shared" si="7"/>
        <v>60</v>
      </c>
      <c r="E16" s="54">
        <f t="shared" si="7"/>
        <v>1049</v>
      </c>
      <c r="F16" s="54">
        <f t="shared" si="7"/>
        <v>1173</v>
      </c>
      <c r="G16" s="54">
        <f t="shared" si="7"/>
        <v>1000</v>
      </c>
      <c r="H16" s="54">
        <f t="shared" si="7"/>
        <v>824</v>
      </c>
      <c r="I16" s="54">
        <f t="shared" si="7"/>
        <v>1481</v>
      </c>
      <c r="J16" s="54">
        <f t="shared" si="7"/>
        <v>1782</v>
      </c>
      <c r="K16" s="54">
        <f t="shared" si="7"/>
        <v>2302</v>
      </c>
      <c r="L16" s="54">
        <f t="shared" si="7"/>
        <v>1966</v>
      </c>
      <c r="M16" s="55">
        <f t="shared" si="7"/>
        <v>1621</v>
      </c>
      <c r="N16" s="46"/>
    </row>
    <row r="17" spans="1:14" ht="12.75">
      <c r="A17" s="53" t="s">
        <v>627</v>
      </c>
      <c r="B17" s="54">
        <f>'Fin. Data'!B18</f>
        <v>406</v>
      </c>
      <c r="C17" s="54">
        <f>'Fin. Data'!C18</f>
        <v>437</v>
      </c>
      <c r="D17" s="54">
        <f>'Fin. Data'!D18</f>
        <v>463</v>
      </c>
      <c r="E17" s="54">
        <f>'Fin. Data'!E18</f>
        <v>481</v>
      </c>
      <c r="F17" s="54">
        <f>'Fin. Data'!F18</f>
        <v>481</v>
      </c>
      <c r="G17" s="54">
        <f>'Fin. Data'!G18</f>
        <v>476</v>
      </c>
      <c r="H17" s="54">
        <f>'Fin. Data'!H18</f>
        <v>437</v>
      </c>
      <c r="I17" s="54">
        <f>'Fin. Data'!I18</f>
        <v>401</v>
      </c>
      <c r="J17" s="54">
        <f>'Fin. Data'!J18</f>
        <v>358</v>
      </c>
      <c r="K17" s="54">
        <f>'Fin. Data'!K18</f>
        <v>304</v>
      </c>
      <c r="L17" s="54">
        <f>'Fin. Data'!L18</f>
        <v>261</v>
      </c>
      <c r="M17" s="55">
        <f>'Fin. Data'!M18</f>
        <v>229</v>
      </c>
      <c r="N17" s="46"/>
    </row>
    <row r="18" spans="1:14" ht="12.75">
      <c r="A18" s="59" t="s">
        <v>628</v>
      </c>
      <c r="B18" s="54">
        <f>_xlfn.XLOOKUP($A18,Inputs!$A:$A,Inputs!B:B,,0)</f>
        <v>-54</v>
      </c>
      <c r="C18" s="54">
        <f>_xlfn.XLOOKUP($A18,Inputs!$A:$A,Inputs!C:C,,0)</f>
        <v>699</v>
      </c>
      <c r="D18" s="54">
        <f>_xlfn.XLOOKUP($A18,Inputs!$A:$A,Inputs!D:D,,0)</f>
        <v>-418</v>
      </c>
      <c r="E18" s="54">
        <f>_xlfn.XLOOKUP($A18,Inputs!$A:$A,Inputs!E:E,,0)</f>
        <v>120</v>
      </c>
      <c r="F18" s="54">
        <f>_xlfn.XLOOKUP($A18,Inputs!$A:$A,Inputs!F:F,,0)</f>
        <v>-135</v>
      </c>
      <c r="G18" s="54">
        <f>_xlfn.XLOOKUP($A18,Inputs!$A:$A,Inputs!G:G,,0)</f>
        <v>313</v>
      </c>
      <c r="H18" s="54">
        <f>_xlfn.XLOOKUP($A18,Inputs!$A:$A,Inputs!H:H,,0)</f>
        <v>-202</v>
      </c>
      <c r="I18" s="54">
        <f>_xlfn.XLOOKUP($A18,Inputs!$A:$A,Inputs!I:I,,0)</f>
        <v>368</v>
      </c>
      <c r="J18" s="54">
        <f>_xlfn.XLOOKUP($A18,Inputs!$A:$A,Inputs!J:J,,0)</f>
        <v>183</v>
      </c>
      <c r="K18" s="54">
        <f>_xlfn.XLOOKUP($A18,Inputs!$A:$A,Inputs!K:K,,0)</f>
        <v>1163</v>
      </c>
      <c r="L18" s="54">
        <f>_xlfn.XLOOKUP($A18,Inputs!$A:$A,Inputs!L:L,,0)</f>
        <v>1745</v>
      </c>
      <c r="M18" s="55" t="str">
        <f>_xlfn.XLOOKUP($A18,Inputs!$A:$A,Inputs!M:M,,0)</f>
        <v>-</v>
      </c>
      <c r="N18" s="46"/>
    </row>
    <row r="19" spans="1:14" ht="12.75">
      <c r="A19" s="53" t="s">
        <v>54</v>
      </c>
      <c r="B19" s="54">
        <f>B11-B15+B17</f>
        <v>1601</v>
      </c>
      <c r="C19" s="54">
        <f t="shared" ref="C19:M19" si="8">C11-C15+C17</f>
        <v>1476</v>
      </c>
      <c r="D19" s="54">
        <f t="shared" si="8"/>
        <v>523</v>
      </c>
      <c r="E19" s="54">
        <f t="shared" si="8"/>
        <v>1530</v>
      </c>
      <c r="F19" s="54">
        <f t="shared" si="8"/>
        <v>1654</v>
      </c>
      <c r="G19" s="54">
        <f t="shared" si="8"/>
        <v>1476</v>
      </c>
      <c r="H19" s="54">
        <f t="shared" si="8"/>
        <v>1261</v>
      </c>
      <c r="I19" s="54">
        <f t="shared" si="8"/>
        <v>1882</v>
      </c>
      <c r="J19" s="54">
        <f t="shared" si="8"/>
        <v>2140</v>
      </c>
      <c r="K19" s="54">
        <f t="shared" si="8"/>
        <v>2606</v>
      </c>
      <c r="L19" s="54">
        <f t="shared" si="8"/>
        <v>2227</v>
      </c>
      <c r="M19" s="55">
        <f t="shared" si="8"/>
        <v>1850</v>
      </c>
      <c r="N19" s="46"/>
    </row>
    <row r="20" spans="1:14" ht="12.75">
      <c r="A20" s="56" t="s">
        <v>623</v>
      </c>
      <c r="B20" s="57">
        <f t="shared" ref="B20:M20" si="9">IFERROR(B19/B$5,"-")</f>
        <v>0.21349513268435791</v>
      </c>
      <c r="C20" s="57">
        <f t="shared" si="9"/>
        <v>0.20183235334336114</v>
      </c>
      <c r="D20" s="57">
        <f t="shared" si="9"/>
        <v>9.3476318141197501E-2</v>
      </c>
      <c r="E20" s="57">
        <f t="shared" si="9"/>
        <v>0.18561203445347568</v>
      </c>
      <c r="F20" s="57">
        <f t="shared" si="9"/>
        <v>0.1951622418879056</v>
      </c>
      <c r="G20" s="57">
        <f t="shared" si="9"/>
        <v>0.18475403680060082</v>
      </c>
      <c r="H20" s="57">
        <f t="shared" si="9"/>
        <v>0.16695352839931152</v>
      </c>
      <c r="I20" s="57">
        <f t="shared" si="9"/>
        <v>0.2226955389894687</v>
      </c>
      <c r="J20" s="57">
        <f t="shared" si="9"/>
        <v>0.2457228154782409</v>
      </c>
      <c r="K20" s="57">
        <f t="shared" si="9"/>
        <v>0.30818353831598866</v>
      </c>
      <c r="L20" s="57">
        <f t="shared" si="9"/>
        <v>0.28565931246793225</v>
      </c>
      <c r="M20" s="58">
        <f t="shared" si="9"/>
        <v>0.26999416228838297</v>
      </c>
      <c r="N20" s="46"/>
    </row>
    <row r="21" spans="1:14" ht="12.75">
      <c r="A21" s="53" t="s">
        <v>284</v>
      </c>
      <c r="B21" s="54">
        <f>_xlfn.XLOOKUP($A21,Inputs!$A:$A,Inputs!B:B,,0)</f>
        <v>-273</v>
      </c>
      <c r="C21" s="54">
        <f>_xlfn.XLOOKUP($A21,Inputs!$A:$A,Inputs!C:C,,0)</f>
        <v>-237</v>
      </c>
      <c r="D21" s="54">
        <f>_xlfn.XLOOKUP($A21,Inputs!$A:$A,Inputs!D:D,,0)</f>
        <v>-89</v>
      </c>
      <c r="E21" s="54">
        <f>_xlfn.XLOOKUP($A21,Inputs!$A:$A,Inputs!E:E,,0)</f>
        <v>-256</v>
      </c>
      <c r="F21" s="54">
        <f>_xlfn.XLOOKUP($A21,Inputs!$A:$A,Inputs!F:F,,0)</f>
        <v>-266</v>
      </c>
      <c r="G21" s="54">
        <f>_xlfn.XLOOKUP($A21,Inputs!$A:$A,Inputs!G:G,,0)</f>
        <v>-252</v>
      </c>
      <c r="H21" s="54">
        <f>_xlfn.XLOOKUP($A21,Inputs!$A:$A,Inputs!H:H,,0)</f>
        <v>-184</v>
      </c>
      <c r="I21" s="54">
        <f>_xlfn.XLOOKUP($A21,Inputs!$A:$A,Inputs!I:I,,0)</f>
        <v>-285</v>
      </c>
      <c r="J21" s="54">
        <f>_xlfn.XLOOKUP($A21,Inputs!$A:$A,Inputs!J:J,,0)</f>
        <v>-349</v>
      </c>
      <c r="K21" s="54">
        <f>_xlfn.XLOOKUP($A21,Inputs!$A:$A,Inputs!K:K,,0)</f>
        <v>-428</v>
      </c>
      <c r="L21" s="54">
        <f>_xlfn.XLOOKUP($A21,Inputs!$A:$A,Inputs!L:L,,0)</f>
        <v>-407</v>
      </c>
      <c r="M21" s="55">
        <f>_xlfn.XLOOKUP($A21,Inputs!$A:$A,Inputs!M:M,,0)</f>
        <v>-335</v>
      </c>
      <c r="N21" s="46"/>
    </row>
    <row r="22" spans="1:14" ht="12.75">
      <c r="A22" s="56" t="s">
        <v>629</v>
      </c>
      <c r="B22" s="57">
        <f t="shared" ref="B22:M22" si="10">IFERROR(B21/B$5,"-")</f>
        <v>-3.6404853980530741E-2</v>
      </c>
      <c r="C22" s="57">
        <f t="shared" si="10"/>
        <v>-3.2408040475864895E-2</v>
      </c>
      <c r="D22" s="57">
        <f t="shared" si="10"/>
        <v>-1.5907059874888291E-2</v>
      </c>
      <c r="E22" s="57">
        <f t="shared" si="10"/>
        <v>-3.1056654130777628E-2</v>
      </c>
      <c r="F22" s="57">
        <f t="shared" si="10"/>
        <v>-3.1386430678466075E-2</v>
      </c>
      <c r="G22" s="57">
        <f t="shared" si="10"/>
        <v>-3.1543372136687946E-2</v>
      </c>
      <c r="H22" s="57">
        <f t="shared" si="10"/>
        <v>-2.4361180987687012E-2</v>
      </c>
      <c r="I22" s="57">
        <f t="shared" si="10"/>
        <v>-3.3723819666311682E-2</v>
      </c>
      <c r="J22" s="57">
        <f t="shared" si="10"/>
        <v>-4.0073487197152369E-2</v>
      </c>
      <c r="K22" s="57">
        <f t="shared" si="10"/>
        <v>-5.0614947965941341E-2</v>
      </c>
      <c r="L22" s="57">
        <f t="shared" si="10"/>
        <v>-5.2206259620318114E-2</v>
      </c>
      <c r="M22" s="58">
        <f t="shared" si="10"/>
        <v>-4.889083479276124E-2</v>
      </c>
      <c r="N22" s="46"/>
    </row>
    <row r="23" spans="1:14" ht="12.75">
      <c r="A23" s="53" t="s">
        <v>417</v>
      </c>
      <c r="B23" s="54">
        <f>_xlfn.XLOOKUP($A23,Inputs!$A:$A,Inputs!B:B,,0)</f>
        <v>807</v>
      </c>
      <c r="C23" s="54">
        <f>_xlfn.XLOOKUP($A23,Inputs!$A:$A,Inputs!C:C,,0)</f>
        <v>765</v>
      </c>
      <c r="D23" s="54">
        <f>_xlfn.XLOOKUP($A23,Inputs!$A:$A,Inputs!D:D,,0)</f>
        <v>-51</v>
      </c>
      <c r="E23" s="54">
        <f>_xlfn.XLOOKUP($A23,Inputs!$A:$A,Inputs!E:E,,0)</f>
        <v>730</v>
      </c>
      <c r="F23" s="54">
        <f>_xlfn.XLOOKUP($A23,Inputs!$A:$A,Inputs!F:F,,0)</f>
        <v>845</v>
      </c>
      <c r="G23" s="54">
        <f>_xlfn.XLOOKUP($A23,Inputs!$A:$A,Inputs!G:G,,0)</f>
        <v>733</v>
      </c>
      <c r="H23" s="54">
        <f>_xlfn.XLOOKUP($A23,Inputs!$A:$A,Inputs!H:H,,0)</f>
        <v>574</v>
      </c>
      <c r="I23" s="54">
        <f>_xlfn.XLOOKUP($A23,Inputs!$A:$A,Inputs!I:I,,0)</f>
        <v>1089</v>
      </c>
      <c r="J23" s="54">
        <f>_xlfn.XLOOKUP($A23,Inputs!$A:$A,Inputs!J:J,,0)</f>
        <v>1384</v>
      </c>
      <c r="K23" s="54">
        <f>_xlfn.XLOOKUP($A23,Inputs!$A:$A,Inputs!K:K,,0)</f>
        <v>1921</v>
      </c>
      <c r="L23" s="54">
        <f>_xlfn.XLOOKUP($A23,Inputs!$A:$A,Inputs!L:L,,0)</f>
        <v>1596</v>
      </c>
      <c r="M23" s="55">
        <f>_xlfn.XLOOKUP($A23,Inputs!$A:$A,Inputs!M:M,,0)</f>
        <v>1269</v>
      </c>
      <c r="N23" s="46"/>
    </row>
    <row r="24" spans="1:14" ht="12.75">
      <c r="A24" s="56" t="s">
        <v>623</v>
      </c>
      <c r="B24" s="57">
        <f t="shared" ref="B24:M24" si="11">IFERROR(B23/B$5,"-")</f>
        <v>0.10761434857981064</v>
      </c>
      <c r="C24" s="57">
        <f t="shared" si="11"/>
        <v>0.10460823191576644</v>
      </c>
      <c r="D24" s="57">
        <f t="shared" si="11"/>
        <v>-9.1152815013404824E-3</v>
      </c>
      <c r="E24" s="57">
        <f t="shared" si="11"/>
        <v>8.8559990294795582E-2</v>
      </c>
      <c r="F24" s="57">
        <f t="shared" si="11"/>
        <v>9.9705014749262535E-2</v>
      </c>
      <c r="G24" s="57">
        <f t="shared" si="11"/>
        <v>9.1751157842032791E-2</v>
      </c>
      <c r="H24" s="57">
        <f t="shared" si="11"/>
        <v>7.5996292863762749E-2</v>
      </c>
      <c r="I24" s="57">
        <f t="shared" si="11"/>
        <v>0.12886048988285409</v>
      </c>
      <c r="J24" s="57">
        <f t="shared" si="11"/>
        <v>0.15891606384200252</v>
      </c>
      <c r="K24" s="57">
        <f t="shared" si="11"/>
        <v>0.22717596972563861</v>
      </c>
      <c r="L24" s="57">
        <f t="shared" si="11"/>
        <v>0.20472036942021549</v>
      </c>
      <c r="M24" s="58">
        <f t="shared" si="11"/>
        <v>0.18520140105078808</v>
      </c>
      <c r="N24" s="46"/>
    </row>
    <row r="25" spans="1:14" ht="12.75">
      <c r="A25" s="53" t="s">
        <v>621</v>
      </c>
      <c r="B25" s="57">
        <f t="shared" ref="B25:M25" si="12">IFERROR(B24/C24-1,"-")</f>
        <v>2.8736903482555753E-2</v>
      </c>
      <c r="C25" s="57">
        <f t="shared" si="12"/>
        <v>-12.47613838370026</v>
      </c>
      <c r="D25" s="57">
        <f t="shared" si="12"/>
        <v>-1.1029277608432186</v>
      </c>
      <c r="E25" s="57">
        <f t="shared" si="12"/>
        <v>-0.11177997899598513</v>
      </c>
      <c r="F25" s="57">
        <f t="shared" si="12"/>
        <v>8.6689444518224246E-2</v>
      </c>
      <c r="G25" s="57">
        <f t="shared" si="12"/>
        <v>0.20731096721406561</v>
      </c>
      <c r="H25" s="57">
        <f t="shared" si="12"/>
        <v>-0.41024364463575846</v>
      </c>
      <c r="I25" s="57">
        <f t="shared" si="12"/>
        <v>-0.18912860809987264</v>
      </c>
      <c r="J25" s="57">
        <f t="shared" si="12"/>
        <v>-0.30047150658616695</v>
      </c>
      <c r="K25" s="57">
        <f t="shared" si="12"/>
        <v>0.10968913532649038</v>
      </c>
      <c r="L25" s="57">
        <f t="shared" si="12"/>
        <v>0.10539320036825583</v>
      </c>
      <c r="M25" s="58" t="str">
        <f t="shared" si="12"/>
        <v>-</v>
      </c>
      <c r="N25" s="46"/>
    </row>
    <row r="26" spans="1:14" ht="12.75">
      <c r="A26" s="56" t="s">
        <v>630</v>
      </c>
      <c r="B26" s="60">
        <f>B39-C39</f>
        <v>591</v>
      </c>
      <c r="C26" s="60">
        <f t="shared" ref="C26:M26" si="13">C39-D39</f>
        <v>5</v>
      </c>
      <c r="D26" s="60">
        <f t="shared" si="13"/>
        <v>250</v>
      </c>
      <c r="E26" s="60">
        <f t="shared" si="13"/>
        <v>165</v>
      </c>
      <c r="F26" s="60">
        <f t="shared" si="13"/>
        <v>-41</v>
      </c>
      <c r="G26" s="60">
        <f t="shared" si="13"/>
        <v>-66</v>
      </c>
      <c r="H26" s="60">
        <f t="shared" si="13"/>
        <v>-7</v>
      </c>
      <c r="I26" s="60">
        <f t="shared" si="13"/>
        <v>41</v>
      </c>
      <c r="J26" s="60">
        <f t="shared" si="13"/>
        <v>120</v>
      </c>
      <c r="K26" s="60">
        <f t="shared" si="13"/>
        <v>-451</v>
      </c>
      <c r="L26" s="60">
        <f t="shared" si="13"/>
        <v>-1067</v>
      </c>
      <c r="M26" s="61">
        <f t="shared" si="13"/>
        <v>1616</v>
      </c>
      <c r="N26" s="46"/>
    </row>
    <row r="27" spans="1:14" ht="12.75">
      <c r="A27" s="53" t="s">
        <v>134</v>
      </c>
      <c r="B27" s="54">
        <f>_xlfn.XLOOKUP($A27,Inputs!$A:$A,Inputs!B:B,,0)</f>
        <v>-300</v>
      </c>
      <c r="C27" s="54">
        <f>_xlfn.XLOOKUP($A27,Inputs!$A:$A,Inputs!C:C,,0)</f>
        <v>-196</v>
      </c>
      <c r="D27" s="54">
        <f>_xlfn.XLOOKUP($A27,Inputs!$A:$A,Inputs!D:D,,0)</f>
        <v>-295</v>
      </c>
      <c r="E27" s="54">
        <f>_xlfn.XLOOKUP($A27,Inputs!$A:$A,Inputs!E:E,,0)</f>
        <v>-430</v>
      </c>
      <c r="F27" s="54">
        <f>_xlfn.XLOOKUP($A27,Inputs!$A:$A,Inputs!F:F,,0)</f>
        <v>-413</v>
      </c>
      <c r="G27" s="54">
        <f>_xlfn.XLOOKUP($A27,Inputs!$A:$A,Inputs!G:G,,0)</f>
        <v>-374</v>
      </c>
      <c r="H27" s="54">
        <f>_xlfn.XLOOKUP($A27,Inputs!$A:$A,Inputs!H:H,,0)</f>
        <v>-439</v>
      </c>
      <c r="I27" s="54">
        <f>_xlfn.XLOOKUP($A27,Inputs!$A:$A,Inputs!I:I,,0)</f>
        <v>-431</v>
      </c>
      <c r="J27" s="54">
        <f>_xlfn.XLOOKUP($A27,Inputs!$A:$A,Inputs!J:J,,0)</f>
        <v>-421</v>
      </c>
      <c r="K27" s="54">
        <f>_xlfn.XLOOKUP($A27,Inputs!$A:$A,Inputs!K:K,,0)</f>
        <v>-371</v>
      </c>
      <c r="L27" s="54">
        <f>_xlfn.XLOOKUP($A27,Inputs!$A:$A,Inputs!L:L,,0)</f>
        <v>-316</v>
      </c>
      <c r="M27" s="55">
        <f>_xlfn.XLOOKUP($A27,Inputs!$A:$A,Inputs!M:M,,0)</f>
        <v>-270</v>
      </c>
      <c r="N27" s="46"/>
    </row>
    <row r="28" spans="1:14" ht="12.75">
      <c r="A28" s="59" t="s">
        <v>631</v>
      </c>
      <c r="B28" s="54">
        <f>_xlfn.XLOOKUP($A28,Inputs!$A:$A,Inputs!B:B,,0)</f>
        <v>-2</v>
      </c>
      <c r="C28" s="54">
        <f>_xlfn.XLOOKUP($A28,Inputs!$A:$A,Inputs!C:C,,0)</f>
        <v>-12</v>
      </c>
      <c r="D28" s="54">
        <f>_xlfn.XLOOKUP($A28,Inputs!$A:$A,Inputs!D:D,,0)</f>
        <v>0</v>
      </c>
      <c r="E28" s="54">
        <f>_xlfn.XLOOKUP($A28,Inputs!$A:$A,Inputs!E:E,,0)</f>
        <v>-35</v>
      </c>
      <c r="F28" s="54">
        <f>_xlfn.XLOOKUP($A28,Inputs!$A:$A,Inputs!F:F,,0)</f>
        <v>-391</v>
      </c>
      <c r="G28" s="54">
        <f>_xlfn.XLOOKUP($A28,Inputs!$A:$A,Inputs!G:G,,0)</f>
        <v>-204</v>
      </c>
      <c r="H28" s="54">
        <f>_xlfn.XLOOKUP($A28,Inputs!$A:$A,Inputs!H:H,,0)</f>
        <v>-332</v>
      </c>
      <c r="I28" s="54">
        <f>_xlfn.XLOOKUP($A28,Inputs!$A:$A,Inputs!I:I,,0)</f>
        <v>-29</v>
      </c>
      <c r="J28" s="54">
        <f>_xlfn.XLOOKUP($A28,Inputs!$A:$A,Inputs!J:J,,0)</f>
        <v>-107</v>
      </c>
      <c r="K28" s="54">
        <f>_xlfn.XLOOKUP($A28,Inputs!$A:$A,Inputs!K:K,,0)</f>
        <v>-2</v>
      </c>
      <c r="L28" s="54">
        <f>_xlfn.XLOOKUP($A28,Inputs!$A:$A,Inputs!L:L,,0)</f>
        <v>-2</v>
      </c>
      <c r="M28" s="55">
        <f>_xlfn.XLOOKUP($A28,Inputs!$A:$A,Inputs!M:M,,0)</f>
        <v>-54</v>
      </c>
      <c r="N28" s="46"/>
    </row>
    <row r="29" spans="1:14" ht="12.75">
      <c r="A29" s="53" t="s">
        <v>632</v>
      </c>
      <c r="B29" s="60">
        <f t="shared" ref="B29:M29" si="14">SUM(B26:B28)</f>
        <v>289</v>
      </c>
      <c r="C29" s="60">
        <f t="shared" si="14"/>
        <v>-203</v>
      </c>
      <c r="D29" s="60">
        <f t="shared" si="14"/>
        <v>-45</v>
      </c>
      <c r="E29" s="60">
        <f t="shared" si="14"/>
        <v>-300</v>
      </c>
      <c r="F29" s="60">
        <f t="shared" si="14"/>
        <v>-845</v>
      </c>
      <c r="G29" s="60">
        <f t="shared" si="14"/>
        <v>-644</v>
      </c>
      <c r="H29" s="60">
        <f t="shared" si="14"/>
        <v>-778</v>
      </c>
      <c r="I29" s="60">
        <f t="shared" si="14"/>
        <v>-419</v>
      </c>
      <c r="J29" s="60">
        <f t="shared" si="14"/>
        <v>-408</v>
      </c>
      <c r="K29" s="60">
        <f t="shared" si="14"/>
        <v>-824</v>
      </c>
      <c r="L29" s="60">
        <f t="shared" si="14"/>
        <v>-1385</v>
      </c>
      <c r="M29" s="61">
        <f t="shared" si="14"/>
        <v>1292</v>
      </c>
      <c r="N29" s="46"/>
    </row>
    <row r="30" spans="1:14" ht="12.75">
      <c r="A30" s="59" t="s">
        <v>633</v>
      </c>
      <c r="B30" s="60">
        <f t="shared" ref="B30:M30" si="15">+B29-(B58-C29)</f>
        <v>78</v>
      </c>
      <c r="C30" s="60">
        <f t="shared" si="15"/>
        <v>-255</v>
      </c>
      <c r="D30" s="60">
        <f t="shared" si="15"/>
        <v>-391</v>
      </c>
      <c r="E30" s="60">
        <f t="shared" si="15"/>
        <v>-1175</v>
      </c>
      <c r="F30" s="60">
        <f t="shared" si="15"/>
        <v>-1671</v>
      </c>
      <c r="G30" s="60">
        <f t="shared" si="15"/>
        <v>-1459</v>
      </c>
      <c r="H30" s="60">
        <f t="shared" si="15"/>
        <v>-1341</v>
      </c>
      <c r="I30" s="60">
        <f t="shared" si="15"/>
        <v>-866</v>
      </c>
      <c r="J30" s="60">
        <f t="shared" si="15"/>
        <v>-1275</v>
      </c>
      <c r="K30" s="60">
        <f t="shared" si="15"/>
        <v>-2259</v>
      </c>
      <c r="L30" s="60">
        <f t="shared" si="15"/>
        <v>-225</v>
      </c>
      <c r="M30" s="61">
        <f t="shared" si="15"/>
        <v>1219</v>
      </c>
      <c r="N30" s="46"/>
    </row>
    <row r="31" spans="1:14" ht="12.75">
      <c r="A31" s="53" t="s">
        <v>634</v>
      </c>
      <c r="B31" s="60">
        <f t="shared" ref="B31:M31" si="16">+B30+B33</f>
        <v>-1637</v>
      </c>
      <c r="C31" s="60">
        <f t="shared" si="16"/>
        <v>-834</v>
      </c>
      <c r="D31" s="60">
        <f t="shared" si="16"/>
        <v>-568</v>
      </c>
      <c r="E31" s="60">
        <f t="shared" si="16"/>
        <v>-1295</v>
      </c>
      <c r="F31" s="60">
        <f t="shared" si="16"/>
        <v>-2014</v>
      </c>
      <c r="G31" s="60">
        <f t="shared" si="16"/>
        <v>-1639</v>
      </c>
      <c r="H31" s="60">
        <f t="shared" si="16"/>
        <v>-1476</v>
      </c>
      <c r="I31" s="60">
        <f t="shared" si="16"/>
        <v>-1260</v>
      </c>
      <c r="J31" s="60">
        <f t="shared" si="16"/>
        <v>-1625</v>
      </c>
      <c r="K31" s="60">
        <f t="shared" si="16"/>
        <v>-2598</v>
      </c>
      <c r="L31" s="60">
        <f t="shared" si="16"/>
        <v>-463</v>
      </c>
      <c r="M31" s="61">
        <f t="shared" si="16"/>
        <v>938</v>
      </c>
      <c r="N31" s="46"/>
    </row>
    <row r="32" spans="1:14" ht="12.75">
      <c r="A32" s="59" t="s">
        <v>131</v>
      </c>
      <c r="B32" s="54">
        <f>_xlfn.XLOOKUP($A32,Inputs!$A:$A,Inputs!B:B,,0)</f>
        <v>-339</v>
      </c>
      <c r="C32" s="54">
        <f>_xlfn.XLOOKUP($A32,Inputs!$A:$A,Inputs!C:C,,0)</f>
        <v>-251</v>
      </c>
      <c r="D32" s="54">
        <f>_xlfn.XLOOKUP($A32,Inputs!$A:$A,Inputs!D:D,,0)</f>
        <v>-208</v>
      </c>
      <c r="E32" s="54">
        <f>_xlfn.XLOOKUP($A32,Inputs!$A:$A,Inputs!E:E,,0)</f>
        <v>-399</v>
      </c>
      <c r="F32" s="54">
        <f>_xlfn.XLOOKUP($A32,Inputs!$A:$A,Inputs!F:F,,0)</f>
        <v>-437</v>
      </c>
      <c r="G32" s="54">
        <f>_xlfn.XLOOKUP($A32,Inputs!$A:$A,Inputs!G:G,,0)</f>
        <v>-396</v>
      </c>
      <c r="H32" s="54">
        <f>_xlfn.XLOOKUP($A32,Inputs!$A:$A,Inputs!H:H,,0)</f>
        <v>-504</v>
      </c>
      <c r="I32" s="54">
        <f>_xlfn.XLOOKUP($A32,Inputs!$A:$A,Inputs!I:I,,0)</f>
        <v>-602</v>
      </c>
      <c r="J32" s="54">
        <f>_xlfn.XLOOKUP($A32,Inputs!$A:$A,Inputs!J:J,,0)</f>
        <v>-1040</v>
      </c>
      <c r="K32" s="54">
        <f>_xlfn.XLOOKUP($A32,Inputs!$A:$A,Inputs!K:K,,0)</f>
        <v>-574</v>
      </c>
      <c r="L32" s="54">
        <f>_xlfn.XLOOKUP($A32,Inputs!$A:$A,Inputs!L:L,,0)</f>
        <v>-438</v>
      </c>
      <c r="M32" s="55">
        <f>_xlfn.XLOOKUP($A32,Inputs!$A:$A,Inputs!M:M,,0)</f>
        <v>-365</v>
      </c>
      <c r="N32" s="46"/>
    </row>
    <row r="33" spans="1:14" ht="12.75">
      <c r="A33" s="53" t="s">
        <v>132</v>
      </c>
      <c r="B33" s="54">
        <f>_xlfn.XLOOKUP($A33,Inputs!$A:$A,Inputs!B:B,,0)</f>
        <v>-1715</v>
      </c>
      <c r="C33" s="54">
        <f>_xlfn.XLOOKUP($A33,Inputs!$A:$A,Inputs!C:C,,0)</f>
        <v>-579</v>
      </c>
      <c r="D33" s="54">
        <f>_xlfn.XLOOKUP($A33,Inputs!$A:$A,Inputs!D:D,,0)</f>
        <v>-177</v>
      </c>
      <c r="E33" s="54">
        <f>_xlfn.XLOOKUP($A33,Inputs!$A:$A,Inputs!E:E,,0)</f>
        <v>-120</v>
      </c>
      <c r="F33" s="54">
        <f>_xlfn.XLOOKUP($A33,Inputs!$A:$A,Inputs!F:F,,0)</f>
        <v>-343</v>
      </c>
      <c r="G33" s="54">
        <f>_xlfn.XLOOKUP($A33,Inputs!$A:$A,Inputs!G:G,,0)</f>
        <v>-180</v>
      </c>
      <c r="H33" s="54">
        <f>_xlfn.XLOOKUP($A33,Inputs!$A:$A,Inputs!H:H,,0)</f>
        <v>-135</v>
      </c>
      <c r="I33" s="54">
        <f>_xlfn.XLOOKUP($A33,Inputs!$A:$A,Inputs!I:I,,0)</f>
        <v>-394</v>
      </c>
      <c r="J33" s="54">
        <f>_xlfn.XLOOKUP($A33,Inputs!$A:$A,Inputs!J:J,,0)</f>
        <v>-350</v>
      </c>
      <c r="K33" s="54">
        <f>_xlfn.XLOOKUP($A33,Inputs!$A:$A,Inputs!K:K,,0)</f>
        <v>-339</v>
      </c>
      <c r="L33" s="54">
        <f>_xlfn.XLOOKUP($A33,Inputs!$A:$A,Inputs!L:L,,0)</f>
        <v>-238</v>
      </c>
      <c r="M33" s="55">
        <f>_xlfn.XLOOKUP($A33,Inputs!$A:$A,Inputs!M:M,,0)</f>
        <v>-281</v>
      </c>
      <c r="N33" s="46"/>
    </row>
    <row r="34" spans="1:14" ht="12.75">
      <c r="A34" s="56" t="s">
        <v>127</v>
      </c>
      <c r="B34" s="60">
        <f t="shared" ref="B34:M34" si="17">+B32+B33</f>
        <v>-2054</v>
      </c>
      <c r="C34" s="60">
        <f t="shared" si="17"/>
        <v>-830</v>
      </c>
      <c r="D34" s="60">
        <f t="shared" si="17"/>
        <v>-385</v>
      </c>
      <c r="E34" s="60">
        <f t="shared" si="17"/>
        <v>-519</v>
      </c>
      <c r="F34" s="60">
        <f t="shared" si="17"/>
        <v>-780</v>
      </c>
      <c r="G34" s="60">
        <f t="shared" si="17"/>
        <v>-576</v>
      </c>
      <c r="H34" s="60">
        <f t="shared" si="17"/>
        <v>-639</v>
      </c>
      <c r="I34" s="60">
        <f t="shared" si="17"/>
        <v>-996</v>
      </c>
      <c r="J34" s="60">
        <f t="shared" si="17"/>
        <v>-1390</v>
      </c>
      <c r="K34" s="60">
        <f t="shared" si="17"/>
        <v>-913</v>
      </c>
      <c r="L34" s="60">
        <f t="shared" si="17"/>
        <v>-676</v>
      </c>
      <c r="M34" s="61">
        <f t="shared" si="17"/>
        <v>-646</v>
      </c>
      <c r="N34" s="46"/>
    </row>
    <row r="35" spans="1:14" ht="12.75">
      <c r="A35" s="53" t="s">
        <v>125</v>
      </c>
      <c r="B35" s="60">
        <f t="shared" ref="B35:M35" si="18">+B27+B28</f>
        <v>-302</v>
      </c>
      <c r="C35" s="60">
        <f t="shared" si="18"/>
        <v>-208</v>
      </c>
      <c r="D35" s="60">
        <f t="shared" si="18"/>
        <v>-295</v>
      </c>
      <c r="E35" s="60">
        <f t="shared" si="18"/>
        <v>-465</v>
      </c>
      <c r="F35" s="60">
        <f t="shared" si="18"/>
        <v>-804</v>
      </c>
      <c r="G35" s="60">
        <f t="shared" si="18"/>
        <v>-578</v>
      </c>
      <c r="H35" s="60">
        <f t="shared" si="18"/>
        <v>-771</v>
      </c>
      <c r="I35" s="60">
        <f t="shared" si="18"/>
        <v>-460</v>
      </c>
      <c r="J35" s="60">
        <f t="shared" si="18"/>
        <v>-528</v>
      </c>
      <c r="K35" s="60">
        <f t="shared" si="18"/>
        <v>-373</v>
      </c>
      <c r="L35" s="60">
        <f t="shared" si="18"/>
        <v>-318</v>
      </c>
      <c r="M35" s="61">
        <f t="shared" si="18"/>
        <v>-324</v>
      </c>
      <c r="N35" s="46"/>
    </row>
    <row r="36" spans="1:14" ht="12.75">
      <c r="A36" s="59" t="s">
        <v>635</v>
      </c>
      <c r="B36" s="57">
        <f>IFERROR(B35/B23,"-")</f>
        <v>-0.37422552664188352</v>
      </c>
      <c r="C36" s="57">
        <f t="shared" ref="C36:M36" si="19">IFERROR(C35/C23,"-")</f>
        <v>-0.27189542483660128</v>
      </c>
      <c r="D36" s="57">
        <f t="shared" si="19"/>
        <v>5.784313725490196</v>
      </c>
      <c r="E36" s="57">
        <f t="shared" si="19"/>
        <v>-0.63698630136986301</v>
      </c>
      <c r="F36" s="57">
        <f t="shared" si="19"/>
        <v>-0.95147928994082842</v>
      </c>
      <c r="G36" s="57">
        <f t="shared" si="19"/>
        <v>-0.78854024556616642</v>
      </c>
      <c r="H36" s="57">
        <f t="shared" si="19"/>
        <v>-1.3432055749128919</v>
      </c>
      <c r="I36" s="57">
        <f t="shared" si="19"/>
        <v>-0.42240587695133147</v>
      </c>
      <c r="J36" s="57">
        <f t="shared" si="19"/>
        <v>-0.38150289017341038</v>
      </c>
      <c r="K36" s="57">
        <f t="shared" si="19"/>
        <v>-0.19416970327954192</v>
      </c>
      <c r="L36" s="57">
        <f t="shared" si="19"/>
        <v>-0.19924812030075187</v>
      </c>
      <c r="M36" s="58">
        <f t="shared" si="19"/>
        <v>-0.25531914893617019</v>
      </c>
      <c r="N36" s="46"/>
    </row>
    <row r="37" spans="1:14" ht="9.75">
      <c r="A37" s="46"/>
      <c r="B37" s="46"/>
      <c r="C37" s="46"/>
      <c r="D37" s="46"/>
      <c r="E37" s="46"/>
      <c r="F37" s="46"/>
      <c r="G37" s="46"/>
      <c r="H37" s="46"/>
      <c r="I37" s="46"/>
      <c r="J37" s="46"/>
      <c r="K37" s="46"/>
      <c r="L37" s="46"/>
      <c r="M37" s="46"/>
      <c r="N37" s="46"/>
    </row>
    <row r="38" spans="1:14" ht="20.25">
      <c r="A38" s="1544" t="s">
        <v>636</v>
      </c>
      <c r="B38" s="1544"/>
      <c r="C38" s="1544"/>
      <c r="D38" s="1544"/>
      <c r="E38" s="1544"/>
      <c r="F38" s="1544"/>
      <c r="G38" s="1544"/>
      <c r="H38" s="1544"/>
      <c r="I38" s="1544"/>
      <c r="J38" s="1544"/>
      <c r="K38" s="1544"/>
      <c r="L38" s="1544"/>
      <c r="M38" s="1544"/>
      <c r="N38" s="46"/>
    </row>
    <row r="39" spans="1:14" ht="12.75">
      <c r="A39" s="62" t="s">
        <v>286</v>
      </c>
      <c r="B39" s="54">
        <f>_xlfn.XLOOKUP($A39,Inputs!$A:$A,Inputs!B:B,,0)</f>
        <v>1156</v>
      </c>
      <c r="C39" s="54">
        <f>_xlfn.XLOOKUP($A39,Inputs!$A:$A,Inputs!C:C,,0)</f>
        <v>565</v>
      </c>
      <c r="D39" s="54">
        <f>_xlfn.XLOOKUP($A39,Inputs!$A:$A,Inputs!D:D,,0)</f>
        <v>560</v>
      </c>
      <c r="E39" s="54">
        <f>_xlfn.XLOOKUP($A39,Inputs!$A:$A,Inputs!E:E,,0)</f>
        <v>310</v>
      </c>
      <c r="F39" s="54">
        <f>_xlfn.XLOOKUP($A39,Inputs!$A:$A,Inputs!F:F,,0)</f>
        <v>145</v>
      </c>
      <c r="G39" s="54">
        <f>_xlfn.XLOOKUP($A39,Inputs!$A:$A,Inputs!G:G,,0)</f>
        <v>186</v>
      </c>
      <c r="H39" s="54">
        <f>_xlfn.XLOOKUP($A39,Inputs!$A:$A,Inputs!H:H,,0)</f>
        <v>252</v>
      </c>
      <c r="I39" s="54">
        <f>_xlfn.XLOOKUP($A39,Inputs!$A:$A,Inputs!I:I,,0)</f>
        <v>259</v>
      </c>
      <c r="J39" s="54">
        <f>_xlfn.XLOOKUP($A39,Inputs!$A:$A,Inputs!J:J,,0)</f>
        <v>218</v>
      </c>
      <c r="K39" s="54">
        <f>_xlfn.XLOOKUP($A39,Inputs!$A:$A,Inputs!K:K,,0)</f>
        <v>98</v>
      </c>
      <c r="L39" s="54">
        <f>_xlfn.XLOOKUP($A39,Inputs!$A:$A,Inputs!L:L,,0)</f>
        <v>549</v>
      </c>
      <c r="M39" s="55">
        <f>_xlfn.XLOOKUP($A39,Inputs!$A:$A,Inputs!M:M,,0)</f>
        <v>1616</v>
      </c>
      <c r="N39" s="46"/>
    </row>
    <row r="40" spans="1:14" ht="12.75">
      <c r="A40" s="56" t="s">
        <v>637</v>
      </c>
      <c r="B40" s="54">
        <f>_xlfn.XLOOKUP($A40,Inputs!$A:$A,Inputs!B:B,,0)</f>
        <v>711</v>
      </c>
      <c r="C40" s="54">
        <f>_xlfn.XLOOKUP($A40,Inputs!$A:$A,Inputs!C:C,,0)</f>
        <v>784</v>
      </c>
      <c r="D40" s="54">
        <f>_xlfn.XLOOKUP($A40,Inputs!$A:$A,Inputs!D:D,,0)</f>
        <v>838</v>
      </c>
      <c r="E40" s="54">
        <f>_xlfn.XLOOKUP($A40,Inputs!$A:$A,Inputs!E:E,,0)</f>
        <v>884</v>
      </c>
      <c r="F40" s="54">
        <f>_xlfn.XLOOKUP($A40,Inputs!$A:$A,Inputs!F:F,,0)</f>
        <v>935</v>
      </c>
      <c r="G40" s="54">
        <f>_xlfn.XLOOKUP($A40,Inputs!$A:$A,Inputs!G:G,,0)</f>
        <v>1136</v>
      </c>
      <c r="H40" s="54">
        <f>_xlfn.XLOOKUP($A40,Inputs!$A:$A,Inputs!H:H,,0)</f>
        <v>932</v>
      </c>
      <c r="I40" s="54">
        <f>_xlfn.XLOOKUP($A40,Inputs!$A:$A,Inputs!I:I,,0)</f>
        <v>1030</v>
      </c>
      <c r="J40" s="54">
        <f>_xlfn.XLOOKUP($A40,Inputs!$A:$A,Inputs!J:J,,0)</f>
        <v>1139</v>
      </c>
      <c r="K40" s="54">
        <f>_xlfn.XLOOKUP($A40,Inputs!$A:$A,Inputs!K:K,,0)</f>
        <v>1203</v>
      </c>
      <c r="L40" s="54">
        <f>_xlfn.XLOOKUP($A40,Inputs!$A:$A,Inputs!L:L,,0)</f>
        <v>1096</v>
      </c>
      <c r="M40" s="55">
        <f>_xlfn.XLOOKUP($A40,Inputs!$A:$A,Inputs!M:M,,0)</f>
        <v>1042</v>
      </c>
      <c r="N40" s="46"/>
    </row>
    <row r="41" spans="1:14" ht="12.75">
      <c r="A41" s="62" t="s">
        <v>288</v>
      </c>
      <c r="B41" s="54">
        <f>_xlfn.XLOOKUP($A41,Inputs!$A:$A,Inputs!B:B,,0)</f>
        <v>6504</v>
      </c>
      <c r="C41" s="54">
        <f>_xlfn.XLOOKUP($A41,Inputs!$A:$A,Inputs!C:C,,0)</f>
        <v>6044</v>
      </c>
      <c r="D41" s="54">
        <f>_xlfn.XLOOKUP($A41,Inputs!$A:$A,Inputs!D:D,,0)</f>
        <v>5964</v>
      </c>
      <c r="E41" s="54">
        <f>_xlfn.XLOOKUP($A41,Inputs!$A:$A,Inputs!E:E,,0)</f>
        <v>6500</v>
      </c>
      <c r="F41" s="54">
        <f>_xlfn.XLOOKUP($A41,Inputs!$A:$A,Inputs!F:F,,0)</f>
        <v>6572</v>
      </c>
      <c r="G41" s="54">
        <f>_xlfn.XLOOKUP($A41,Inputs!$A:$A,Inputs!G:G,,0)</f>
        <v>5959</v>
      </c>
      <c r="H41" s="54">
        <f>_xlfn.XLOOKUP($A41,Inputs!$A:$A,Inputs!H:H,,0)</f>
        <v>5912</v>
      </c>
      <c r="I41" s="54">
        <f>_xlfn.XLOOKUP($A41,Inputs!$A:$A,Inputs!I:I,,0)</f>
        <v>5822</v>
      </c>
      <c r="J41" s="54">
        <f>_xlfn.XLOOKUP($A41,Inputs!$A:$A,Inputs!J:J,,0)</f>
        <v>5638</v>
      </c>
      <c r="K41" s="54">
        <f>_xlfn.XLOOKUP($A41,Inputs!$A:$A,Inputs!K:K,,0)</f>
        <v>5144</v>
      </c>
      <c r="L41" s="54">
        <f>_xlfn.XLOOKUP($A41,Inputs!$A:$A,Inputs!L:L,,0)</f>
        <v>4155</v>
      </c>
      <c r="M41" s="55">
        <f>_xlfn.XLOOKUP($A41,Inputs!$A:$A,Inputs!M:M,,0)</f>
        <v>3482</v>
      </c>
      <c r="N41" s="46"/>
    </row>
    <row r="42" spans="1:14" ht="12.75">
      <c r="A42" s="56" t="s">
        <v>638</v>
      </c>
      <c r="B42" s="54">
        <f>_xlfn.XLOOKUP($A42,Inputs!$A:$A,Inputs!B:B,,0)</f>
        <v>2706</v>
      </c>
      <c r="C42" s="54">
        <f>_xlfn.XLOOKUP($A42,Inputs!$A:$A,Inputs!C:C,,0)</f>
        <v>2771</v>
      </c>
      <c r="D42" s="54">
        <f>_xlfn.XLOOKUP($A42,Inputs!$A:$A,Inputs!D:D,,0)</f>
        <v>2929</v>
      </c>
      <c r="E42" s="54">
        <f>_xlfn.XLOOKUP($A42,Inputs!$A:$A,Inputs!E:E,,0)</f>
        <v>3189</v>
      </c>
      <c r="F42" s="54">
        <f>_xlfn.XLOOKUP($A42,Inputs!$A:$A,Inputs!F:F,,0)</f>
        <v>3245</v>
      </c>
      <c r="G42" s="54">
        <f>_xlfn.XLOOKUP($A42,Inputs!$A:$A,Inputs!G:G,,0)</f>
        <v>3281</v>
      </c>
      <c r="H42" s="54">
        <f>_xlfn.XLOOKUP($A42,Inputs!$A:$A,Inputs!H:H,,0)</f>
        <v>3276</v>
      </c>
      <c r="I42" s="54">
        <f>_xlfn.XLOOKUP($A42,Inputs!$A:$A,Inputs!I:I,,0)</f>
        <v>2720</v>
      </c>
      <c r="J42" s="54">
        <f>_xlfn.XLOOKUP($A42,Inputs!$A:$A,Inputs!J:J,,0)</f>
        <v>3010</v>
      </c>
      <c r="K42" s="54">
        <f>_xlfn.XLOOKUP($A42,Inputs!$A:$A,Inputs!K:K,,0)</f>
        <v>2272</v>
      </c>
      <c r="L42" s="54">
        <f>_xlfn.XLOOKUP($A42,Inputs!$A:$A,Inputs!L:L,,0)</f>
        <v>1922</v>
      </c>
      <c r="M42" s="55">
        <f>_xlfn.XLOOKUP($A42,Inputs!$A:$A,Inputs!M:M,,0)</f>
        <v>1665</v>
      </c>
      <c r="N42" s="46"/>
    </row>
    <row r="43" spans="1:14" ht="12.75">
      <c r="A43" s="62" t="s">
        <v>639</v>
      </c>
      <c r="B43" s="54">
        <f>_xlfn.XLOOKUP($A43,Inputs!$A:$A,Inputs!B:B,,0)</f>
        <v>2797</v>
      </c>
      <c r="C43" s="54">
        <f>_xlfn.XLOOKUP($A43,Inputs!$A:$A,Inputs!C:C,,0)</f>
        <v>3493</v>
      </c>
      <c r="D43" s="54">
        <f>_xlfn.XLOOKUP($A43,Inputs!$A:$A,Inputs!D:D,,0)</f>
        <v>2577</v>
      </c>
      <c r="E43" s="54">
        <f>_xlfn.XLOOKUP($A43,Inputs!$A:$A,Inputs!E:E,,0)</f>
        <v>2764</v>
      </c>
      <c r="F43" s="54">
        <f>_xlfn.XLOOKUP($A43,Inputs!$A:$A,Inputs!F:F,,0)</f>
        <v>2705</v>
      </c>
      <c r="G43" s="54">
        <f>_xlfn.XLOOKUP($A43,Inputs!$A:$A,Inputs!G:G,,0)</f>
        <v>2860</v>
      </c>
      <c r="H43" s="54">
        <f>_xlfn.XLOOKUP($A43,Inputs!$A:$A,Inputs!H:H,,0)</f>
        <v>2675</v>
      </c>
      <c r="I43" s="54">
        <f>_xlfn.XLOOKUP($A43,Inputs!$A:$A,Inputs!I:I,,0)</f>
        <v>3377</v>
      </c>
      <c r="J43" s="54">
        <f>_xlfn.XLOOKUP($A43,Inputs!$A:$A,Inputs!J:J,,0)</f>
        <v>2672</v>
      </c>
      <c r="K43" s="54">
        <f>_xlfn.XLOOKUP($A43,Inputs!$A:$A,Inputs!K:K,,0)</f>
        <v>2857</v>
      </c>
      <c r="L43" s="54">
        <f>_xlfn.XLOOKUP($A43,Inputs!$A:$A,Inputs!L:L,,0)</f>
        <v>2598</v>
      </c>
      <c r="M43" s="55">
        <f>_xlfn.XLOOKUP($A43,Inputs!$A:$A,Inputs!M:M,,0)</f>
        <v>1809</v>
      </c>
      <c r="N43" s="46"/>
    </row>
    <row r="44" spans="1:14" ht="12.75">
      <c r="A44" s="63" t="s">
        <v>42</v>
      </c>
      <c r="B44" s="64">
        <f>_xlfn.XLOOKUP($A44,Inputs!$A:$A,Inputs!B:B,,0)</f>
        <v>13893</v>
      </c>
      <c r="C44" s="64">
        <f>_xlfn.XLOOKUP($A44,Inputs!$A:$A,Inputs!C:C,,0)</f>
        <v>13678</v>
      </c>
      <c r="D44" s="64">
        <f>_xlfn.XLOOKUP($A44,Inputs!$A:$A,Inputs!D:D,,0)</f>
        <v>12897</v>
      </c>
      <c r="E44" s="64">
        <f>_xlfn.XLOOKUP($A44,Inputs!$A:$A,Inputs!E:E,,0)</f>
        <v>13692</v>
      </c>
      <c r="F44" s="64">
        <f>_xlfn.XLOOKUP($A44,Inputs!$A:$A,Inputs!F:F,,0)</f>
        <v>13661</v>
      </c>
      <c r="G44" s="64">
        <f>_xlfn.XLOOKUP($A44,Inputs!$A:$A,Inputs!G:G,,0)</f>
        <v>13479</v>
      </c>
      <c r="H44" s="64">
        <f>_xlfn.XLOOKUP($A44,Inputs!$A:$A,Inputs!H:H,,0)</f>
        <v>13106</v>
      </c>
      <c r="I44" s="64">
        <f>_xlfn.XLOOKUP($A44,Inputs!$A:$A,Inputs!I:I,,0)</f>
        <v>13270</v>
      </c>
      <c r="J44" s="64">
        <f>_xlfn.XLOOKUP($A44,Inputs!$A:$A,Inputs!J:J,,0)</f>
        <v>12747</v>
      </c>
      <c r="K44" s="64">
        <f>_xlfn.XLOOKUP($A44,Inputs!$A:$A,Inputs!K:K,,0)</f>
        <v>11639</v>
      </c>
      <c r="L44" s="64">
        <f>_xlfn.XLOOKUP($A44,Inputs!$A:$A,Inputs!L:L,,0)</f>
        <v>10430</v>
      </c>
      <c r="M44" s="64">
        <f>_xlfn.XLOOKUP($A44,Inputs!$A:$A,Inputs!M:M,,0)</f>
        <v>9805</v>
      </c>
      <c r="N44" s="46"/>
    </row>
    <row r="45" spans="1:14" ht="12.75">
      <c r="B45"/>
      <c r="C45"/>
      <c r="D45"/>
      <c r="E45"/>
      <c r="F45"/>
      <c r="G45"/>
      <c r="H45"/>
      <c r="I45"/>
      <c r="J45"/>
      <c r="K45"/>
      <c r="L45"/>
      <c r="M45"/>
      <c r="N45" s="46"/>
    </row>
    <row r="46" spans="1:14" ht="12.75">
      <c r="B46"/>
      <c r="C46"/>
      <c r="D46"/>
      <c r="E46"/>
      <c r="F46"/>
      <c r="G46"/>
      <c r="H46"/>
      <c r="I46"/>
      <c r="J46"/>
      <c r="K46"/>
      <c r="L46"/>
      <c r="M46"/>
      <c r="N46" s="46"/>
    </row>
    <row r="47" spans="1:14" ht="20.25">
      <c r="A47" s="1544" t="s">
        <v>640</v>
      </c>
      <c r="B47" s="1544"/>
      <c r="C47" s="1544"/>
      <c r="D47" s="1544"/>
      <c r="E47" s="1544"/>
      <c r="F47" s="1544"/>
      <c r="G47" s="1544"/>
      <c r="H47" s="1544"/>
      <c r="I47" s="1544"/>
      <c r="J47" s="1544"/>
      <c r="K47" s="1544"/>
      <c r="L47" s="1544"/>
      <c r="M47" s="1544"/>
      <c r="N47" s="46"/>
    </row>
    <row r="48" spans="1:14" ht="12.75">
      <c r="A48" s="66" t="s">
        <v>292</v>
      </c>
      <c r="B48" s="64">
        <f>_xlfn.XLOOKUP($A48,Inputs!$A:$A,Inputs!B:B,,0)</f>
        <v>1126</v>
      </c>
      <c r="C48" s="64">
        <f>_xlfn.XLOOKUP($A48,Inputs!$A:$A,Inputs!C:C,,0)</f>
        <v>1377</v>
      </c>
      <c r="D48" s="64">
        <f>_xlfn.XLOOKUP($A48,Inputs!$A:$A,Inputs!D:D,,0)</f>
        <v>1212</v>
      </c>
      <c r="E48" s="64">
        <f>_xlfn.XLOOKUP($A48,Inputs!$A:$A,Inputs!E:E,,0)</f>
        <v>1361</v>
      </c>
      <c r="F48" s="64">
        <f>_xlfn.XLOOKUP($A48,Inputs!$A:$A,Inputs!F:F,,0)</f>
        <v>1549</v>
      </c>
      <c r="G48" s="64">
        <f>_xlfn.XLOOKUP($A48,Inputs!$A:$A,Inputs!G:G,,0)</f>
        <v>1373</v>
      </c>
      <c r="H48" s="64">
        <f>_xlfn.XLOOKUP($A48,Inputs!$A:$A,Inputs!H:H,,0)</f>
        <v>1207</v>
      </c>
      <c r="I48" s="64">
        <f>_xlfn.XLOOKUP($A48,Inputs!$A:$A,Inputs!I:I,,0)</f>
        <v>1222</v>
      </c>
      <c r="J48" s="64">
        <f>_xlfn.XLOOKUP($A48,Inputs!$A:$A,Inputs!J:J,,0)</f>
        <v>1308</v>
      </c>
      <c r="K48" s="64">
        <f>_xlfn.XLOOKUP($A48,Inputs!$A:$A,Inputs!K:K,,0)</f>
        <v>1338</v>
      </c>
      <c r="L48" s="64">
        <f>_xlfn.XLOOKUP($A48,Inputs!$A:$A,Inputs!L:L,,0)</f>
        <v>1204</v>
      </c>
      <c r="M48" s="64">
        <f>_xlfn.XLOOKUP($A48,Inputs!$A:$A,Inputs!M:M,,0)</f>
        <v>1151</v>
      </c>
      <c r="N48" s="46"/>
    </row>
    <row r="49" spans="1:14" ht="12.75">
      <c r="A49" s="67" t="s">
        <v>641</v>
      </c>
      <c r="B49" s="54">
        <f>_xlfn.XLOOKUP($A49,Inputs!$A:$A,Inputs!B:B,,0)</f>
        <v>6</v>
      </c>
      <c r="C49" s="54">
        <f>_xlfn.XLOOKUP($A49,Inputs!$A:$A,Inputs!C:C,,0)</f>
        <v>5</v>
      </c>
      <c r="D49" s="54">
        <f>_xlfn.XLOOKUP($A49,Inputs!$A:$A,Inputs!D:D,,0)</f>
        <v>43</v>
      </c>
      <c r="E49" s="54">
        <f>_xlfn.XLOOKUP($A49,Inputs!$A:$A,Inputs!E:E,,0)</f>
        <v>10</v>
      </c>
      <c r="F49" s="54">
        <f>_xlfn.XLOOKUP($A49,Inputs!$A:$A,Inputs!F:F,,0)</f>
        <v>160</v>
      </c>
      <c r="G49" s="54">
        <f>_xlfn.XLOOKUP($A49,Inputs!$A:$A,Inputs!G:G,,0)</f>
        <v>11</v>
      </c>
      <c r="H49" s="54">
        <f>_xlfn.XLOOKUP($A49,Inputs!$A:$A,Inputs!H:H,,0)</f>
        <v>113</v>
      </c>
      <c r="I49" s="54">
        <f>_xlfn.XLOOKUP($A49,Inputs!$A:$A,Inputs!I:I,,0)</f>
        <v>5</v>
      </c>
      <c r="J49" s="54">
        <f>_xlfn.XLOOKUP($A49,Inputs!$A:$A,Inputs!J:J,,0)</f>
        <v>5</v>
      </c>
      <c r="K49" s="54">
        <f>_xlfn.XLOOKUP($A49,Inputs!$A:$A,Inputs!K:K,,0)</f>
        <v>6</v>
      </c>
      <c r="L49" s="54">
        <f>_xlfn.XLOOKUP($A49,Inputs!$A:$A,Inputs!L:L,,0)</f>
        <v>72</v>
      </c>
      <c r="M49" s="54">
        <f>_xlfn.XLOOKUP($A49,Inputs!$A:$A,Inputs!M:M,,0)</f>
        <v>0</v>
      </c>
      <c r="N49" s="46"/>
    </row>
    <row r="50" spans="1:14" ht="12.75">
      <c r="A50" s="53" t="s">
        <v>642</v>
      </c>
      <c r="B50" s="54">
        <f>_xlfn.XLOOKUP($A50,Inputs!$A:$A,Inputs!B:B,,0)</f>
        <v>0</v>
      </c>
      <c r="C50" s="54">
        <f>_xlfn.XLOOKUP($A50,Inputs!$A:$A,Inputs!C:C,,0)</f>
        <v>0</v>
      </c>
      <c r="D50" s="54">
        <f>_xlfn.XLOOKUP($A50,Inputs!$A:$A,Inputs!D:D,,0)</f>
        <v>0</v>
      </c>
      <c r="E50" s="54">
        <f>_xlfn.XLOOKUP($A50,Inputs!$A:$A,Inputs!E:E,,0)</f>
        <v>0</v>
      </c>
      <c r="F50" s="54">
        <f>_xlfn.XLOOKUP($A50,Inputs!$A:$A,Inputs!F:F,,0)</f>
        <v>0</v>
      </c>
      <c r="G50" s="54">
        <f>_xlfn.XLOOKUP($A50,Inputs!$A:$A,Inputs!G:G,,0)</f>
        <v>0</v>
      </c>
      <c r="H50" s="54">
        <f>_xlfn.XLOOKUP($A50,Inputs!$A:$A,Inputs!H:H,,0)</f>
        <v>0</v>
      </c>
      <c r="I50" s="54">
        <f>_xlfn.XLOOKUP($A50,Inputs!$A:$A,Inputs!I:I,,0)</f>
        <v>1</v>
      </c>
      <c r="J50" s="54">
        <f>_xlfn.XLOOKUP($A50,Inputs!$A:$A,Inputs!J:J,,0)</f>
        <v>1</v>
      </c>
      <c r="K50" s="54">
        <f>_xlfn.XLOOKUP($A50,Inputs!$A:$A,Inputs!K:K,,0)</f>
        <v>1</v>
      </c>
      <c r="L50" s="54">
        <f>_xlfn.XLOOKUP($A50,Inputs!$A:$A,Inputs!L:L,,0)</f>
        <v>1</v>
      </c>
      <c r="M50" s="54">
        <f>_xlfn.XLOOKUP($A50,Inputs!$A:$A,Inputs!M:M,,0)</f>
        <v>0</v>
      </c>
      <c r="N50" s="46"/>
    </row>
    <row r="51" spans="1:14" ht="12.75">
      <c r="A51" s="56" t="s">
        <v>643</v>
      </c>
      <c r="B51" s="54">
        <f>_xlfn.XLOOKUP($A51,Inputs!$A:$A,Inputs!B:B,,0)</f>
        <v>791</v>
      </c>
      <c r="C51" s="54">
        <f>_xlfn.XLOOKUP($A51,Inputs!$A:$A,Inputs!C:C,,0)</f>
        <v>1031</v>
      </c>
      <c r="D51" s="54">
        <f>_xlfn.XLOOKUP($A51,Inputs!$A:$A,Inputs!D:D,,0)</f>
        <v>860</v>
      </c>
      <c r="E51" s="54">
        <f>_xlfn.XLOOKUP($A51,Inputs!$A:$A,Inputs!E:E,,0)</f>
        <v>1000</v>
      </c>
      <c r="F51" s="54">
        <f>_xlfn.XLOOKUP($A51,Inputs!$A:$A,Inputs!F:F,,0)</f>
        <v>958</v>
      </c>
      <c r="G51" s="54">
        <f>_xlfn.XLOOKUP($A51,Inputs!$A:$A,Inputs!G:G,,0)</f>
        <v>953</v>
      </c>
      <c r="H51" s="54">
        <f>_xlfn.XLOOKUP($A51,Inputs!$A:$A,Inputs!H:H,,0)</f>
        <v>691</v>
      </c>
      <c r="I51" s="54">
        <f>_xlfn.XLOOKUP($A51,Inputs!$A:$A,Inputs!I:I,,0)</f>
        <v>765</v>
      </c>
      <c r="J51" s="54">
        <f>_xlfn.XLOOKUP($A51,Inputs!$A:$A,Inputs!J:J,,0)</f>
        <v>836</v>
      </c>
      <c r="K51" s="54">
        <f>_xlfn.XLOOKUP($A51,Inputs!$A:$A,Inputs!K:K,,0)</f>
        <v>836</v>
      </c>
      <c r="L51" s="54">
        <f>_xlfn.XLOOKUP($A51,Inputs!$A:$A,Inputs!L:L,,0)</f>
        <v>723</v>
      </c>
      <c r="M51" s="54">
        <f>_xlfn.XLOOKUP($A51,Inputs!$A:$A,Inputs!M:M,,0)</f>
        <v>751</v>
      </c>
      <c r="N51" s="46"/>
    </row>
    <row r="52" spans="1:14" ht="12.75">
      <c r="A52" s="66" t="s">
        <v>644</v>
      </c>
      <c r="B52" s="64">
        <f>_xlfn.XLOOKUP($A52,Inputs!$A:$A,Inputs!B:B,,0)</f>
        <v>782</v>
      </c>
      <c r="C52" s="64">
        <f>_xlfn.XLOOKUP($A52,Inputs!$A:$A,Inputs!C:C,,0)</f>
        <v>761</v>
      </c>
      <c r="D52" s="64">
        <f>_xlfn.XLOOKUP($A52,Inputs!$A:$A,Inputs!D:D,,0)</f>
        <v>788</v>
      </c>
      <c r="E52" s="64">
        <f>_xlfn.XLOOKUP($A52,Inputs!$A:$A,Inputs!E:E,,0)</f>
        <v>926</v>
      </c>
      <c r="F52" s="64">
        <f>_xlfn.XLOOKUP($A52,Inputs!$A:$A,Inputs!F:F,,0)</f>
        <v>927</v>
      </c>
      <c r="G52" s="64">
        <f>_xlfn.XLOOKUP($A52,Inputs!$A:$A,Inputs!G:G,,0)</f>
        <v>905</v>
      </c>
      <c r="H52" s="64">
        <f>_xlfn.XLOOKUP($A52,Inputs!$A:$A,Inputs!H:H,,0)</f>
        <v>912</v>
      </c>
      <c r="I52" s="64">
        <f>_xlfn.XLOOKUP($A52,Inputs!$A:$A,Inputs!I:I,,0)</f>
        <v>908</v>
      </c>
      <c r="J52" s="64">
        <f>_xlfn.XLOOKUP($A52,Inputs!$A:$A,Inputs!J:J,,0)</f>
        <v>856</v>
      </c>
      <c r="K52" s="64">
        <f>_xlfn.XLOOKUP($A52,Inputs!$A:$A,Inputs!K:K,,0)</f>
        <v>793</v>
      </c>
      <c r="L52" s="64">
        <f>_xlfn.XLOOKUP($A52,Inputs!$A:$A,Inputs!L:L,,0)</f>
        <v>672</v>
      </c>
      <c r="M52" s="64">
        <f>_xlfn.XLOOKUP($A52,Inputs!$A:$A,Inputs!M:M,,0)</f>
        <v>600</v>
      </c>
      <c r="N52" s="46"/>
    </row>
    <row r="53" spans="1:14" ht="12.75">
      <c r="A53" s="67" t="s">
        <v>645</v>
      </c>
      <c r="B53" s="54">
        <f>_xlfn.XLOOKUP($A53,Inputs!$A:$A,Inputs!B:B,,0)</f>
        <v>2</v>
      </c>
      <c r="C53" s="54">
        <f>_xlfn.XLOOKUP($A53,Inputs!$A:$A,Inputs!C:C,,0)</f>
        <v>2</v>
      </c>
      <c r="D53" s="54">
        <f>_xlfn.XLOOKUP($A53,Inputs!$A:$A,Inputs!D:D,,0)</f>
        <v>3</v>
      </c>
      <c r="E53" s="54">
        <f>_xlfn.XLOOKUP($A53,Inputs!$A:$A,Inputs!E:E,,0)</f>
        <v>20</v>
      </c>
      <c r="F53" s="54">
        <f>_xlfn.XLOOKUP($A53,Inputs!$A:$A,Inputs!F:F,,0)</f>
        <v>22</v>
      </c>
      <c r="G53" s="54">
        <f>_xlfn.XLOOKUP($A53,Inputs!$A:$A,Inputs!G:G,,0)</f>
        <v>26</v>
      </c>
      <c r="H53" s="54">
        <f>_xlfn.XLOOKUP($A53,Inputs!$A:$A,Inputs!H:H,,0)</f>
        <v>31</v>
      </c>
      <c r="I53" s="54">
        <f>_xlfn.XLOOKUP($A53,Inputs!$A:$A,Inputs!I:I,,0)</f>
        <v>34</v>
      </c>
      <c r="J53" s="54">
        <f>_xlfn.XLOOKUP($A53,Inputs!$A:$A,Inputs!J:J,,0)</f>
        <v>38</v>
      </c>
      <c r="K53" s="54">
        <f>_xlfn.XLOOKUP($A53,Inputs!$A:$A,Inputs!K:K,,0)</f>
        <v>44</v>
      </c>
      <c r="L53" s="54">
        <f>_xlfn.XLOOKUP($A53,Inputs!$A:$A,Inputs!L:L,,0)</f>
        <v>60</v>
      </c>
      <c r="M53" s="54">
        <f>_xlfn.XLOOKUP($A53,Inputs!$A:$A,Inputs!M:M,,0)</f>
        <v>73</v>
      </c>
      <c r="N53" s="46"/>
    </row>
    <row r="54" spans="1:14" ht="12.75">
      <c r="A54" s="53" t="s">
        <v>646</v>
      </c>
      <c r="B54" s="54">
        <f>_xlfn.XLOOKUP($A54,Inputs!$A:$A,Inputs!B:B,,0)</f>
        <v>0</v>
      </c>
      <c r="C54" s="54">
        <f>_xlfn.XLOOKUP($A54,Inputs!$A:$A,Inputs!C:C,,0)</f>
        <v>0</v>
      </c>
      <c r="D54" s="54">
        <f>_xlfn.XLOOKUP($A54,Inputs!$A:$A,Inputs!D:D,,0)</f>
        <v>0</v>
      </c>
      <c r="E54" s="54">
        <f>_xlfn.XLOOKUP($A54,Inputs!$A:$A,Inputs!E:E,,0)</f>
        <v>0</v>
      </c>
      <c r="F54" s="54">
        <f>_xlfn.XLOOKUP($A54,Inputs!$A:$A,Inputs!F:F,,0)</f>
        <v>0</v>
      </c>
      <c r="G54" s="54">
        <f>_xlfn.XLOOKUP($A54,Inputs!$A:$A,Inputs!G:G,,0)</f>
        <v>0</v>
      </c>
      <c r="H54" s="54">
        <f>_xlfn.XLOOKUP($A54,Inputs!$A:$A,Inputs!H:H,,0)</f>
        <v>0</v>
      </c>
      <c r="I54" s="54">
        <f>_xlfn.XLOOKUP($A54,Inputs!$A:$A,Inputs!I:I,,0)</f>
        <v>0</v>
      </c>
      <c r="J54" s="54">
        <f>_xlfn.XLOOKUP($A54,Inputs!$A:$A,Inputs!J:J,,0)</f>
        <v>0</v>
      </c>
      <c r="K54" s="54">
        <f>_xlfn.XLOOKUP($A54,Inputs!$A:$A,Inputs!K:K,,0)</f>
        <v>0</v>
      </c>
      <c r="L54" s="54">
        <f>_xlfn.XLOOKUP($A54,Inputs!$A:$A,Inputs!L:L,,0)</f>
        <v>0</v>
      </c>
      <c r="M54" s="54">
        <f>_xlfn.XLOOKUP($A54,Inputs!$A:$A,Inputs!M:M,,0)</f>
        <v>0</v>
      </c>
      <c r="N54" s="46"/>
    </row>
    <row r="55" spans="1:14" ht="12.75">
      <c r="A55" s="56" t="s">
        <v>647</v>
      </c>
      <c r="B55" s="54">
        <f>_xlfn.XLOOKUP($A55,Inputs!$A:$A,Inputs!B:B,,0)</f>
        <v>780</v>
      </c>
      <c r="C55" s="54">
        <f>_xlfn.XLOOKUP($A55,Inputs!$A:$A,Inputs!C:C,,0)</f>
        <v>759</v>
      </c>
      <c r="D55" s="54">
        <f>_xlfn.XLOOKUP($A55,Inputs!$A:$A,Inputs!D:D,,0)</f>
        <v>785</v>
      </c>
      <c r="E55" s="54">
        <f>_xlfn.XLOOKUP($A55,Inputs!$A:$A,Inputs!E:E,,0)</f>
        <v>906</v>
      </c>
      <c r="F55" s="54">
        <f>_xlfn.XLOOKUP($A55,Inputs!$A:$A,Inputs!F:F,,0)</f>
        <v>905</v>
      </c>
      <c r="G55" s="54">
        <f>_xlfn.XLOOKUP($A55,Inputs!$A:$A,Inputs!G:G,,0)</f>
        <v>879</v>
      </c>
      <c r="H55" s="54">
        <f>_xlfn.XLOOKUP($A55,Inputs!$A:$A,Inputs!H:H,,0)</f>
        <v>881</v>
      </c>
      <c r="I55" s="54">
        <f>_xlfn.XLOOKUP($A55,Inputs!$A:$A,Inputs!I:I,,0)</f>
        <v>874</v>
      </c>
      <c r="J55" s="54">
        <f>_xlfn.XLOOKUP($A55,Inputs!$A:$A,Inputs!J:J,,0)</f>
        <v>818</v>
      </c>
      <c r="K55" s="54">
        <f>_xlfn.XLOOKUP($A55,Inputs!$A:$A,Inputs!K:K,,0)</f>
        <v>749</v>
      </c>
      <c r="L55" s="54">
        <f>_xlfn.XLOOKUP($A55,Inputs!$A:$A,Inputs!L:L,,0)</f>
        <v>612</v>
      </c>
      <c r="M55" s="54">
        <f>_xlfn.XLOOKUP($A55,Inputs!$A:$A,Inputs!M:M,,0)</f>
        <v>527</v>
      </c>
      <c r="N55" s="46"/>
    </row>
    <row r="56" spans="1:14" ht="12.75">
      <c r="A56" s="66" t="s">
        <v>48</v>
      </c>
      <c r="B56" s="64">
        <f>_xlfn.XLOOKUP($A56,Inputs!$A:$A,Inputs!B:B,,0)</f>
        <v>1908</v>
      </c>
      <c r="C56" s="64">
        <f>_xlfn.XLOOKUP($A56,Inputs!$A:$A,Inputs!C:C,,0)</f>
        <v>2138</v>
      </c>
      <c r="D56" s="64">
        <f>_xlfn.XLOOKUP($A56,Inputs!$A:$A,Inputs!D:D,,0)</f>
        <v>2000</v>
      </c>
      <c r="E56" s="64">
        <f>_xlfn.XLOOKUP($A56,Inputs!$A:$A,Inputs!E:E,,0)</f>
        <v>2287</v>
      </c>
      <c r="F56" s="64">
        <f>_xlfn.XLOOKUP($A56,Inputs!$A:$A,Inputs!F:F,,0)</f>
        <v>2476</v>
      </c>
      <c r="G56" s="64">
        <f>_xlfn.XLOOKUP($A56,Inputs!$A:$A,Inputs!G:G,,0)</f>
        <v>2278</v>
      </c>
      <c r="H56" s="64">
        <f>_xlfn.XLOOKUP($A56,Inputs!$A:$A,Inputs!H:H,,0)</f>
        <v>2119</v>
      </c>
      <c r="I56" s="64">
        <f>_xlfn.XLOOKUP($A56,Inputs!$A:$A,Inputs!I:I,,0)</f>
        <v>2130</v>
      </c>
      <c r="J56" s="64">
        <f>_xlfn.XLOOKUP($A56,Inputs!$A:$A,Inputs!J:J,,0)</f>
        <v>2164</v>
      </c>
      <c r="K56" s="64">
        <f>_xlfn.XLOOKUP($A56,Inputs!$A:$A,Inputs!K:K,,0)</f>
        <v>2131</v>
      </c>
      <c r="L56" s="64">
        <f>_xlfn.XLOOKUP($A56,Inputs!$A:$A,Inputs!L:L,,0)</f>
        <v>1876</v>
      </c>
      <c r="M56" s="64">
        <f>_xlfn.XLOOKUP($A56,Inputs!$A:$A,Inputs!M:M,,0)</f>
        <v>1751</v>
      </c>
      <c r="N56" s="46"/>
    </row>
    <row r="57" spans="1:14" ht="12.75">
      <c r="B57"/>
      <c r="C57"/>
      <c r="D57"/>
      <c r="E57"/>
      <c r="F57"/>
      <c r="G57"/>
      <c r="H57"/>
      <c r="I57"/>
      <c r="J57"/>
      <c r="K57"/>
      <c r="L57"/>
      <c r="M57"/>
      <c r="N57" s="46"/>
    </row>
    <row r="58" spans="1:14" ht="12.75">
      <c r="A58" s="66" t="s">
        <v>648</v>
      </c>
      <c r="B58" s="64">
        <f t="shared" ref="B58:M58" si="20">B49+B53</f>
        <v>8</v>
      </c>
      <c r="C58" s="64">
        <f t="shared" si="20"/>
        <v>7</v>
      </c>
      <c r="D58" s="64">
        <f t="shared" si="20"/>
        <v>46</v>
      </c>
      <c r="E58" s="64">
        <f t="shared" si="20"/>
        <v>30</v>
      </c>
      <c r="F58" s="64">
        <f t="shared" si="20"/>
        <v>182</v>
      </c>
      <c r="G58" s="64">
        <f t="shared" si="20"/>
        <v>37</v>
      </c>
      <c r="H58" s="64">
        <f t="shared" si="20"/>
        <v>144</v>
      </c>
      <c r="I58" s="64">
        <f t="shared" si="20"/>
        <v>39</v>
      </c>
      <c r="J58" s="64">
        <f t="shared" si="20"/>
        <v>43</v>
      </c>
      <c r="K58" s="64">
        <f t="shared" si="20"/>
        <v>50</v>
      </c>
      <c r="L58" s="64">
        <f t="shared" si="20"/>
        <v>132</v>
      </c>
      <c r="M58" s="65">
        <f t="shared" si="20"/>
        <v>73</v>
      </c>
      <c r="N58" s="46"/>
    </row>
    <row r="59" spans="1:14" ht="12.75">
      <c r="A59" s="67" t="s">
        <v>70</v>
      </c>
      <c r="B59" s="57">
        <f>IFERROR(B58/B44,"-")</f>
        <v>5.7582955445188223E-4</v>
      </c>
      <c r="C59" s="57">
        <f t="shared" ref="C59:M59" si="21">IFERROR(C58/C44,"-")</f>
        <v>5.1177072671443195E-4</v>
      </c>
      <c r="D59" s="57">
        <f t="shared" si="21"/>
        <v>3.5667209428549276E-3</v>
      </c>
      <c r="E59" s="57">
        <f t="shared" si="21"/>
        <v>2.1910604732690623E-3</v>
      </c>
      <c r="F59" s="57">
        <f t="shared" si="21"/>
        <v>1.3322597174438181E-2</v>
      </c>
      <c r="G59" s="57">
        <f t="shared" si="21"/>
        <v>2.74501075747459E-3</v>
      </c>
      <c r="H59" s="57">
        <f t="shared" si="21"/>
        <v>1.0987334045475354E-2</v>
      </c>
      <c r="I59" s="57">
        <f t="shared" si="21"/>
        <v>2.9389600602863601E-3</v>
      </c>
      <c r="J59" s="57">
        <f t="shared" si="21"/>
        <v>3.3733427473130934E-3</v>
      </c>
      <c r="K59" s="57">
        <f t="shared" si="21"/>
        <v>4.2959017097688804E-3</v>
      </c>
      <c r="L59" s="57">
        <f t="shared" si="21"/>
        <v>1.2655800575263663E-2</v>
      </c>
      <c r="M59" s="57">
        <f t="shared" si="21"/>
        <v>7.4451810300866905E-3</v>
      </c>
      <c r="N59" s="46"/>
    </row>
    <row r="60" spans="1:14" ht="12.75">
      <c r="B60"/>
      <c r="C60"/>
      <c r="D60"/>
      <c r="E60"/>
      <c r="F60"/>
      <c r="G60"/>
      <c r="H60"/>
      <c r="I60"/>
      <c r="J60"/>
      <c r="K60"/>
      <c r="L60"/>
      <c r="M60"/>
      <c r="N60" s="46"/>
    </row>
    <row r="61" spans="1:14" s="47" customFormat="1" ht="12.75">
      <c r="A61" s="66" t="s">
        <v>649</v>
      </c>
      <c r="B61" s="64">
        <f>_xlfn.XLOOKUP($A61,Inputs!$A:$A,Inputs!B:B,,0)</f>
        <v>66</v>
      </c>
      <c r="C61" s="64">
        <f>_xlfn.XLOOKUP($A61,Inputs!$A:$A,Inputs!C:C,,0)</f>
        <v>65</v>
      </c>
      <c r="D61" s="64">
        <f>_xlfn.XLOOKUP($A61,Inputs!$A:$A,Inputs!D:D,,0)</f>
        <v>68</v>
      </c>
      <c r="E61" s="64">
        <f>_xlfn.XLOOKUP($A61,Inputs!$A:$A,Inputs!E:E,,0)</f>
        <v>88</v>
      </c>
      <c r="F61" s="64">
        <f>_xlfn.XLOOKUP($A61,Inputs!$A:$A,Inputs!F:F,,0)</f>
        <v>89</v>
      </c>
      <c r="G61" s="64">
        <f>_xlfn.XLOOKUP($A61,Inputs!$A:$A,Inputs!G:G,,0)</f>
        <v>88</v>
      </c>
      <c r="H61" s="64">
        <f>_xlfn.XLOOKUP($A61,Inputs!$A:$A,Inputs!H:H,,0)</f>
        <v>86</v>
      </c>
      <c r="I61" s="64">
        <f>_xlfn.XLOOKUP($A61,Inputs!$A:$A,Inputs!I:I,,0)</f>
        <v>102</v>
      </c>
      <c r="J61" s="64">
        <f>_xlfn.XLOOKUP($A61,Inputs!$A:$A,Inputs!J:J,,0)</f>
        <v>91</v>
      </c>
      <c r="K61" s="64">
        <f>_xlfn.XLOOKUP($A61,Inputs!$A:$A,Inputs!K:K,,0)</f>
        <v>66</v>
      </c>
      <c r="L61" s="64">
        <f>_xlfn.XLOOKUP($A61,Inputs!$A:$A,Inputs!L:L,,0)</f>
        <v>19</v>
      </c>
      <c r="M61" s="64">
        <f>_xlfn.XLOOKUP($A61,Inputs!$A:$A,Inputs!M:M,,0)</f>
        <v>17</v>
      </c>
      <c r="N61" s="48"/>
    </row>
    <row r="62" spans="1:14" ht="12.75">
      <c r="B62"/>
      <c r="C62"/>
      <c r="D62"/>
      <c r="E62"/>
      <c r="F62"/>
      <c r="G62"/>
      <c r="H62"/>
      <c r="I62"/>
      <c r="J62"/>
      <c r="K62"/>
      <c r="L62"/>
      <c r="M62"/>
      <c r="N62" s="46"/>
    </row>
    <row r="63" spans="1:14" ht="12.75">
      <c r="A63" s="66" t="s">
        <v>650</v>
      </c>
      <c r="B63" s="64">
        <f>_xlfn.XLOOKUP($A63,Inputs!$A:$A,Inputs!B:B,,0)</f>
        <v>11985</v>
      </c>
      <c r="C63" s="64">
        <f>_xlfn.XLOOKUP($A63,Inputs!$A:$A,Inputs!C:C,,0)</f>
        <v>11475</v>
      </c>
      <c r="D63" s="64">
        <f>_xlfn.XLOOKUP($A63,Inputs!$A:$A,Inputs!D:D,,0)</f>
        <v>10829</v>
      </c>
      <c r="E63" s="64">
        <f>_xlfn.XLOOKUP($A63,Inputs!$A:$A,Inputs!E:E,,0)</f>
        <v>11317</v>
      </c>
      <c r="F63" s="64">
        <f>_xlfn.XLOOKUP($A63,Inputs!$A:$A,Inputs!F:F,,0)</f>
        <v>11096</v>
      </c>
      <c r="G63" s="64">
        <f>_xlfn.XLOOKUP($A63,Inputs!$A:$A,Inputs!G:G,,0)</f>
        <v>11113</v>
      </c>
      <c r="H63" s="64">
        <f>_xlfn.XLOOKUP($A63,Inputs!$A:$A,Inputs!H:H,,0)</f>
        <v>10901</v>
      </c>
      <c r="I63" s="64">
        <f>_xlfn.XLOOKUP($A63,Inputs!$A:$A,Inputs!I:I,,0)</f>
        <v>11038</v>
      </c>
      <c r="J63" s="64">
        <f>_xlfn.XLOOKUP($A63,Inputs!$A:$A,Inputs!J:J,,0)</f>
        <v>10492</v>
      </c>
      <c r="K63" s="64">
        <f>_xlfn.XLOOKUP($A63,Inputs!$A:$A,Inputs!K:K,,0)</f>
        <v>9442</v>
      </c>
      <c r="L63" s="64">
        <f>_xlfn.XLOOKUP($A63,Inputs!$A:$A,Inputs!L:L,,0)</f>
        <v>8535</v>
      </c>
      <c r="M63" s="64">
        <f>_xlfn.XLOOKUP($A63,Inputs!$A:$A,Inputs!M:M,,0)</f>
        <v>8037</v>
      </c>
      <c r="N63" s="46"/>
    </row>
    <row r="64" spans="1:14" ht="12" customHeight="1">
      <c r="K64" s="42"/>
      <c r="L64" s="42"/>
      <c r="M64" s="42"/>
      <c r="N64" s="46"/>
    </row>
    <row r="65" spans="1:236" ht="12" customHeight="1">
      <c r="K65" s="42"/>
      <c r="L65" s="42"/>
      <c r="M65" s="42"/>
      <c r="N65" s="46"/>
    </row>
    <row r="66" spans="1:236" ht="20.25">
      <c r="A66" s="1544" t="s">
        <v>651</v>
      </c>
      <c r="B66" s="1544"/>
      <c r="C66" s="1544"/>
      <c r="D66" s="1544"/>
      <c r="E66" s="1544"/>
      <c r="F66" s="1544"/>
      <c r="G66" s="1544"/>
      <c r="H66" s="1544"/>
      <c r="I66" s="1544"/>
      <c r="J66" s="1544"/>
      <c r="K66" s="1544"/>
      <c r="L66" s="1544"/>
      <c r="M66" s="1544"/>
    </row>
    <row r="67" spans="1:236" ht="12.75">
      <c r="A67" s="53" t="s">
        <v>652</v>
      </c>
      <c r="B67" s="54" t="e">
        <f>_xlfn.XLOOKUP($A67,Inputs!$A:$A,Inputs!B:B,,0)</f>
        <v>#N/A</v>
      </c>
      <c r="C67" s="54" t="e">
        <f>_xlfn.XLOOKUP($A67,Inputs!$A:$A,Inputs!C:C,,0)</f>
        <v>#N/A</v>
      </c>
      <c r="D67" s="54" t="e">
        <f>_xlfn.XLOOKUP($A67,Inputs!$A:$A,Inputs!D:D,,0)</f>
        <v>#N/A</v>
      </c>
      <c r="E67" s="54" t="e">
        <f>_xlfn.XLOOKUP($A67,Inputs!$A:$A,Inputs!E:E,,0)</f>
        <v>#N/A</v>
      </c>
      <c r="F67" s="54" t="e">
        <f>_xlfn.XLOOKUP($A67,Inputs!$A:$A,Inputs!F:F,,0)</f>
        <v>#N/A</v>
      </c>
      <c r="G67" s="54" t="e">
        <f>_xlfn.XLOOKUP($A67,Inputs!$A:$A,Inputs!G:G,,0)</f>
        <v>#N/A</v>
      </c>
      <c r="H67" s="54" t="e">
        <f>_xlfn.XLOOKUP($A67,Inputs!$A:$A,Inputs!H:H,,0)</f>
        <v>#N/A</v>
      </c>
      <c r="I67" s="54" t="e">
        <f>_xlfn.XLOOKUP($A67,Inputs!$A:$A,Inputs!I:I,,0)</f>
        <v>#N/A</v>
      </c>
      <c r="J67" s="54" t="e">
        <f>_xlfn.XLOOKUP($A67,Inputs!$A:$A,Inputs!J:J,,0)</f>
        <v>#N/A</v>
      </c>
      <c r="K67" s="54" t="e">
        <f>_xlfn.XLOOKUP($A67,Inputs!$A:$A,Inputs!K:K,,0)</f>
        <v>#N/A</v>
      </c>
      <c r="L67" s="54" t="e">
        <f>_xlfn.XLOOKUP($A67,Inputs!$A:$A,Inputs!L:L,,0)</f>
        <v>#N/A</v>
      </c>
      <c r="M67" s="54" t="e">
        <f>_xlfn.XLOOKUP($A67,Inputs!$A:$A,Inputs!M:M,,0)</f>
        <v>#N/A</v>
      </c>
    </row>
    <row r="68" spans="1:236" ht="12.75">
      <c r="A68" s="67" t="s">
        <v>653</v>
      </c>
      <c r="B68" s="54" t="e">
        <f>_xlfn.XLOOKUP($A68,Inputs!$A:$A,Inputs!B:B,,0)</f>
        <v>#N/A</v>
      </c>
      <c r="C68" s="54" t="e">
        <f>_xlfn.XLOOKUP($A68,Inputs!$A:$A,Inputs!C:C,,0)</f>
        <v>#N/A</v>
      </c>
      <c r="D68" s="54" t="e">
        <f>_xlfn.XLOOKUP($A68,Inputs!$A:$A,Inputs!D:D,,0)</f>
        <v>#N/A</v>
      </c>
      <c r="E68" s="54" t="e">
        <f>_xlfn.XLOOKUP($A68,Inputs!$A:$A,Inputs!E:E,,0)</f>
        <v>#N/A</v>
      </c>
      <c r="F68" s="54" t="e">
        <f>_xlfn.XLOOKUP($A68,Inputs!$A:$A,Inputs!F:F,,0)</f>
        <v>#N/A</v>
      </c>
      <c r="G68" s="54" t="e">
        <f>_xlfn.XLOOKUP($A68,Inputs!$A:$A,Inputs!G:G,,0)</f>
        <v>#N/A</v>
      </c>
      <c r="H68" s="54" t="e">
        <f>_xlfn.XLOOKUP($A68,Inputs!$A:$A,Inputs!H:H,,0)</f>
        <v>#N/A</v>
      </c>
      <c r="I68" s="54" t="e">
        <f>_xlfn.XLOOKUP($A68,Inputs!$A:$A,Inputs!I:I,,0)</f>
        <v>#N/A</v>
      </c>
      <c r="J68" s="54" t="e">
        <f>_xlfn.XLOOKUP($A68,Inputs!$A:$A,Inputs!J:J,,0)</f>
        <v>#N/A</v>
      </c>
      <c r="K68" s="54" t="e">
        <f>_xlfn.XLOOKUP($A68,Inputs!$A:$A,Inputs!K:K,,0)</f>
        <v>#N/A</v>
      </c>
      <c r="L68" s="54" t="e">
        <f>_xlfn.XLOOKUP($A68,Inputs!$A:$A,Inputs!L:L,,0)</f>
        <v>#N/A</v>
      </c>
      <c r="M68" s="54" t="e">
        <f>_xlfn.XLOOKUP($A68,Inputs!$A:$A,Inputs!M:M,,0)</f>
        <v>#N/A</v>
      </c>
    </row>
    <row r="69" spans="1:236" ht="12.75">
      <c r="A69" s="53" t="s">
        <v>46</v>
      </c>
      <c r="B69" s="54">
        <f>_xlfn.XLOOKUP($A69,Inputs!$A:$A,Inputs!B:B,,0)</f>
        <v>0.26341139004014247</v>
      </c>
      <c r="C69" s="54" t="str">
        <f>_xlfn.XLOOKUP($A69,Inputs!$A:$A,Inputs!C:C,,0)</f>
        <v>Yahoo finance</v>
      </c>
      <c r="D69" s="54">
        <f>_xlfn.XLOOKUP($A69,Inputs!$A:$A,Inputs!D:D,,0)</f>
        <v>0</v>
      </c>
      <c r="E69" s="54">
        <f>_xlfn.XLOOKUP($A69,Inputs!$A:$A,Inputs!E:E,,0)</f>
        <v>0</v>
      </c>
      <c r="F69" s="54">
        <f>_xlfn.XLOOKUP($A69,Inputs!$A:$A,Inputs!F:F,,0)</f>
        <v>0</v>
      </c>
      <c r="G69" s="54">
        <f>_xlfn.XLOOKUP($A69,Inputs!$A:$A,Inputs!G:G,,0)</f>
        <v>0</v>
      </c>
      <c r="H69" s="54">
        <f>_xlfn.XLOOKUP($A69,Inputs!$A:$A,Inputs!H:H,,0)</f>
        <v>0</v>
      </c>
      <c r="I69" s="54">
        <f>_xlfn.XLOOKUP($A69,Inputs!$A:$A,Inputs!I:I,,0)</f>
        <v>0</v>
      </c>
      <c r="J69" s="54">
        <f>_xlfn.XLOOKUP($A69,Inputs!$A:$A,Inputs!J:J,,0)</f>
        <v>0</v>
      </c>
      <c r="K69" s="54">
        <f>_xlfn.XLOOKUP($A69,Inputs!$A:$A,Inputs!K:K,,0)</f>
        <v>0</v>
      </c>
      <c r="L69" s="54">
        <f>_xlfn.XLOOKUP($A69,Inputs!$A:$A,Inputs!L:L,,0)</f>
        <v>0</v>
      </c>
      <c r="M69" s="54">
        <f>_xlfn.XLOOKUP($A69,Inputs!$A:$A,Inputs!M:M,,0)</f>
        <v>0</v>
      </c>
    </row>
    <row r="70" spans="1:236" ht="12.75">
      <c r="A70" s="67" t="s">
        <v>51</v>
      </c>
      <c r="B70" s="54">
        <f>_xlfn.XLOOKUP($A70,Inputs!$A:$A,Inputs!B:B,,0)</f>
        <v>0.53239999999999998</v>
      </c>
      <c r="C70" s="54" t="str">
        <f>_xlfn.XLOOKUP($A70,Inputs!$A:$A,Inputs!C:C,,0)</f>
        <v>Yahoo finance</v>
      </c>
      <c r="D70" s="54">
        <f>_xlfn.XLOOKUP($A70,Inputs!$A:$A,Inputs!D:D,,0)</f>
        <v>0</v>
      </c>
      <c r="E70" s="54">
        <f>_xlfn.XLOOKUP($A70,Inputs!$A:$A,Inputs!E:E,,0)</f>
        <v>0</v>
      </c>
      <c r="F70" s="54">
        <f>_xlfn.XLOOKUP($A70,Inputs!$A:$A,Inputs!F:F,,0)</f>
        <v>0</v>
      </c>
      <c r="G70" s="54">
        <f>_xlfn.XLOOKUP($A70,Inputs!$A:$A,Inputs!G:G,,0)</f>
        <v>0</v>
      </c>
      <c r="H70" s="54">
        <f>_xlfn.XLOOKUP($A70,Inputs!$A:$A,Inputs!H:H,,0)</f>
        <v>0</v>
      </c>
      <c r="I70" s="54">
        <f>_xlfn.XLOOKUP($A70,Inputs!$A:$A,Inputs!I:I,,0)</f>
        <v>0</v>
      </c>
      <c r="J70" s="54">
        <f>_xlfn.XLOOKUP($A70,Inputs!$A:$A,Inputs!J:J,,0)</f>
        <v>0</v>
      </c>
      <c r="K70" s="54">
        <f>_xlfn.XLOOKUP($A70,Inputs!$A:$A,Inputs!K:K,,0)</f>
        <v>0</v>
      </c>
      <c r="L70" s="54">
        <f>_xlfn.XLOOKUP($A70,Inputs!$A:$A,Inputs!L:L,,0)</f>
        <v>0</v>
      </c>
      <c r="M70" s="54">
        <f>_xlfn.XLOOKUP($A70,Inputs!$A:$A,Inputs!M:M,,0)</f>
        <v>0</v>
      </c>
    </row>
    <row r="71" spans="1:236" ht="12.75">
      <c r="A71" s="53" t="s">
        <v>654</v>
      </c>
      <c r="B71" s="54" t="str">
        <f>_xlfn.XLOOKUP($A71,Inputs!$A:$A,Inputs!B:B,,0)</f>
        <v>N/A</v>
      </c>
      <c r="C71" s="54" t="str">
        <f>_xlfn.XLOOKUP($A71,Inputs!$A:$A,Inputs!C:C,,0)</f>
        <v>10-K</v>
      </c>
      <c r="D71" s="54">
        <f>_xlfn.XLOOKUP($A71,Inputs!$A:$A,Inputs!D:D,,0)</f>
        <v>0</v>
      </c>
      <c r="E71" s="54">
        <f>_xlfn.XLOOKUP($A71,Inputs!$A:$A,Inputs!E:E,,0)</f>
        <v>0</v>
      </c>
      <c r="F71" s="54">
        <f>_xlfn.XLOOKUP($A71,Inputs!$A:$A,Inputs!F:F,,0)</f>
        <v>0</v>
      </c>
      <c r="G71" s="54">
        <f>_xlfn.XLOOKUP($A71,Inputs!$A:$A,Inputs!G:G,,0)</f>
        <v>0</v>
      </c>
      <c r="H71" s="54">
        <f>_xlfn.XLOOKUP($A71,Inputs!$A:$A,Inputs!H:H,,0)</f>
        <v>0</v>
      </c>
      <c r="I71" s="54">
        <f>_xlfn.XLOOKUP($A71,Inputs!$A:$A,Inputs!I:I,,0)</f>
        <v>0</v>
      </c>
      <c r="J71" s="54">
        <f>_xlfn.XLOOKUP($A71,Inputs!$A:$A,Inputs!J:J,,0)</f>
        <v>0</v>
      </c>
      <c r="K71" s="54">
        <f>_xlfn.XLOOKUP($A71,Inputs!$A:$A,Inputs!K:K,,0)</f>
        <v>0</v>
      </c>
      <c r="L71" s="54">
        <f>_xlfn.XLOOKUP($A71,Inputs!$A:$A,Inputs!L:L,,0)</f>
        <v>0</v>
      </c>
      <c r="M71" s="54">
        <f>_xlfn.XLOOKUP($A71,Inputs!$A:$A,Inputs!M:M,,0)</f>
        <v>0</v>
      </c>
    </row>
    <row r="72" spans="1:236" ht="12.75">
      <c r="A72" s="53" t="s">
        <v>655</v>
      </c>
      <c r="B72" s="54">
        <f>_xlfn.XLOOKUP($A72,Inputs!$A:$A,Inputs!B:B,,0)</f>
        <v>2.5670689548948872E-2</v>
      </c>
      <c r="C72" s="54" t="str">
        <f>_xlfn.XLOOKUP($A72,Inputs!$A:$A,Inputs!C:C,,0)</f>
        <v>Yahoo finance</v>
      </c>
      <c r="D72" s="54">
        <f>_xlfn.XLOOKUP($A72,Inputs!$A:$A,Inputs!D:D,,0)</f>
        <v>0</v>
      </c>
      <c r="E72" s="54">
        <f>_xlfn.XLOOKUP($A72,Inputs!$A:$A,Inputs!E:E,,0)</f>
        <v>0</v>
      </c>
      <c r="F72" s="54">
        <f>_xlfn.XLOOKUP($A72,Inputs!$A:$A,Inputs!F:F,,0)</f>
        <v>0</v>
      </c>
      <c r="G72" s="54">
        <f>_xlfn.XLOOKUP($A72,Inputs!$A:$A,Inputs!G:G,,0)</f>
        <v>0</v>
      </c>
      <c r="H72" s="54">
        <f>_xlfn.XLOOKUP($A72,Inputs!$A:$A,Inputs!H:H,,0)</f>
        <v>0</v>
      </c>
      <c r="I72" s="54">
        <f>_xlfn.XLOOKUP($A72,Inputs!$A:$A,Inputs!I:I,,0)</f>
        <v>0</v>
      </c>
      <c r="J72" s="54">
        <f>_xlfn.XLOOKUP($A72,Inputs!$A:$A,Inputs!J:J,,0)</f>
        <v>0</v>
      </c>
      <c r="K72" s="54">
        <f>_xlfn.XLOOKUP($A72,Inputs!$A:$A,Inputs!K:K,,0)</f>
        <v>0</v>
      </c>
      <c r="L72" s="54">
        <f>_xlfn.XLOOKUP($A72,Inputs!$A:$A,Inputs!L:L,,0)</f>
        <v>0</v>
      </c>
      <c r="M72" s="54">
        <f>_xlfn.XLOOKUP($A72,Inputs!$A:$A,Inputs!M:M,,0)</f>
        <v>0</v>
      </c>
    </row>
    <row r="73" spans="1:236" ht="12.75">
      <c r="A73" s="67" t="s">
        <v>656</v>
      </c>
      <c r="B73" s="54">
        <f>_xlfn.XLOOKUP($A73,Inputs!$A:$A,Inputs!B:B,,0)</f>
        <v>0.40971680000000005</v>
      </c>
      <c r="C73" s="54" t="str">
        <f>_xlfn.XLOOKUP($A73,Inputs!$A:$A,Inputs!C:C,,0)</f>
        <v>Yahoo Finance</v>
      </c>
      <c r="D73" s="54">
        <f>_xlfn.XLOOKUP($A73,Inputs!$A:$A,Inputs!D:D,,0)</f>
        <v>0</v>
      </c>
      <c r="E73" s="54">
        <f>_xlfn.XLOOKUP($A73,Inputs!$A:$A,Inputs!E:E,,0)</f>
        <v>0</v>
      </c>
      <c r="F73" s="54">
        <f>_xlfn.XLOOKUP($A73,Inputs!$A:$A,Inputs!F:F,,0)</f>
        <v>0</v>
      </c>
      <c r="G73" s="54">
        <f>_xlfn.XLOOKUP($A73,Inputs!$A:$A,Inputs!G:G,,0)</f>
        <v>0</v>
      </c>
      <c r="H73" s="54">
        <f>_xlfn.XLOOKUP($A73,Inputs!$A:$A,Inputs!H:H,,0)</f>
        <v>0</v>
      </c>
      <c r="I73" s="54">
        <f>_xlfn.XLOOKUP($A73,Inputs!$A:$A,Inputs!I:I,,0)</f>
        <v>0</v>
      </c>
      <c r="J73" s="54">
        <f>_xlfn.XLOOKUP($A73,Inputs!$A:$A,Inputs!J:J,,0)</f>
        <v>0</v>
      </c>
      <c r="K73" s="54">
        <f>_xlfn.XLOOKUP($A73,Inputs!$A:$A,Inputs!K:K,,0)</f>
        <v>0</v>
      </c>
      <c r="L73" s="54">
        <f>_xlfn.XLOOKUP($A73,Inputs!$A:$A,Inputs!L:L,,0)</f>
        <v>0</v>
      </c>
      <c r="M73" s="54">
        <f>_xlfn.XLOOKUP($A73,Inputs!$A:$A,Inputs!M:M,,0)</f>
        <v>0</v>
      </c>
      <c r="IB73" s="42"/>
    </row>
    <row r="74" spans="1:236" ht="12" customHeight="1">
      <c r="B74" s="45"/>
      <c r="C74" s="45"/>
      <c r="D74" s="45"/>
      <c r="E74" s="45"/>
      <c r="F74" s="45"/>
      <c r="G74" s="45"/>
      <c r="H74" s="45"/>
      <c r="I74" s="45"/>
      <c r="J74" s="45"/>
      <c r="K74" s="45"/>
      <c r="L74" s="45"/>
      <c r="M74" s="45"/>
      <c r="IB74" s="42"/>
    </row>
    <row r="75" spans="1:236" ht="12" customHeight="1">
      <c r="B75" s="43">
        <v>2020</v>
      </c>
      <c r="C75" s="43">
        <v>2021</v>
      </c>
      <c r="D75" s="43">
        <v>2022</v>
      </c>
      <c r="G75" s="43"/>
      <c r="H75" s="45"/>
      <c r="I75" s="45"/>
      <c r="J75" s="45"/>
      <c r="K75" s="45"/>
      <c r="L75" s="45"/>
      <c r="M75" s="45"/>
      <c r="IB75" s="42"/>
    </row>
    <row r="76" spans="1:236" ht="12.75">
      <c r="A76" s="53" t="s">
        <v>657</v>
      </c>
      <c r="B76" s="60">
        <v>0</v>
      </c>
      <c r="C76" s="60">
        <v>0</v>
      </c>
      <c r="D76" s="61">
        <v>0</v>
      </c>
      <c r="G76" s="45"/>
      <c r="H76" s="45"/>
      <c r="I76" s="45"/>
      <c r="J76" s="45"/>
      <c r="K76" s="45"/>
      <c r="L76" s="45"/>
      <c r="M76" s="45"/>
      <c r="IB76" s="42"/>
    </row>
    <row r="77" spans="1:236" ht="12.75">
      <c r="A77" s="67" t="s">
        <v>71</v>
      </c>
      <c r="B77" s="60">
        <v>0</v>
      </c>
      <c r="C77" s="60">
        <v>0</v>
      </c>
      <c r="D77" s="61">
        <v>0</v>
      </c>
    </row>
    <row r="78" spans="1:236" ht="12" customHeight="1"/>
    <row r="79" spans="1:236">
      <c r="A79" s="44" t="s">
        <v>658</v>
      </c>
      <c r="B79" s="43" t="s">
        <v>659</v>
      </c>
      <c r="C79" s="43" t="s">
        <v>660</v>
      </c>
      <c r="D79" s="43" t="s">
        <v>661</v>
      </c>
      <c r="E79" s="43" t="s">
        <v>662</v>
      </c>
      <c r="G79" s="43"/>
    </row>
    <row r="80" spans="1:236" ht="12.75">
      <c r="B80" s="68" t="e">
        <f>VLOOKUP($A80,Inputs!$A$5:$M$99,MATCH(B$4,Inputs!$B$5:$M$5,0)+1,FALSE)</f>
        <v>#N/A</v>
      </c>
      <c r="C80" s="68" t="e">
        <f>VLOOKUP($A80,Inputs!$A$5:$M$99,MATCH(C$4,Inputs!$B$5:$M$5,0)+1,FALSE)</f>
        <v>#N/A</v>
      </c>
      <c r="D80" s="68" t="e">
        <f>VLOOKUP($A80,Inputs!$A$5:$M$99,MATCH(D$4,Inputs!$B$5:$M$5,0)+1,FALSE)</f>
        <v>#N/A</v>
      </c>
      <c r="E80" s="68" t="e">
        <f>VLOOKUP($A80,Inputs!$A$5:$M$99,MATCH(E$4,Inputs!$B$5:$M$5,0)+1,FALSE)</f>
        <v>#N/A</v>
      </c>
    </row>
    <row r="81" spans="2:6" ht="12.75">
      <c r="B81" s="69"/>
      <c r="C81" s="69"/>
      <c r="D81" s="2"/>
      <c r="E81" s="69"/>
      <c r="F81" s="2"/>
    </row>
    <row r="82" spans="2:6" ht="12.75">
      <c r="B82" s="69"/>
      <c r="C82" s="69"/>
      <c r="D82" s="2"/>
      <c r="E82" s="69"/>
      <c r="F82" s="2"/>
    </row>
    <row r="83" spans="2:6" ht="12.75">
      <c r="B83" s="69"/>
      <c r="C83" s="69"/>
      <c r="D83" s="2"/>
      <c r="E83" s="69"/>
      <c r="F83" s="2"/>
    </row>
    <row r="84" spans="2:6" ht="12.75">
      <c r="B84" s="69"/>
      <c r="C84" s="69"/>
      <c r="D84" s="2"/>
      <c r="E84" s="69"/>
      <c r="F84" s="2"/>
    </row>
    <row r="85" spans="2:6" ht="12.75">
      <c r="B85" s="69"/>
      <c r="C85" s="69"/>
      <c r="D85" s="2"/>
      <c r="E85" s="69"/>
      <c r="F85" s="2"/>
    </row>
    <row r="86" spans="2:6" ht="12.75">
      <c r="B86" s="69"/>
      <c r="C86" s="69"/>
      <c r="D86" s="2"/>
      <c r="E86" s="69"/>
      <c r="F86" s="2"/>
    </row>
    <row r="87" spans="2:6" ht="12.75">
      <c r="B87" s="69"/>
      <c r="C87" s="69"/>
      <c r="D87" s="2"/>
      <c r="E87" s="69"/>
      <c r="F87" s="2"/>
    </row>
    <row r="88" spans="2:6" ht="12.75">
      <c r="B88" s="69"/>
      <c r="C88" s="69"/>
      <c r="D88" s="2"/>
      <c r="E88" s="69"/>
      <c r="F88" s="2"/>
    </row>
  </sheetData>
  <mergeCells count="6">
    <mergeCell ref="A66:M66"/>
    <mergeCell ref="A1:M1"/>
    <mergeCell ref="A2:M2"/>
    <mergeCell ref="A3:M3"/>
    <mergeCell ref="A38:M38"/>
    <mergeCell ref="A47:M47"/>
  </mergeCells>
  <pageMargins left="0.7" right="0.7" top="0.75" bottom="0.75"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IA100"/>
  <sheetViews>
    <sheetView zoomScale="85" workbookViewId="0">
      <pane ySplit="4" topLeftCell="A5" activePane="bottomLeft" state="frozen"/>
      <selection pane="bottomLeft" activeCell="A14" sqref="A13:A14"/>
    </sheetView>
  </sheetViews>
  <sheetFormatPr defaultColWidth="11.42578125" defaultRowHeight="12.75"/>
  <cols>
    <col min="1" max="1" width="36.140625" style="11" customWidth="1"/>
    <col min="2" max="10" width="12.42578125" style="42" customWidth="1"/>
    <col min="11" max="12" width="12.42578125" style="50" customWidth="1"/>
    <col min="13" max="13" width="12.140625" style="50" bestFit="1" customWidth="1"/>
    <col min="14" max="16384" width="11.42578125" style="41"/>
  </cols>
  <sheetData>
    <row r="1" spans="1:16" ht="15.75">
      <c r="A1" s="1545" t="e" vm="1">
        <f>Inputs!H3</f>
        <v>#VALUE!</v>
      </c>
      <c r="B1" s="1545"/>
      <c r="C1" s="1545"/>
      <c r="D1" s="1545"/>
      <c r="E1" s="1545"/>
      <c r="F1" s="1545"/>
      <c r="G1" s="1545"/>
      <c r="H1" s="1545"/>
      <c r="I1" s="1545"/>
      <c r="J1" s="1545"/>
      <c r="K1" s="1545"/>
      <c r="L1" s="1545"/>
      <c r="M1" s="1545"/>
    </row>
    <row r="2" spans="1:16" ht="12">
      <c r="A2" s="1546" t="str">
        <f>Inputs!G2</f>
        <v>Figures in Millions of Swiss Francs</v>
      </c>
      <c r="B2" s="1546"/>
      <c r="C2" s="1546"/>
      <c r="D2" s="1546"/>
      <c r="E2" s="1546"/>
      <c r="F2" s="1546"/>
      <c r="G2" s="1546"/>
      <c r="H2" s="1546"/>
      <c r="I2" s="1546"/>
      <c r="J2" s="1546"/>
      <c r="K2" s="1546"/>
      <c r="L2" s="1546"/>
      <c r="M2" s="1546"/>
    </row>
    <row r="3" spans="1:16" ht="20.25">
      <c r="A3" s="1544" t="s">
        <v>620</v>
      </c>
      <c r="B3" s="1544"/>
      <c r="C3" s="1544"/>
      <c r="D3" s="1544"/>
      <c r="E3" s="1544"/>
      <c r="F3" s="1544"/>
      <c r="G3" s="1544"/>
      <c r="H3" s="1544"/>
      <c r="I3" s="1544"/>
      <c r="J3" s="1544"/>
      <c r="K3" s="1544"/>
      <c r="L3" s="1544"/>
      <c r="M3" s="1544"/>
    </row>
    <row r="4" spans="1:16">
      <c r="A4" s="132" t="s">
        <v>221</v>
      </c>
      <c r="B4" s="368">
        <f>OP!J20</f>
        <v>2022</v>
      </c>
      <c r="C4" s="369">
        <f>B4-1</f>
        <v>2021</v>
      </c>
      <c r="D4" s="369">
        <f t="shared" ref="D4:M4" si="0">C4-1</f>
        <v>2020</v>
      </c>
      <c r="E4" s="369">
        <f t="shared" si="0"/>
        <v>2019</v>
      </c>
      <c r="F4" s="369">
        <f t="shared" si="0"/>
        <v>2018</v>
      </c>
      <c r="G4" s="369">
        <f t="shared" si="0"/>
        <v>2017</v>
      </c>
      <c r="H4" s="369">
        <f t="shared" si="0"/>
        <v>2016</v>
      </c>
      <c r="I4" s="369">
        <f t="shared" si="0"/>
        <v>2015</v>
      </c>
      <c r="J4" s="369">
        <f>I4-1</f>
        <v>2014</v>
      </c>
      <c r="K4" s="369">
        <f t="shared" si="0"/>
        <v>2013</v>
      </c>
      <c r="L4" s="369">
        <f t="shared" si="0"/>
        <v>2012</v>
      </c>
      <c r="M4" s="370">
        <f t="shared" si="0"/>
        <v>2011</v>
      </c>
      <c r="P4" s="47"/>
    </row>
    <row r="5" spans="1:16">
      <c r="A5" s="133" t="s">
        <v>123</v>
      </c>
      <c r="B5" s="366">
        <f>_xlfn.XLOOKUP($A5,Inputs!$A:$A,Inputs!B:B,,0)</f>
        <v>7499</v>
      </c>
      <c r="C5" s="366">
        <f>_xlfn.XLOOKUP($A5,Inputs!$A:$A,Inputs!C:C,,0)</f>
        <v>7313</v>
      </c>
      <c r="D5" s="366">
        <f>_xlfn.XLOOKUP($A5,Inputs!$A:$A,Inputs!D:D,,0)</f>
        <v>5595</v>
      </c>
      <c r="E5" s="366">
        <f>_xlfn.XLOOKUP($A5,Inputs!$A:$A,Inputs!E:E,,0)</f>
        <v>8243</v>
      </c>
      <c r="F5" s="366">
        <f>_xlfn.XLOOKUP($A5,Inputs!$A:$A,Inputs!F:F,,0)</f>
        <v>8475</v>
      </c>
      <c r="G5" s="366">
        <f>_xlfn.XLOOKUP($A5,Inputs!$A:$A,Inputs!G:G,,0)</f>
        <v>7989</v>
      </c>
      <c r="H5" s="366">
        <f>_xlfn.XLOOKUP($A5,Inputs!$A:$A,Inputs!H:H,,0)</f>
        <v>7553</v>
      </c>
      <c r="I5" s="366">
        <f>_xlfn.XLOOKUP($A5,Inputs!$A:$A,Inputs!I:I,,0)</f>
        <v>8451</v>
      </c>
      <c r="J5" s="366">
        <f>_xlfn.XLOOKUP($A5,Inputs!$A:$A,Inputs!J:J,,0)</f>
        <v>8709</v>
      </c>
      <c r="K5" s="366">
        <f>_xlfn.XLOOKUP($A5,Inputs!$A:$A,Inputs!K:K,,0)</f>
        <v>8456</v>
      </c>
      <c r="L5" s="366">
        <f>_xlfn.XLOOKUP($A5,Inputs!$A:$A,Inputs!L:L,,0)</f>
        <v>7796</v>
      </c>
      <c r="M5" s="367">
        <f>_xlfn.XLOOKUP($A5,Inputs!$A:$A,Inputs!M:M,,0)</f>
        <v>6852</v>
      </c>
      <c r="P5" s="47"/>
    </row>
    <row r="6" spans="1:16">
      <c r="A6" s="134" t="s">
        <v>621</v>
      </c>
      <c r="B6" s="57">
        <f>IFERROR(B5/C5-1,"-")</f>
        <v>2.5434158348147218E-2</v>
      </c>
      <c r="C6" s="57">
        <f t="shared" ref="C6:L6" si="1">IFERROR(C5/D5-1,"-")</f>
        <v>0.30705987488829312</v>
      </c>
      <c r="D6" s="57">
        <f t="shared" si="1"/>
        <v>-0.32124226616523111</v>
      </c>
      <c r="E6" s="57">
        <f t="shared" si="1"/>
        <v>-2.7374631268436533E-2</v>
      </c>
      <c r="F6" s="57">
        <f t="shared" si="1"/>
        <v>6.083364626361254E-2</v>
      </c>
      <c r="G6" s="57">
        <f t="shared" si="1"/>
        <v>5.7725407122997563E-2</v>
      </c>
      <c r="H6" s="371">
        <f t="shared" ref="H6" si="2">IFERROR(H5/I5-1,"-")</f>
        <v>-0.10625961424683472</v>
      </c>
      <c r="I6" s="371">
        <f t="shared" ref="I6" si="3">IFERROR(I5/J5-1,"-")</f>
        <v>-2.9624526352049596E-2</v>
      </c>
      <c r="J6" s="371">
        <f t="shared" si="1"/>
        <v>2.9919583727530785E-2</v>
      </c>
      <c r="K6" s="57">
        <f t="shared" si="1"/>
        <v>8.4658799384299543E-2</v>
      </c>
      <c r="L6" s="57">
        <f t="shared" si="1"/>
        <v>0.1377699941622883</v>
      </c>
      <c r="M6" s="58" t="str">
        <f>IFERROR(M5/#REF!-1,"-")</f>
        <v>-</v>
      </c>
      <c r="N6" s="315"/>
      <c r="P6" s="47"/>
    </row>
    <row r="7" spans="1:16">
      <c r="A7" s="133" t="s">
        <v>622</v>
      </c>
      <c r="B7" s="54">
        <f>_xlfn.XLOOKUP($A7,Inputs!$A:$A,Inputs!B:B,,0)</f>
        <v>5652</v>
      </c>
      <c r="C7" s="54">
        <f>_xlfn.XLOOKUP($A7,Inputs!$A:$A,Inputs!C:C,,0)</f>
        <v>5789</v>
      </c>
      <c r="D7" s="54">
        <f>_xlfn.XLOOKUP($A7,Inputs!$A:$A,Inputs!D:D,,0)</f>
        <v>4612</v>
      </c>
      <c r="E7" s="54">
        <f>_xlfn.XLOOKUP($A7,Inputs!$A:$A,Inputs!E:E,,0)</f>
        <v>6643</v>
      </c>
      <c r="F7" s="54">
        <f>_xlfn.XLOOKUP($A7,Inputs!$A:$A,Inputs!F:F,,0)</f>
        <v>6249</v>
      </c>
      <c r="G7" s="54">
        <f>_xlfn.XLOOKUP($A7,Inputs!$A:$A,Inputs!G:G,,0)</f>
        <v>6254</v>
      </c>
      <c r="H7" s="54">
        <f>_xlfn.XLOOKUP($A7,Inputs!$A:$A,Inputs!H:H,,0)</f>
        <v>5911</v>
      </c>
      <c r="I7" s="54">
        <f>_xlfn.XLOOKUP($A7,Inputs!$A:$A,Inputs!I:I,,0)</f>
        <v>6450</v>
      </c>
      <c r="J7" s="54">
        <f>_xlfn.XLOOKUP($A7,Inputs!$A:$A,Inputs!J:J,,0)</f>
        <v>6469</v>
      </c>
      <c r="K7" s="54">
        <f>_xlfn.XLOOKUP($A7,Inputs!$A:$A,Inputs!K:K,,0)</f>
        <v>6000</v>
      </c>
      <c r="L7" s="54">
        <f>_xlfn.XLOOKUP($A7,Inputs!$A:$A,Inputs!L:L,,0)</f>
        <v>5440</v>
      </c>
      <c r="M7" s="55">
        <f>_xlfn.XLOOKUP($A7,Inputs!$A:$A,Inputs!M:M,,0)</f>
        <v>4631</v>
      </c>
      <c r="P7" s="47"/>
    </row>
    <row r="8" spans="1:16">
      <c r="A8" s="134" t="s">
        <v>623</v>
      </c>
      <c r="B8" s="57">
        <f>IFERROR(B7/B$5,"-")</f>
        <v>0.75370049339911993</v>
      </c>
      <c r="C8" s="57">
        <f t="shared" ref="C8:M8" si="4">IFERROR(C7/C$5,"-")</f>
        <v>0.79160399288937511</v>
      </c>
      <c r="D8" s="57">
        <f t="shared" si="4"/>
        <v>0.82430741733690793</v>
      </c>
      <c r="E8" s="57">
        <f t="shared" si="4"/>
        <v>0.80589591168263985</v>
      </c>
      <c r="F8" s="57">
        <f t="shared" si="4"/>
        <v>0.73734513274336289</v>
      </c>
      <c r="G8" s="57">
        <f t="shared" si="4"/>
        <v>0.78282638628113654</v>
      </c>
      <c r="H8" s="57">
        <f t="shared" si="4"/>
        <v>0.78260293922944524</v>
      </c>
      <c r="I8" s="57">
        <f t="shared" si="4"/>
        <v>0.76322328718494847</v>
      </c>
      <c r="J8" s="57">
        <f t="shared" si="4"/>
        <v>0.74279480996670111</v>
      </c>
      <c r="K8" s="57">
        <f t="shared" si="4"/>
        <v>0.70955534531693476</v>
      </c>
      <c r="L8" s="57">
        <f t="shared" si="4"/>
        <v>0.69779374037968189</v>
      </c>
      <c r="M8" s="58">
        <f t="shared" si="4"/>
        <v>0.67586106246351429</v>
      </c>
      <c r="P8" s="47"/>
    </row>
    <row r="9" spans="1:16">
      <c r="A9" s="133" t="s">
        <v>624</v>
      </c>
      <c r="B9" s="54">
        <f>B5-B11</f>
        <v>6341</v>
      </c>
      <c r="C9" s="54">
        <f t="shared" ref="B9:M9" si="5">C5-C11</f>
        <v>6292</v>
      </c>
      <c r="D9" s="54">
        <f t="shared" si="5"/>
        <v>5543</v>
      </c>
      <c r="E9" s="54">
        <f t="shared" si="5"/>
        <v>7220</v>
      </c>
      <c r="F9" s="54">
        <f t="shared" si="5"/>
        <v>7321</v>
      </c>
      <c r="G9" s="54">
        <f t="shared" si="5"/>
        <v>6987</v>
      </c>
      <c r="H9" s="54">
        <f t="shared" si="5"/>
        <v>6748</v>
      </c>
      <c r="I9" s="54">
        <f t="shared" si="5"/>
        <v>7000</v>
      </c>
      <c r="J9" s="54">
        <f t="shared" si="5"/>
        <v>6957</v>
      </c>
      <c r="K9" s="54">
        <f t="shared" si="5"/>
        <v>6142</v>
      </c>
      <c r="L9" s="54">
        <f t="shared" si="5"/>
        <v>5818</v>
      </c>
      <c r="M9" s="55">
        <f t="shared" si="5"/>
        <v>5238</v>
      </c>
      <c r="P9" s="47"/>
    </row>
    <row r="10" spans="1:16">
      <c r="A10" s="134" t="s">
        <v>623</v>
      </c>
      <c r="B10" s="57">
        <f>IFERROR(B9/B$5,"-")</f>
        <v>0.8455794105880784</v>
      </c>
      <c r="C10" s="57">
        <f t="shared" ref="C10:M10" si="6">IFERROR(C9/C$5,"-")</f>
        <v>0.86038561465882679</v>
      </c>
      <c r="D10" s="57">
        <f t="shared" si="6"/>
        <v>0.99070598748882932</v>
      </c>
      <c r="E10" s="57">
        <f t="shared" si="6"/>
        <v>0.87589469853208779</v>
      </c>
      <c r="F10" s="57">
        <f t="shared" si="6"/>
        <v>0.86383480825958703</v>
      </c>
      <c r="G10" s="57">
        <f t="shared" si="6"/>
        <v>0.87457754412316935</v>
      </c>
      <c r="H10" s="57">
        <f t="shared" si="6"/>
        <v>0.8934198331788693</v>
      </c>
      <c r="I10" s="57">
        <f t="shared" si="6"/>
        <v>0.82830434268133946</v>
      </c>
      <c r="J10" s="57">
        <f t="shared" si="6"/>
        <v>0.79882879779538407</v>
      </c>
      <c r="K10" s="57">
        <f t="shared" si="6"/>
        <v>0.72634815515610218</v>
      </c>
      <c r="L10" s="57">
        <f t="shared" si="6"/>
        <v>0.74628014366341711</v>
      </c>
      <c r="M10" s="58">
        <f t="shared" si="6"/>
        <v>0.76444833625218911</v>
      </c>
    </row>
    <row r="11" spans="1:16">
      <c r="A11" s="133" t="s">
        <v>282</v>
      </c>
      <c r="B11" s="54">
        <f>_xlfn.XLOOKUP($A11,Inputs!$A:$A,Inputs!B:B,,0)</f>
        <v>1158</v>
      </c>
      <c r="C11" s="54">
        <f>_xlfn.XLOOKUP($A11,Inputs!$A:$A,Inputs!C:C,,0)</f>
        <v>1021</v>
      </c>
      <c r="D11" s="54">
        <f>_xlfn.XLOOKUP($A11,Inputs!$A:$A,Inputs!D:D,,0)</f>
        <v>52</v>
      </c>
      <c r="E11" s="54">
        <f>_xlfn.XLOOKUP($A11,Inputs!$A:$A,Inputs!E:E,,0)</f>
        <v>1023</v>
      </c>
      <c r="F11" s="54">
        <f>_xlfn.XLOOKUP($A11,Inputs!$A:$A,Inputs!F:F,,0)</f>
        <v>1154</v>
      </c>
      <c r="G11" s="54">
        <f>_xlfn.XLOOKUP($A11,Inputs!$A:$A,Inputs!G:G,,0)</f>
        <v>1002</v>
      </c>
      <c r="H11" s="54">
        <f>_xlfn.XLOOKUP($A11,Inputs!$A:$A,Inputs!H:H,,0)</f>
        <v>805</v>
      </c>
      <c r="I11" s="54">
        <f>_xlfn.XLOOKUP($A11,Inputs!$A:$A,Inputs!I:I,,0)</f>
        <v>1451</v>
      </c>
      <c r="J11" s="54">
        <f>_xlfn.XLOOKUP($A11,Inputs!$A:$A,Inputs!J:J,,0)</f>
        <v>1752</v>
      </c>
      <c r="K11" s="54">
        <f>_xlfn.XLOOKUP($A11,Inputs!$A:$A,Inputs!K:K,,0)</f>
        <v>2314</v>
      </c>
      <c r="L11" s="54">
        <f>_xlfn.XLOOKUP($A11,Inputs!$A:$A,Inputs!L:L,,0)</f>
        <v>1978</v>
      </c>
      <c r="M11" s="55">
        <f>_xlfn.XLOOKUP($A11,Inputs!$A:$A,Inputs!M:M,,0)</f>
        <v>1614</v>
      </c>
    </row>
    <row r="12" spans="1:16">
      <c r="A12" s="134" t="s">
        <v>124</v>
      </c>
      <c r="B12" s="57">
        <f t="shared" ref="B12:M12" si="7">IFERROR(B11/B$5,"-")</f>
        <v>0.15442058941192158</v>
      </c>
      <c r="C12" s="57">
        <f t="shared" si="7"/>
        <v>0.13961438534117326</v>
      </c>
      <c r="D12" s="57">
        <f t="shared" si="7"/>
        <v>9.2940125111706882E-3</v>
      </c>
      <c r="E12" s="57">
        <f t="shared" si="7"/>
        <v>0.12410530146791217</v>
      </c>
      <c r="F12" s="57">
        <f t="shared" si="7"/>
        <v>0.13616519174041297</v>
      </c>
      <c r="G12" s="57">
        <f t="shared" si="7"/>
        <v>0.12542245587683065</v>
      </c>
      <c r="H12" s="57">
        <f t="shared" si="7"/>
        <v>0.10658016682113068</v>
      </c>
      <c r="I12" s="57">
        <f t="shared" si="7"/>
        <v>0.17169565731866052</v>
      </c>
      <c r="J12" s="57">
        <f t="shared" si="7"/>
        <v>0.2011712022046159</v>
      </c>
      <c r="K12" s="371">
        <f t="shared" si="7"/>
        <v>0.27365184484389782</v>
      </c>
      <c r="L12" s="371">
        <f t="shared" si="7"/>
        <v>0.25371985633658284</v>
      </c>
      <c r="M12" s="1166">
        <f t="shared" si="7"/>
        <v>0.23555166374781086</v>
      </c>
    </row>
    <row r="13" spans="1:16">
      <c r="A13" s="133" t="s">
        <v>625</v>
      </c>
      <c r="B13" s="57">
        <f t="shared" ref="B13" si="8">IFERROR(B12/C12-1,"-")</f>
        <v>0.10605070555277418</v>
      </c>
      <c r="C13" s="57">
        <f t="shared" ref="C13" si="9">IFERROR(C12/D12-1,"-")</f>
        <v>14.021970884305084</v>
      </c>
      <c r="D13" s="57">
        <f t="shared" ref="D13" si="10">IFERROR(D12/E12-1,"-")</f>
        <v>-0.92511188159376345</v>
      </c>
      <c r="E13" s="57">
        <f t="shared" ref="E13" si="11">IFERROR(E12/F12-1,"-")</f>
        <v>-8.8568084973521977E-2</v>
      </c>
      <c r="F13" s="57">
        <f t="shared" ref="F13" si="12">IFERROR(F12/G12-1,"-")</f>
        <v>8.5652411990178701E-2</v>
      </c>
      <c r="G13" s="57">
        <f t="shared" ref="G13" si="13">IFERROR(G12/H12-1,"-")</f>
        <v>0.17678982514000241</v>
      </c>
      <c r="H13" s="57">
        <f t="shared" ref="H13" si="14">IFERROR(H12/I12-1,"-")</f>
        <v>-0.37924949014102316</v>
      </c>
      <c r="I13" s="57">
        <f t="shared" ref="I13" si="15">IFERROR(I12/J12-1,"-")</f>
        <v>-0.14651970343138443</v>
      </c>
      <c r="J13" s="57">
        <f t="shared" ref="J13" si="16">IFERROR(J12/K12-1,"-")</f>
        <v>-0.26486443999903542</v>
      </c>
      <c r="K13" s="57">
        <f t="shared" ref="K13" si="17">IFERROR(K12/L12-1,"-")</f>
        <v>7.8559040648648937E-2</v>
      </c>
      <c r="L13" s="57">
        <f t="shared" ref="L13" si="18">IFERROR(L12/M12-1,"-")</f>
        <v>7.7130393815530107E-2</v>
      </c>
      <c r="M13" s="58" t="str">
        <f>IFERROR(M12/#REF!-1,"-")</f>
        <v>-</v>
      </c>
    </row>
    <row r="14" spans="1:16">
      <c r="A14" s="135" t="s">
        <v>283</v>
      </c>
      <c r="B14" s="54">
        <f>_xlfn.XLOOKUP($A14,Inputs!$A:$A,Inputs!B:B,,0)</f>
        <v>-41</v>
      </c>
      <c r="C14" s="54">
        <f>_xlfn.XLOOKUP($A14,Inputs!$A:$A,Inputs!C:C,,0)</f>
        <v>-1</v>
      </c>
      <c r="D14" s="54">
        <f>_xlfn.XLOOKUP($A14,Inputs!$A:$A,Inputs!D:D,,0)</f>
        <v>-6</v>
      </c>
      <c r="E14" s="54">
        <f>_xlfn.XLOOKUP($A14,Inputs!$A:$A,Inputs!E:E,,0)</f>
        <v>-11</v>
      </c>
      <c r="F14" s="54">
        <f>_xlfn.XLOOKUP($A14,Inputs!$A:$A,Inputs!F:F,,0)</f>
        <v>-24</v>
      </c>
      <c r="G14" s="54">
        <f>_xlfn.XLOOKUP($A14,Inputs!$A:$A,Inputs!G:G,,0)</f>
        <v>-19</v>
      </c>
      <c r="H14" s="54">
        <f>_xlfn.XLOOKUP($A14,Inputs!$A:$A,Inputs!H:H,,0)</f>
        <v>-28</v>
      </c>
      <c r="I14" s="54">
        <f>_xlfn.XLOOKUP($A14,Inputs!$A:$A,Inputs!I:I,,0)</f>
        <v>-47</v>
      </c>
      <c r="J14" s="54">
        <f>_xlfn.XLOOKUP($A14,Inputs!$A:$A,Inputs!J:J,,0)</f>
        <v>11</v>
      </c>
      <c r="K14" s="54">
        <f>_xlfn.XLOOKUP($A14,Inputs!$A:$A,Inputs!K:K,,0)</f>
        <v>23</v>
      </c>
      <c r="L14" s="54">
        <f>_xlfn.XLOOKUP($A14,Inputs!$A:$A,Inputs!L:L,,0)</f>
        <v>13</v>
      </c>
      <c r="M14" s="55">
        <f>_xlfn.XLOOKUP($A14,Inputs!$A:$A,Inputs!M:M,,0)</f>
        <v>-3</v>
      </c>
    </row>
    <row r="15" spans="1:16">
      <c r="A15" s="133" t="s">
        <v>626</v>
      </c>
      <c r="B15" s="54">
        <f>_xlfn.XLOOKUP($A15,Inputs!$A:$A,Inputs!B:B,,0)</f>
        <v>-37</v>
      </c>
      <c r="C15" s="54">
        <f>_xlfn.XLOOKUP($A15,Inputs!$A:$A,Inputs!C:C,,0)</f>
        <v>-18</v>
      </c>
      <c r="D15" s="54">
        <f>_xlfn.XLOOKUP($A15,Inputs!$A:$A,Inputs!D:D,,0)</f>
        <v>-8</v>
      </c>
      <c r="E15" s="54">
        <f>_xlfn.XLOOKUP($A15,Inputs!$A:$A,Inputs!E:E,,0)</f>
        <v>-26</v>
      </c>
      <c r="F15" s="54">
        <f>_xlfn.XLOOKUP($A15,Inputs!$A:$A,Inputs!F:F,,0)</f>
        <v>-19</v>
      </c>
      <c r="G15" s="54">
        <f>_xlfn.XLOOKUP($A15,Inputs!$A:$A,Inputs!G:G,,0)</f>
        <v>2</v>
      </c>
      <c r="H15" s="54">
        <f>_xlfn.XLOOKUP($A15,Inputs!$A:$A,Inputs!H:H,,0)</f>
        <v>-19</v>
      </c>
      <c r="I15" s="54">
        <f>_xlfn.XLOOKUP($A15,Inputs!$A:$A,Inputs!I:I,,0)</f>
        <v>-30</v>
      </c>
      <c r="J15" s="54">
        <f>_xlfn.XLOOKUP($A15,Inputs!$A:$A,Inputs!J:J,,0)</f>
        <v>-30</v>
      </c>
      <c r="K15" s="54">
        <f>_xlfn.XLOOKUP($A15,Inputs!$A:$A,Inputs!K:K,,0)</f>
        <v>12</v>
      </c>
      <c r="L15" s="54">
        <f>_xlfn.XLOOKUP($A15,Inputs!$A:$A,Inputs!L:L,,0)</f>
        <v>12</v>
      </c>
      <c r="M15" s="55">
        <f>_xlfn.XLOOKUP($A15,Inputs!$A:$A,Inputs!M:M,,0)</f>
        <v>-7</v>
      </c>
    </row>
    <row r="16" spans="1:16">
      <c r="A16" s="133"/>
      <c r="B16" s="501">
        <f t="shared" ref="B16:M16" si="19">B17/B5</f>
        <v>0.15935458061074809</v>
      </c>
      <c r="C16" s="501">
        <f t="shared" si="19"/>
        <v>0.14207575550389717</v>
      </c>
      <c r="D16" s="501">
        <f t="shared" si="19"/>
        <v>1.0723860589812333E-2</v>
      </c>
      <c r="E16" s="501">
        <f t="shared" si="19"/>
        <v>0.12725949290306926</v>
      </c>
      <c r="F16" s="501">
        <f t="shared" si="19"/>
        <v>0.1384070796460177</v>
      </c>
      <c r="G16" s="501">
        <f t="shared" si="19"/>
        <v>0.1251721116535236</v>
      </c>
      <c r="H16" s="501">
        <f t="shared" si="19"/>
        <v>0.10909572355355487</v>
      </c>
      <c r="I16" s="501">
        <f>I17/I5</f>
        <v>0.17524553307300911</v>
      </c>
      <c r="J16" s="501">
        <f t="shared" si="19"/>
        <v>0.20461591457113332</v>
      </c>
      <c r="K16" s="501">
        <f t="shared" si="19"/>
        <v>0.27223273415326393</v>
      </c>
      <c r="L16" s="501">
        <f t="shared" si="19"/>
        <v>0.25218060543868648</v>
      </c>
      <c r="M16" s="1173">
        <f t="shared" si="19"/>
        <v>0.23657326328079392</v>
      </c>
    </row>
    <row r="17" spans="1:25">
      <c r="A17" s="135" t="s">
        <v>62</v>
      </c>
      <c r="B17" s="54">
        <f>B11-B15</f>
        <v>1195</v>
      </c>
      <c r="C17" s="54">
        <f t="shared" ref="C17:M17" si="20">C11-C15</f>
        <v>1039</v>
      </c>
      <c r="D17" s="54">
        <f t="shared" si="20"/>
        <v>60</v>
      </c>
      <c r="E17" s="54">
        <f t="shared" si="20"/>
        <v>1049</v>
      </c>
      <c r="F17" s="54">
        <f t="shared" si="20"/>
        <v>1173</v>
      </c>
      <c r="G17" s="54">
        <f t="shared" si="20"/>
        <v>1000</v>
      </c>
      <c r="H17" s="54">
        <f t="shared" si="20"/>
        <v>824</v>
      </c>
      <c r="I17" s="54">
        <f t="shared" si="20"/>
        <v>1481</v>
      </c>
      <c r="J17" s="54">
        <f t="shared" si="20"/>
        <v>1782</v>
      </c>
      <c r="K17" s="54">
        <f t="shared" si="20"/>
        <v>2302</v>
      </c>
      <c r="L17" s="54">
        <f t="shared" si="20"/>
        <v>1966</v>
      </c>
      <c r="M17" s="55">
        <f t="shared" si="20"/>
        <v>1621</v>
      </c>
      <c r="N17" s="51"/>
      <c r="O17" s="51"/>
      <c r="P17" s="51"/>
      <c r="Q17" s="51"/>
      <c r="R17" s="51"/>
      <c r="S17" s="51"/>
      <c r="T17" s="51"/>
      <c r="U17" s="51"/>
      <c r="V17" s="51"/>
      <c r="W17" s="51"/>
      <c r="X17" s="51"/>
      <c r="Y17" s="51"/>
    </row>
    <row r="18" spans="1:25">
      <c r="A18" s="133" t="s">
        <v>58</v>
      </c>
      <c r="B18" s="54">
        <f>_xlfn.XLOOKUP($A18,Inputs!$A:$A,Inputs!B:B,,0)</f>
        <v>406</v>
      </c>
      <c r="C18" s="54">
        <f>_xlfn.XLOOKUP($A18,Inputs!$A:$A,Inputs!C:C,,0)</f>
        <v>437</v>
      </c>
      <c r="D18" s="54">
        <f>_xlfn.XLOOKUP($A18,Inputs!$A:$A,Inputs!D:D,,0)</f>
        <v>463</v>
      </c>
      <c r="E18" s="54">
        <f>_xlfn.XLOOKUP($A18,Inputs!$A:$A,Inputs!E:E,,0)</f>
        <v>481</v>
      </c>
      <c r="F18" s="54">
        <f>_xlfn.XLOOKUP($A18,Inputs!$A:$A,Inputs!F:F,,0)</f>
        <v>481</v>
      </c>
      <c r="G18" s="54">
        <f>_xlfn.XLOOKUP($A18,Inputs!$A:$A,Inputs!G:G,,0)</f>
        <v>476</v>
      </c>
      <c r="H18" s="54">
        <f>_xlfn.XLOOKUP($A18,Inputs!$A:$A,Inputs!H:H,,0)</f>
        <v>437</v>
      </c>
      <c r="I18" s="54">
        <f>_xlfn.XLOOKUP($A18,Inputs!$A:$A,Inputs!I:I,,0)</f>
        <v>401</v>
      </c>
      <c r="J18" s="54">
        <f>_xlfn.XLOOKUP($A18,Inputs!$A:$A,Inputs!J:J,,0)</f>
        <v>358</v>
      </c>
      <c r="K18" s="54">
        <f>_xlfn.XLOOKUP($A18,Inputs!$A:$A,Inputs!K:K,,0)</f>
        <v>304</v>
      </c>
      <c r="L18" s="54">
        <f>_xlfn.XLOOKUP($A18,Inputs!$A:$A,Inputs!L:L,,0)</f>
        <v>261</v>
      </c>
      <c r="M18" s="55">
        <f>_xlfn.XLOOKUP($A18,Inputs!$A:$A,Inputs!M:M,,0)</f>
        <v>229</v>
      </c>
      <c r="N18" s="257"/>
    </row>
    <row r="19" spans="1:25">
      <c r="A19" s="135" t="s">
        <v>628</v>
      </c>
      <c r="B19" s="54">
        <f>_xlfn.XLOOKUP($A19,Inputs!$A:$A,Inputs!B:B,,0)</f>
        <v>-54</v>
      </c>
      <c r="C19" s="54">
        <f>_xlfn.XLOOKUP($A19,Inputs!$A:$A,Inputs!C:C,,0)</f>
        <v>699</v>
      </c>
      <c r="D19" s="54">
        <f>_xlfn.XLOOKUP($A19,Inputs!$A:$A,Inputs!D:D,,0)</f>
        <v>-418</v>
      </c>
      <c r="E19" s="54">
        <f>_xlfn.XLOOKUP($A19,Inputs!$A:$A,Inputs!E:E,,0)</f>
        <v>120</v>
      </c>
      <c r="F19" s="54">
        <f>_xlfn.XLOOKUP($A19,Inputs!$A:$A,Inputs!F:F,,0)</f>
        <v>-135</v>
      </c>
      <c r="G19" s="54">
        <f>_xlfn.XLOOKUP($A19,Inputs!$A:$A,Inputs!G:G,,0)</f>
        <v>313</v>
      </c>
      <c r="H19" s="54">
        <f>_xlfn.XLOOKUP($A19,Inputs!$A:$A,Inputs!H:H,,0)</f>
        <v>-202</v>
      </c>
      <c r="I19" s="54">
        <f>_xlfn.XLOOKUP($A19,Inputs!$A:$A,Inputs!I:I,,0)</f>
        <v>368</v>
      </c>
      <c r="J19" s="54">
        <f>_xlfn.XLOOKUP($A19,Inputs!$A:$A,Inputs!J:J,,0)</f>
        <v>183</v>
      </c>
      <c r="K19" s="372">
        <f>_xlfn.XLOOKUP($A19,Inputs!$A:$A,Inputs!K:K,,0)</f>
        <v>1163</v>
      </c>
      <c r="L19" s="372">
        <f>_xlfn.XLOOKUP($A19,Inputs!$A:$A,Inputs!L:L,,0)</f>
        <v>1745</v>
      </c>
      <c r="M19" s="364" t="str">
        <f>_xlfn.XLOOKUP($A19,Inputs!$A:$A,Inputs!M:M,,0)</f>
        <v>-</v>
      </c>
    </row>
    <row r="20" spans="1:25">
      <c r="A20" s="133" t="s">
        <v>54</v>
      </c>
      <c r="B20" s="54">
        <f>B11-B15+B18</f>
        <v>1601</v>
      </c>
      <c r="C20" s="54">
        <f t="shared" ref="C20:M20" si="21">C11-C15+C18</f>
        <v>1476</v>
      </c>
      <c r="D20" s="54">
        <f t="shared" si="21"/>
        <v>523</v>
      </c>
      <c r="E20" s="54">
        <f t="shared" si="21"/>
        <v>1530</v>
      </c>
      <c r="F20" s="54">
        <f t="shared" si="21"/>
        <v>1654</v>
      </c>
      <c r="G20" s="54">
        <f t="shared" si="21"/>
        <v>1476</v>
      </c>
      <c r="H20" s="54">
        <f t="shared" si="21"/>
        <v>1261</v>
      </c>
      <c r="I20" s="54">
        <f t="shared" si="21"/>
        <v>1882</v>
      </c>
      <c r="J20" s="54">
        <f t="shared" si="21"/>
        <v>2140</v>
      </c>
      <c r="K20" s="54">
        <f t="shared" si="21"/>
        <v>2606</v>
      </c>
      <c r="L20" s="54">
        <f t="shared" si="21"/>
        <v>2227</v>
      </c>
      <c r="M20" s="364">
        <f t="shared" si="21"/>
        <v>1850</v>
      </c>
    </row>
    <row r="21" spans="1:25">
      <c r="A21" s="134" t="s">
        <v>663</v>
      </c>
      <c r="B21" s="57">
        <f t="shared" ref="B21" si="22">IFERROR(B20/B$5,"-")</f>
        <v>0.21349513268435791</v>
      </c>
      <c r="C21" s="57">
        <f t="shared" ref="C21" si="23">IFERROR(C20/C$5,"-")</f>
        <v>0.20183235334336114</v>
      </c>
      <c r="D21" s="57">
        <f t="shared" ref="D21" si="24">IFERROR(D20/D$5,"-")</f>
        <v>9.3476318141197501E-2</v>
      </c>
      <c r="E21" s="57">
        <f t="shared" ref="E21" si="25">IFERROR(E20/E$5,"-")</f>
        <v>0.18561203445347568</v>
      </c>
      <c r="F21" s="57">
        <f t="shared" ref="F21" si="26">IFERROR(F20/F$5,"-")</f>
        <v>0.1951622418879056</v>
      </c>
      <c r="G21" s="57">
        <f t="shared" ref="G21" si="27">IFERROR(G20/G$5,"-")</f>
        <v>0.18475403680060082</v>
      </c>
      <c r="H21" s="57">
        <f t="shared" ref="H21" si="28">IFERROR(H20/H$5,"-")</f>
        <v>0.16695352839931152</v>
      </c>
      <c r="I21" s="57">
        <f t="shared" ref="I21" si="29">IFERROR(I20/I$5,"-")</f>
        <v>0.2226955389894687</v>
      </c>
      <c r="J21" s="57">
        <f t="shared" ref="J21" si="30">IFERROR(J20/J$5,"-")</f>
        <v>0.2457228154782409</v>
      </c>
      <c r="K21" s="57">
        <f t="shared" ref="K21" si="31">IFERROR(K20/K$5,"-")</f>
        <v>0.30818353831598866</v>
      </c>
      <c r="L21" s="57">
        <f t="shared" ref="L21" si="32">IFERROR(L20/L$5,"-")</f>
        <v>0.28565931246793225</v>
      </c>
      <c r="M21" s="363">
        <f t="shared" ref="M21" si="33">IFERROR(M20/M$5,"-")</f>
        <v>0.26999416228838297</v>
      </c>
      <c r="P21" s="257"/>
      <c r="Q21" s="257"/>
      <c r="R21" s="257"/>
    </row>
    <row r="22" spans="1:25">
      <c r="A22" s="133" t="s">
        <v>284</v>
      </c>
      <c r="B22" s="54">
        <f>_xlfn.XLOOKUP($A22,Inputs!$A:$A,Inputs!B:B,,0)</f>
        <v>-273</v>
      </c>
      <c r="C22" s="54">
        <f>_xlfn.XLOOKUP($A22,Inputs!$A:$A,Inputs!C:C,,0)</f>
        <v>-237</v>
      </c>
      <c r="D22" s="54">
        <f>_xlfn.XLOOKUP($A22,Inputs!$A:$A,Inputs!D:D,,0)</f>
        <v>-89</v>
      </c>
      <c r="E22" s="54">
        <f>_xlfn.XLOOKUP($A22,Inputs!$A:$A,Inputs!E:E,,0)</f>
        <v>-256</v>
      </c>
      <c r="F22" s="54">
        <f>_xlfn.XLOOKUP($A22,Inputs!$A:$A,Inputs!F:F,,0)</f>
        <v>-266</v>
      </c>
      <c r="G22" s="54">
        <f>_xlfn.XLOOKUP($A22,Inputs!$A:$A,Inputs!G:G,,0)</f>
        <v>-252</v>
      </c>
      <c r="H22" s="54">
        <f>_xlfn.XLOOKUP($A22,Inputs!$A:$A,Inputs!H:H,,0)</f>
        <v>-184</v>
      </c>
      <c r="I22" s="54">
        <f>_xlfn.XLOOKUP($A22,Inputs!$A:$A,Inputs!I:I,,0)</f>
        <v>-285</v>
      </c>
      <c r="J22" s="54">
        <f>_xlfn.XLOOKUP($A22,Inputs!$A:$A,Inputs!J:J,,0)</f>
        <v>-349</v>
      </c>
      <c r="K22" s="54">
        <f>_xlfn.XLOOKUP($A22,Inputs!$A:$A,Inputs!K:K,,0)</f>
        <v>-428</v>
      </c>
      <c r="L22" s="54">
        <f>_xlfn.XLOOKUP($A22,Inputs!$A:$A,Inputs!L:L,,0)</f>
        <v>-407</v>
      </c>
      <c r="M22" s="55">
        <f>_xlfn.XLOOKUP($A22,Inputs!$A:$A,Inputs!M:M,,0)</f>
        <v>-335</v>
      </c>
    </row>
    <row r="23" spans="1:25">
      <c r="A23" s="134" t="s">
        <v>629</v>
      </c>
      <c r="B23" s="57">
        <f>IFERROR(B22/B$5,"-")</f>
        <v>-3.6404853980530741E-2</v>
      </c>
      <c r="C23" s="57">
        <f t="shared" ref="C23" si="34">IFERROR(C22/C$5,"-")</f>
        <v>-3.2408040475864895E-2</v>
      </c>
      <c r="D23" s="57">
        <f t="shared" ref="D23" si="35">IFERROR(D22/D$5,"-")</f>
        <v>-1.5907059874888291E-2</v>
      </c>
      <c r="E23" s="57">
        <f t="shared" ref="E23" si="36">IFERROR(E22/E$5,"-")</f>
        <v>-3.1056654130777628E-2</v>
      </c>
      <c r="F23" s="57">
        <f t="shared" ref="F23" si="37">IFERROR(F22/F$5,"-")</f>
        <v>-3.1386430678466075E-2</v>
      </c>
      <c r="G23" s="57">
        <f t="shared" ref="G23" si="38">IFERROR(G22/G$5,"-")</f>
        <v>-3.1543372136687946E-2</v>
      </c>
      <c r="H23" s="57">
        <f t="shared" ref="H23" si="39">IFERROR(H22/H$5,"-")</f>
        <v>-2.4361180987687012E-2</v>
      </c>
      <c r="I23" s="57">
        <f t="shared" ref="I23" si="40">IFERROR(I22/I$5,"-")</f>
        <v>-3.3723819666311682E-2</v>
      </c>
      <c r="J23" s="57">
        <f t="shared" ref="J23" si="41">IFERROR(J22/J$5,"-")</f>
        <v>-4.0073487197152369E-2</v>
      </c>
      <c r="K23" s="57">
        <f t="shared" ref="K23" si="42">IFERROR(K22/K$5,"-")</f>
        <v>-5.0614947965941341E-2</v>
      </c>
      <c r="L23" s="57">
        <f t="shared" ref="L23" si="43">IFERROR(L22/L$5,"-")</f>
        <v>-5.2206259620318114E-2</v>
      </c>
      <c r="M23" s="58">
        <f t="shared" ref="M23" si="44">IFERROR(M22/M$5,"-")</f>
        <v>-4.889083479276124E-2</v>
      </c>
      <c r="N23" s="315"/>
    </row>
    <row r="24" spans="1:25">
      <c r="A24" s="133" t="s">
        <v>66</v>
      </c>
      <c r="B24" s="54">
        <f>_xlfn.XLOOKUP($A24,Inputs!$A:$A,Inputs!B:B,,0)</f>
        <v>807</v>
      </c>
      <c r="C24" s="54">
        <f>_xlfn.XLOOKUP($A24,Inputs!$A:$A,Inputs!C:C,,0)</f>
        <v>765</v>
      </c>
      <c r="D24" s="54">
        <f>_xlfn.XLOOKUP($A24,Inputs!$A:$A,Inputs!D:D,,0)</f>
        <v>-51</v>
      </c>
      <c r="E24" s="54">
        <f>_xlfn.XLOOKUP($A24,Inputs!$A:$A,Inputs!E:E,,0)</f>
        <v>730</v>
      </c>
      <c r="F24" s="54">
        <f>_xlfn.XLOOKUP($A24,Inputs!$A:$A,Inputs!F:F,,0)</f>
        <v>845</v>
      </c>
      <c r="G24" s="54">
        <f>_xlfn.XLOOKUP($A24,Inputs!$A:$A,Inputs!G:G,,0)</f>
        <v>733</v>
      </c>
      <c r="H24" s="380">
        <f>_xlfn.XLOOKUP($A24,Inputs!$A:$A,Inputs!H:H,,0)</f>
        <v>574</v>
      </c>
      <c r="I24" s="372">
        <f>_xlfn.XLOOKUP($A24,Inputs!$A:$A,Inputs!I:I,,0)</f>
        <v>1089</v>
      </c>
      <c r="J24" s="372">
        <f>_xlfn.XLOOKUP($A24,Inputs!$A:$A,Inputs!J:J,,0)</f>
        <v>1384</v>
      </c>
      <c r="K24" s="54">
        <f>_xlfn.XLOOKUP($A24,Inputs!$A:$A,Inputs!K:K,,0)</f>
        <v>1921</v>
      </c>
      <c r="L24" s="54">
        <f>_xlfn.XLOOKUP($A24,Inputs!$A:$A,Inputs!L:L,,0)</f>
        <v>1596</v>
      </c>
      <c r="M24" s="55">
        <f>_xlfn.XLOOKUP($A24,Inputs!$A:$A,Inputs!M:M,,0)</f>
        <v>1269</v>
      </c>
    </row>
    <row r="25" spans="1:25">
      <c r="A25" s="134" t="s">
        <v>243</v>
      </c>
      <c r="B25" s="57">
        <f t="shared" ref="B25" si="45">IFERROR(B24/B$5,"-")</f>
        <v>0.10761434857981064</v>
      </c>
      <c r="C25" s="57">
        <f t="shared" ref="C25" si="46">IFERROR(C24/C$5,"-")</f>
        <v>0.10460823191576644</v>
      </c>
      <c r="D25" s="57">
        <f t="shared" ref="D25" si="47">IFERROR(D24/D$5,"-")</f>
        <v>-9.1152815013404824E-3</v>
      </c>
      <c r="E25" s="57">
        <f t="shared" ref="E25" si="48">IFERROR(E24/E$5,"-")</f>
        <v>8.8559990294795582E-2</v>
      </c>
      <c r="F25" s="57">
        <f t="shared" ref="F25" si="49">IFERROR(F24/F$5,"-")</f>
        <v>9.9705014749262535E-2</v>
      </c>
      <c r="G25" s="57">
        <f t="shared" ref="G25" si="50">IFERROR(G24/G$5,"-")</f>
        <v>9.1751157842032791E-2</v>
      </c>
      <c r="H25" s="57">
        <f t="shared" ref="H25" si="51">IFERROR(H24/H$5,"-")</f>
        <v>7.5996292863762749E-2</v>
      </c>
      <c r="I25" s="57">
        <f t="shared" ref="I25:J25" si="52">IFERROR(I24/I$5,"-")</f>
        <v>0.12886048988285409</v>
      </c>
      <c r="J25" s="57">
        <f t="shared" si="52"/>
        <v>0.15891606384200252</v>
      </c>
      <c r="K25" s="371">
        <f t="shared" ref="K25" si="53">IFERROR(K24/K$5,"-")</f>
        <v>0.22717596972563861</v>
      </c>
      <c r="L25" s="371">
        <f t="shared" ref="L25" si="54">IFERROR(L24/L$5,"-")</f>
        <v>0.20472036942021549</v>
      </c>
      <c r="M25" s="1166">
        <f t="shared" ref="M25" si="55">IFERROR(M24/M$5,"-")</f>
        <v>0.18520140105078808</v>
      </c>
    </row>
    <row r="26" spans="1:25">
      <c r="A26" s="133" t="s">
        <v>621</v>
      </c>
      <c r="B26" s="57">
        <f t="shared" ref="B26" si="56">IFERROR(B25/C25-1,"-")</f>
        <v>2.8736903482555753E-2</v>
      </c>
      <c r="C26" s="57">
        <f>-IFERROR(C25/D25-1,"-")</f>
        <v>12.47613838370026</v>
      </c>
      <c r="D26" s="57">
        <f>IFERROR(D25/E25-1,"-")</f>
        <v>-1.1029277608432186</v>
      </c>
      <c r="E26" s="57">
        <f t="shared" ref="E26" si="57">IFERROR(E25/F25-1,"-")</f>
        <v>-0.11177997899598513</v>
      </c>
      <c r="F26" s="57">
        <f t="shared" ref="F26" si="58">IFERROR(F25/G25-1,"-")</f>
        <v>8.6689444518224246E-2</v>
      </c>
      <c r="G26" s="57">
        <f t="shared" ref="G26" si="59">IFERROR(G25/H25-1,"-")</f>
        <v>0.20731096721406561</v>
      </c>
      <c r="H26" s="379">
        <f t="shared" ref="H26" si="60">IFERROR(H25/I25-1,"-")</f>
        <v>-0.41024364463575846</v>
      </c>
      <c r="I26" s="371">
        <f t="shared" ref="I26" si="61">IFERROR(I25/J25-1,"-")</f>
        <v>-0.18912860809987264</v>
      </c>
      <c r="J26" s="379">
        <f t="shared" ref="J26" si="62">IFERROR(J25/K25-1,"-")</f>
        <v>-0.30047150658616695</v>
      </c>
      <c r="K26" s="57">
        <f t="shared" ref="K26" si="63">IFERROR(K25/L25-1,"-")</f>
        <v>0.10968913532649038</v>
      </c>
      <c r="L26" s="57">
        <f t="shared" ref="L26" si="64">IFERROR(L25/M25-1,"-")</f>
        <v>0.10539320036825583</v>
      </c>
      <c r="M26" s="58" t="str">
        <f>IFERROR(M25/#REF!-1,"-")</f>
        <v>-</v>
      </c>
    </row>
    <row r="27" spans="1:25">
      <c r="A27" s="134" t="s">
        <v>630</v>
      </c>
      <c r="B27" s="60">
        <f>B40-C40</f>
        <v>591</v>
      </c>
      <c r="C27" s="60">
        <f t="shared" ref="C27:M27" si="65">C40-D40</f>
        <v>5</v>
      </c>
      <c r="D27" s="60">
        <f t="shared" si="65"/>
        <v>250</v>
      </c>
      <c r="E27" s="60">
        <f t="shared" si="65"/>
        <v>165</v>
      </c>
      <c r="F27" s="60">
        <f t="shared" si="65"/>
        <v>-41</v>
      </c>
      <c r="G27" s="60">
        <f t="shared" si="65"/>
        <v>-66</v>
      </c>
      <c r="H27" s="60">
        <f t="shared" si="65"/>
        <v>-7</v>
      </c>
      <c r="I27" s="60">
        <f t="shared" si="65"/>
        <v>41</v>
      </c>
      <c r="J27" s="60">
        <f t="shared" si="65"/>
        <v>120</v>
      </c>
      <c r="K27" s="60">
        <f t="shared" si="65"/>
        <v>-451</v>
      </c>
      <c r="L27" s="60">
        <f>L40-M40</f>
        <v>-1067</v>
      </c>
      <c r="M27" s="55">
        <f t="shared" si="65"/>
        <v>1616</v>
      </c>
    </row>
    <row r="28" spans="1:25">
      <c r="A28" s="133" t="s">
        <v>134</v>
      </c>
      <c r="B28" s="54">
        <f>_xlfn.XLOOKUP($A28,Inputs!$A:$A,Inputs!B:B,,0)</f>
        <v>-300</v>
      </c>
      <c r="C28" s="54">
        <f>_xlfn.XLOOKUP($A28,Inputs!$A:$A,Inputs!C:C,,0)</f>
        <v>-196</v>
      </c>
      <c r="D28" s="54">
        <f>_xlfn.XLOOKUP($A28,Inputs!$A:$A,Inputs!D:D,,0)</f>
        <v>-295</v>
      </c>
      <c r="E28" s="54">
        <f>_xlfn.XLOOKUP($A28,Inputs!$A:$A,Inputs!E:E,,0)</f>
        <v>-430</v>
      </c>
      <c r="F28" s="54">
        <f>_xlfn.XLOOKUP($A28,Inputs!$A:$A,Inputs!F:F,,0)</f>
        <v>-413</v>
      </c>
      <c r="G28" s="54">
        <f>_xlfn.XLOOKUP($A28,Inputs!$A:$A,Inputs!G:G,,0)</f>
        <v>-374</v>
      </c>
      <c r="H28" s="54">
        <f>_xlfn.XLOOKUP($A28,Inputs!$A:$A,Inputs!H:H,,0)</f>
        <v>-439</v>
      </c>
      <c r="I28" s="54">
        <f>_xlfn.XLOOKUP($A28,Inputs!$A:$A,Inputs!I:I,,0)</f>
        <v>-431</v>
      </c>
      <c r="J28" s="54">
        <f>_xlfn.XLOOKUP($A28,Inputs!$A:$A,Inputs!J:J,,0)</f>
        <v>-421</v>
      </c>
      <c r="K28" s="54">
        <f>_xlfn.XLOOKUP($A28,Inputs!$A:$A,Inputs!K:K,,0)</f>
        <v>-371</v>
      </c>
      <c r="L28" s="54">
        <f>_xlfn.XLOOKUP($A28,Inputs!$A:$A,Inputs!L:L,,0)</f>
        <v>-316</v>
      </c>
      <c r="M28" s="55">
        <f>_xlfn.XLOOKUP($A28,Inputs!$A:$A,Inputs!M:M,,0)</f>
        <v>-270</v>
      </c>
    </row>
    <row r="29" spans="1:25">
      <c r="A29" s="135" t="s">
        <v>631</v>
      </c>
      <c r="B29" s="54">
        <f>_xlfn.XLOOKUP($A29,Inputs!$A:$A,Inputs!B:B,,0)</f>
        <v>-2</v>
      </c>
      <c r="C29" s="54">
        <f>_xlfn.XLOOKUP($A29,Inputs!$A:$A,Inputs!C:C,,0)</f>
        <v>-12</v>
      </c>
      <c r="D29" s="54">
        <f>_xlfn.XLOOKUP($A29,Inputs!$A:$A,Inputs!D:D,,0)</f>
        <v>0</v>
      </c>
      <c r="E29" s="372">
        <f>_xlfn.XLOOKUP($A29,Inputs!$A:$A,Inputs!E:E,,0)</f>
        <v>-35</v>
      </c>
      <c r="F29" s="372">
        <f>_xlfn.XLOOKUP($A29,Inputs!$A:$A,Inputs!F:F,,0)</f>
        <v>-391</v>
      </c>
      <c r="G29" s="372">
        <f>_xlfn.XLOOKUP($A29,Inputs!$A:$A,Inputs!G:G,,0)</f>
        <v>-204</v>
      </c>
      <c r="H29" s="372">
        <f>_xlfn.XLOOKUP($A29,Inputs!$A:$A,Inputs!H:H,,0)</f>
        <v>-332</v>
      </c>
      <c r="I29" s="54">
        <f>_xlfn.XLOOKUP($A29,Inputs!$A:$A,Inputs!I:I,,0)</f>
        <v>-29</v>
      </c>
      <c r="J29" s="54">
        <f>_xlfn.XLOOKUP($A29,Inputs!$A:$A,Inputs!J:J,,0)</f>
        <v>-107</v>
      </c>
      <c r="K29" s="54">
        <f>_xlfn.XLOOKUP($A29,Inputs!$A:$A,Inputs!K:K,,0)</f>
        <v>-2</v>
      </c>
      <c r="L29" s="54">
        <f>_xlfn.XLOOKUP($A29,Inputs!$A:$A,Inputs!L:L,,0)</f>
        <v>-2</v>
      </c>
      <c r="M29" s="55">
        <f>_xlfn.XLOOKUP($A29,Inputs!$A:$A,Inputs!M:M,,0)</f>
        <v>-54</v>
      </c>
    </row>
    <row r="30" spans="1:25">
      <c r="A30" s="133" t="s">
        <v>126</v>
      </c>
      <c r="B30" s="60">
        <f>SUM(B27:B29)</f>
        <v>289</v>
      </c>
      <c r="C30" s="60">
        <f t="shared" ref="C30:M30" si="66">SUM(C27:C29)</f>
        <v>-203</v>
      </c>
      <c r="D30" s="60">
        <f t="shared" si="66"/>
        <v>-45</v>
      </c>
      <c r="E30" s="60">
        <f t="shared" si="66"/>
        <v>-300</v>
      </c>
      <c r="F30" s="60">
        <f t="shared" si="66"/>
        <v>-845</v>
      </c>
      <c r="G30" s="60">
        <f t="shared" si="66"/>
        <v>-644</v>
      </c>
      <c r="H30" s="60">
        <f t="shared" si="66"/>
        <v>-778</v>
      </c>
      <c r="I30" s="60">
        <f t="shared" si="66"/>
        <v>-419</v>
      </c>
      <c r="J30" s="60">
        <f t="shared" si="66"/>
        <v>-408</v>
      </c>
      <c r="K30" s="60">
        <f t="shared" si="66"/>
        <v>-824</v>
      </c>
      <c r="L30" s="60">
        <f t="shared" si="66"/>
        <v>-1385</v>
      </c>
      <c r="M30" s="1180">
        <f t="shared" si="66"/>
        <v>1292</v>
      </c>
    </row>
    <row r="31" spans="1:25">
      <c r="A31" s="135" t="s">
        <v>633</v>
      </c>
      <c r="B31" s="60">
        <f t="shared" ref="B31:M31" si="67">+B30-(B59-C30)</f>
        <v>78</v>
      </c>
      <c r="C31" s="60">
        <f t="shared" si="67"/>
        <v>-255</v>
      </c>
      <c r="D31" s="60">
        <f t="shared" si="67"/>
        <v>-391</v>
      </c>
      <c r="E31" s="60">
        <f t="shared" si="67"/>
        <v>-1175</v>
      </c>
      <c r="F31" s="60">
        <f t="shared" si="67"/>
        <v>-1671</v>
      </c>
      <c r="G31" s="60">
        <f t="shared" si="67"/>
        <v>-1459</v>
      </c>
      <c r="H31" s="60">
        <f t="shared" si="67"/>
        <v>-1341</v>
      </c>
      <c r="I31" s="60">
        <f t="shared" si="67"/>
        <v>-867</v>
      </c>
      <c r="J31" s="60">
        <f t="shared" si="67"/>
        <v>-1276</v>
      </c>
      <c r="K31" s="60">
        <f t="shared" si="67"/>
        <v>-2260</v>
      </c>
      <c r="L31" s="60">
        <f t="shared" si="67"/>
        <v>-226</v>
      </c>
      <c r="M31" s="55">
        <f t="shared" si="67"/>
        <v>1219</v>
      </c>
    </row>
    <row r="32" spans="1:25">
      <c r="A32" s="133" t="s">
        <v>634</v>
      </c>
      <c r="B32" s="60">
        <f t="shared" ref="B32:M32" si="68">+B31+B34</f>
        <v>-1637</v>
      </c>
      <c r="C32" s="60">
        <f t="shared" si="68"/>
        <v>-834</v>
      </c>
      <c r="D32" s="60">
        <f t="shared" si="68"/>
        <v>-568</v>
      </c>
      <c r="E32" s="60">
        <f t="shared" si="68"/>
        <v>-1295</v>
      </c>
      <c r="F32" s="60">
        <f t="shared" si="68"/>
        <v>-2014</v>
      </c>
      <c r="G32" s="60">
        <f t="shared" si="68"/>
        <v>-1639</v>
      </c>
      <c r="H32" s="60">
        <f t="shared" si="68"/>
        <v>-1476</v>
      </c>
      <c r="I32" s="60">
        <f t="shared" si="68"/>
        <v>-1261</v>
      </c>
      <c r="J32" s="60">
        <f t="shared" si="68"/>
        <v>-1626</v>
      </c>
      <c r="K32" s="60">
        <f t="shared" si="68"/>
        <v>-2599</v>
      </c>
      <c r="L32" s="60">
        <f t="shared" si="68"/>
        <v>-464</v>
      </c>
      <c r="M32" s="55">
        <f t="shared" si="68"/>
        <v>938</v>
      </c>
    </row>
    <row r="33" spans="1:31">
      <c r="A33" s="135" t="s">
        <v>131</v>
      </c>
      <c r="B33" s="54">
        <f>_xlfn.XLOOKUP($A33,Inputs!$A:$A,Inputs!B:B,,0)</f>
        <v>-339</v>
      </c>
      <c r="C33" s="54">
        <f>_xlfn.XLOOKUP($A33,Inputs!$A:$A,Inputs!C:C,,0)</f>
        <v>-251</v>
      </c>
      <c r="D33" s="54">
        <f>_xlfn.XLOOKUP($A33,Inputs!$A:$A,Inputs!D:D,,0)</f>
        <v>-208</v>
      </c>
      <c r="E33" s="54">
        <f>_xlfn.XLOOKUP($A33,Inputs!$A:$A,Inputs!E:E,,0)</f>
        <v>-399</v>
      </c>
      <c r="F33" s="54">
        <f>_xlfn.XLOOKUP($A33,Inputs!$A:$A,Inputs!F:F,,0)</f>
        <v>-437</v>
      </c>
      <c r="G33" s="54">
        <f>_xlfn.XLOOKUP($A33,Inputs!$A:$A,Inputs!G:G,,0)</f>
        <v>-396</v>
      </c>
      <c r="H33" s="54">
        <f>_xlfn.XLOOKUP($A33,Inputs!$A:$A,Inputs!H:H,,0)</f>
        <v>-504</v>
      </c>
      <c r="I33" s="54">
        <f>_xlfn.XLOOKUP($A33,Inputs!$A:$A,Inputs!I:I,,0)</f>
        <v>-602</v>
      </c>
      <c r="J33" s="372">
        <f>_xlfn.XLOOKUP($A33,Inputs!$A:$A,Inputs!J:J,,0)</f>
        <v>-1040</v>
      </c>
      <c r="K33" s="372">
        <f>_xlfn.XLOOKUP($A33,Inputs!$A:$A,Inputs!K:K,,0)</f>
        <v>-574</v>
      </c>
      <c r="L33" s="54">
        <f>_xlfn.XLOOKUP($A33,Inputs!$A:$A,Inputs!L:L,,0)</f>
        <v>-438</v>
      </c>
      <c r="M33" s="55">
        <f>_xlfn.XLOOKUP($A33,Inputs!$A:$A,Inputs!M:M,,0)</f>
        <v>-365</v>
      </c>
    </row>
    <row r="34" spans="1:31">
      <c r="A34" s="133" t="s">
        <v>132</v>
      </c>
      <c r="B34" s="54">
        <f>_xlfn.XLOOKUP($A34,Inputs!$A:$A,Inputs!B:B,,0)</f>
        <v>-1715</v>
      </c>
      <c r="C34" s="54">
        <f>_xlfn.XLOOKUP($A34,Inputs!$A:$A,Inputs!C:C,,0)</f>
        <v>-579</v>
      </c>
      <c r="D34" s="54">
        <f>_xlfn.XLOOKUP($A34,Inputs!$A:$A,Inputs!D:D,,0)</f>
        <v>-177</v>
      </c>
      <c r="E34" s="54">
        <f>_xlfn.XLOOKUP($A34,Inputs!$A:$A,Inputs!E:E,,0)</f>
        <v>-120</v>
      </c>
      <c r="F34" s="54">
        <f>_xlfn.XLOOKUP($A34,Inputs!$A:$A,Inputs!F:F,,0)</f>
        <v>-343</v>
      </c>
      <c r="G34" s="54">
        <f>_xlfn.XLOOKUP($A34,Inputs!$A:$A,Inputs!G:G,,0)</f>
        <v>-180</v>
      </c>
      <c r="H34" s="54">
        <f>_xlfn.XLOOKUP($A34,Inputs!$A:$A,Inputs!H:H,,0)</f>
        <v>-135</v>
      </c>
      <c r="I34" s="54">
        <f>_xlfn.XLOOKUP($A34,Inputs!$A:$A,Inputs!I:I,,0)</f>
        <v>-394</v>
      </c>
      <c r="J34" s="54">
        <f>_xlfn.XLOOKUP($A34,Inputs!$A:$A,Inputs!J:J,,0)</f>
        <v>-350</v>
      </c>
      <c r="K34" s="54">
        <f>_xlfn.XLOOKUP($A34,Inputs!$A:$A,Inputs!K:K,,0)</f>
        <v>-339</v>
      </c>
      <c r="L34" s="54">
        <f>_xlfn.XLOOKUP($A34,Inputs!$A:$A,Inputs!L:L,,0)</f>
        <v>-238</v>
      </c>
      <c r="M34" s="55">
        <f>_xlfn.XLOOKUP($A34,Inputs!$A:$A,Inputs!M:M,,0)</f>
        <v>-281</v>
      </c>
    </row>
    <row r="35" spans="1:31">
      <c r="A35" s="134" t="s">
        <v>127</v>
      </c>
      <c r="B35" s="60">
        <f t="shared" ref="B35:M35" si="69">+B33+B34</f>
        <v>-2054</v>
      </c>
      <c r="C35" s="60">
        <f t="shared" si="69"/>
        <v>-830</v>
      </c>
      <c r="D35" s="60">
        <f t="shared" si="69"/>
        <v>-385</v>
      </c>
      <c r="E35" s="60">
        <f t="shared" si="69"/>
        <v>-519</v>
      </c>
      <c r="F35" s="60">
        <f t="shared" si="69"/>
        <v>-780</v>
      </c>
      <c r="G35" s="60">
        <f t="shared" si="69"/>
        <v>-576</v>
      </c>
      <c r="H35" s="60">
        <f t="shared" si="69"/>
        <v>-639</v>
      </c>
      <c r="I35" s="60">
        <f t="shared" si="69"/>
        <v>-996</v>
      </c>
      <c r="J35" s="60">
        <f t="shared" si="69"/>
        <v>-1390</v>
      </c>
      <c r="K35" s="60">
        <f t="shared" si="69"/>
        <v>-913</v>
      </c>
      <c r="L35" s="60">
        <f t="shared" si="69"/>
        <v>-676</v>
      </c>
      <c r="M35" s="61">
        <f t="shared" si="69"/>
        <v>-646</v>
      </c>
    </row>
    <row r="36" spans="1:31">
      <c r="A36" s="133" t="s">
        <v>125</v>
      </c>
      <c r="B36" s="60">
        <f t="shared" ref="B36:M36" si="70">+B28+B29</f>
        <v>-302</v>
      </c>
      <c r="C36" s="60">
        <f t="shared" si="70"/>
        <v>-208</v>
      </c>
      <c r="D36" s="60">
        <f t="shared" si="70"/>
        <v>-295</v>
      </c>
      <c r="E36" s="60">
        <f t="shared" si="70"/>
        <v>-465</v>
      </c>
      <c r="F36" s="60">
        <f t="shared" si="70"/>
        <v>-804</v>
      </c>
      <c r="G36" s="60">
        <f t="shared" si="70"/>
        <v>-578</v>
      </c>
      <c r="H36" s="60">
        <f t="shared" si="70"/>
        <v>-771</v>
      </c>
      <c r="I36" s="60">
        <f t="shared" si="70"/>
        <v>-460</v>
      </c>
      <c r="J36" s="60">
        <f t="shared" si="70"/>
        <v>-528</v>
      </c>
      <c r="K36" s="60">
        <f t="shared" si="70"/>
        <v>-373</v>
      </c>
      <c r="L36" s="60">
        <f t="shared" si="70"/>
        <v>-318</v>
      </c>
      <c r="M36" s="61">
        <f t="shared" si="70"/>
        <v>-324</v>
      </c>
    </row>
    <row r="37" spans="1:31">
      <c r="A37" s="135" t="s">
        <v>635</v>
      </c>
      <c r="B37" s="57">
        <f>IFERROR(B36/B24,"-")</f>
        <v>-0.37422552664188352</v>
      </c>
      <c r="C37" s="57">
        <f>IFERROR(C36/C24,"-")</f>
        <v>-0.27189542483660128</v>
      </c>
      <c r="D37" s="57">
        <f t="shared" ref="D37:J37" si="71">IFERROR(D36/D24,"-")</f>
        <v>5.784313725490196</v>
      </c>
      <c r="E37" s="57">
        <f t="shared" si="71"/>
        <v>-0.63698630136986301</v>
      </c>
      <c r="F37" s="57">
        <f t="shared" si="71"/>
        <v>-0.95147928994082842</v>
      </c>
      <c r="G37" s="57">
        <f t="shared" si="71"/>
        <v>-0.78854024556616642</v>
      </c>
      <c r="H37" s="57">
        <f>IFERROR(H36/H24,"-")</f>
        <v>-1.3432055749128919</v>
      </c>
      <c r="I37" s="57">
        <f t="shared" si="71"/>
        <v>-0.42240587695133147</v>
      </c>
      <c r="J37" s="57">
        <f t="shared" si="71"/>
        <v>-0.38150289017341038</v>
      </c>
      <c r="K37" s="57">
        <f>IFERROR(K36/K24,"-")</f>
        <v>-0.19416970327954192</v>
      </c>
      <c r="L37" s="57">
        <f>IFERROR(L36/L24,"-")</f>
        <v>-0.19924812030075187</v>
      </c>
      <c r="M37" s="58">
        <f>IFERROR(M36/M24,"-")</f>
        <v>-0.25531914893617019</v>
      </c>
    </row>
    <row r="38" spans="1:31">
      <c r="A38" s="7"/>
      <c r="B38" s="46"/>
      <c r="C38" s="46"/>
      <c r="D38" s="46"/>
      <c r="E38" s="46"/>
      <c r="F38" s="46"/>
      <c r="G38" s="46"/>
      <c r="H38" s="46"/>
      <c r="I38" s="46"/>
      <c r="J38" s="46"/>
      <c r="K38" s="46"/>
      <c r="L38" s="46"/>
      <c r="M38" s="46"/>
    </row>
    <row r="39" spans="1:31" ht="20.25">
      <c r="A39" s="1544" t="s">
        <v>636</v>
      </c>
      <c r="B39" s="1544"/>
      <c r="C39" s="1544"/>
      <c r="D39" s="1544"/>
      <c r="E39" s="1544"/>
      <c r="F39" s="1544"/>
      <c r="G39" s="1544"/>
      <c r="H39" s="1544"/>
      <c r="I39" s="1544"/>
      <c r="J39" s="1544"/>
      <c r="K39" s="1544"/>
      <c r="L39" s="1544"/>
      <c r="M39" s="1544"/>
    </row>
    <row r="40" spans="1:31">
      <c r="A40" s="136" t="s">
        <v>286</v>
      </c>
      <c r="B40" s="54">
        <f>_xlfn.XLOOKUP($A40,Inputs!$A:$A,Inputs!B:B,,0)</f>
        <v>1156</v>
      </c>
      <c r="C40" s="54">
        <f>_xlfn.XLOOKUP($A40,Inputs!$A:$A,Inputs!C:C,,0)</f>
        <v>565</v>
      </c>
      <c r="D40" s="54">
        <f>_xlfn.XLOOKUP($A40,Inputs!$A:$A,Inputs!D:D,,0)</f>
        <v>560</v>
      </c>
      <c r="E40" s="54">
        <f>_xlfn.XLOOKUP($A40,Inputs!$A:$A,Inputs!E:E,,0)</f>
        <v>310</v>
      </c>
      <c r="F40" s="54">
        <f>_xlfn.XLOOKUP($A40,Inputs!$A:$A,Inputs!F:F,,0)</f>
        <v>145</v>
      </c>
      <c r="G40" s="54">
        <f>_xlfn.XLOOKUP($A40,Inputs!$A:$A,Inputs!G:G,,0)</f>
        <v>186</v>
      </c>
      <c r="H40" s="54">
        <f>_xlfn.XLOOKUP($A40,Inputs!$A:$A,Inputs!H:H,,0)</f>
        <v>252</v>
      </c>
      <c r="I40" s="54">
        <f>_xlfn.XLOOKUP($A40,Inputs!$A:$A,Inputs!I:I,,0)</f>
        <v>259</v>
      </c>
      <c r="J40" s="54">
        <f>_xlfn.XLOOKUP($A40,Inputs!$A:$A,Inputs!J:J,,0)</f>
        <v>218</v>
      </c>
      <c r="K40" s="372">
        <f>_xlfn.XLOOKUP($A40,Inputs!$A:$A,Inputs!K:K,,0)</f>
        <v>98</v>
      </c>
      <c r="L40" s="54">
        <f>_xlfn.XLOOKUP($A40,Inputs!$A:$A,Inputs!L:L,,0)</f>
        <v>549</v>
      </c>
      <c r="M40" s="373">
        <f>_xlfn.XLOOKUP($A40,Inputs!$A:$A,Inputs!M:M,,0)</f>
        <v>1616</v>
      </c>
    </row>
    <row r="41" spans="1:31">
      <c r="A41" s="134" t="s">
        <v>637</v>
      </c>
      <c r="B41" s="54">
        <f>_xlfn.XLOOKUP($A41,Inputs!$A:$A,Inputs!B:B,,0)</f>
        <v>711</v>
      </c>
      <c r="C41" s="54">
        <f>_xlfn.XLOOKUP($A41,Inputs!$A:$A,Inputs!C:C,,0)</f>
        <v>784</v>
      </c>
      <c r="D41" s="54">
        <f>_xlfn.XLOOKUP($A41,Inputs!$A:$A,Inputs!D:D,,0)</f>
        <v>838</v>
      </c>
      <c r="E41" s="54">
        <f>_xlfn.XLOOKUP($A41,Inputs!$A:$A,Inputs!E:E,,0)</f>
        <v>884</v>
      </c>
      <c r="F41" s="54">
        <f>_xlfn.XLOOKUP($A41,Inputs!$A:$A,Inputs!F:F,,0)</f>
        <v>935</v>
      </c>
      <c r="G41" s="54">
        <f>_xlfn.XLOOKUP($A41,Inputs!$A:$A,Inputs!G:G,,0)</f>
        <v>1136</v>
      </c>
      <c r="H41" s="54">
        <f>_xlfn.XLOOKUP($A41,Inputs!$A:$A,Inputs!H:H,,0)</f>
        <v>932</v>
      </c>
      <c r="I41" s="54">
        <f>_xlfn.XLOOKUP($A41,Inputs!$A:$A,Inputs!I:I,,0)</f>
        <v>1030</v>
      </c>
      <c r="J41" s="54">
        <f>_xlfn.XLOOKUP($A41,Inputs!$A:$A,Inputs!J:J,,0)</f>
        <v>1139</v>
      </c>
      <c r="K41" s="54">
        <f>_xlfn.XLOOKUP($A41,Inputs!$A:$A,Inputs!K:K,,0)</f>
        <v>1203</v>
      </c>
      <c r="L41" s="54">
        <f>_xlfn.XLOOKUP($A41,Inputs!$A:$A,Inputs!L:L,,0)</f>
        <v>1096</v>
      </c>
      <c r="M41" s="55">
        <f>_xlfn.XLOOKUP($A41,Inputs!$A:$A,Inputs!M:M,,0)</f>
        <v>1042</v>
      </c>
    </row>
    <row r="42" spans="1:31">
      <c r="A42" s="136" t="s">
        <v>288</v>
      </c>
      <c r="B42" s="54">
        <f>_xlfn.XLOOKUP($A42,Inputs!$A:$A,Inputs!B:B,,0)</f>
        <v>6504</v>
      </c>
      <c r="C42" s="54">
        <f>_xlfn.XLOOKUP($A42,Inputs!$A:$A,Inputs!C:C,,0)</f>
        <v>6044</v>
      </c>
      <c r="D42" s="54">
        <f>_xlfn.XLOOKUP($A42,Inputs!$A:$A,Inputs!D:D,,0)</f>
        <v>5964</v>
      </c>
      <c r="E42" s="54">
        <f>_xlfn.XLOOKUP($A42,Inputs!$A:$A,Inputs!E:E,,0)</f>
        <v>6500</v>
      </c>
      <c r="F42" s="54">
        <f>_xlfn.XLOOKUP($A42,Inputs!$A:$A,Inputs!F:F,,0)</f>
        <v>6572</v>
      </c>
      <c r="G42" s="54">
        <f>_xlfn.XLOOKUP($A42,Inputs!$A:$A,Inputs!G:G,,0)</f>
        <v>5959</v>
      </c>
      <c r="H42" s="54">
        <f>_xlfn.XLOOKUP($A42,Inputs!$A:$A,Inputs!H:H,,0)</f>
        <v>5912</v>
      </c>
      <c r="I42" s="54">
        <f>_xlfn.XLOOKUP($A42,Inputs!$A:$A,Inputs!I:I,,0)</f>
        <v>5822</v>
      </c>
      <c r="J42" s="54">
        <f>_xlfn.XLOOKUP($A42,Inputs!$A:$A,Inputs!J:J,,0)</f>
        <v>5638</v>
      </c>
      <c r="K42" s="54">
        <f>_xlfn.XLOOKUP($A42,Inputs!$A:$A,Inputs!K:K,,0)</f>
        <v>5144</v>
      </c>
      <c r="L42" s="54">
        <f>_xlfn.XLOOKUP($A42,Inputs!$A:$A,Inputs!L:L,,0)</f>
        <v>4155</v>
      </c>
      <c r="M42" s="55">
        <f>_xlfn.XLOOKUP($A42,Inputs!$A:$A,Inputs!M:M,,0)</f>
        <v>3482</v>
      </c>
    </row>
    <row r="43" spans="1:31">
      <c r="A43" s="134" t="s">
        <v>638</v>
      </c>
      <c r="B43" s="54">
        <f>_xlfn.XLOOKUP($A43,Inputs!$A:$A,Inputs!B:B,,0)</f>
        <v>2706</v>
      </c>
      <c r="C43" s="54">
        <f>_xlfn.XLOOKUP($A43,Inputs!$A:$A,Inputs!C:C,,0)</f>
        <v>2771</v>
      </c>
      <c r="D43" s="54">
        <f>_xlfn.XLOOKUP($A43,Inputs!$A:$A,Inputs!D:D,,0)</f>
        <v>2929</v>
      </c>
      <c r="E43" s="54">
        <f>_xlfn.XLOOKUP($A43,Inputs!$A:$A,Inputs!E:E,,0)</f>
        <v>3189</v>
      </c>
      <c r="F43" s="54">
        <f>_xlfn.XLOOKUP($A43,Inputs!$A:$A,Inputs!F:F,,0)</f>
        <v>3245</v>
      </c>
      <c r="G43" s="54">
        <f>_xlfn.XLOOKUP($A43,Inputs!$A:$A,Inputs!G:G,,0)</f>
        <v>3281</v>
      </c>
      <c r="H43" s="54">
        <f>_xlfn.XLOOKUP($A43,Inputs!$A:$A,Inputs!H:H,,0)</f>
        <v>3276</v>
      </c>
      <c r="I43" s="54">
        <f>_xlfn.XLOOKUP($A43,Inputs!$A:$A,Inputs!I:I,,0)</f>
        <v>2720</v>
      </c>
      <c r="J43" s="54">
        <f>_xlfn.XLOOKUP($A43,Inputs!$A:$A,Inputs!J:J,,0)</f>
        <v>3010</v>
      </c>
      <c r="K43" s="54">
        <f>_xlfn.XLOOKUP($A43,Inputs!$A:$A,Inputs!K:K,,0)</f>
        <v>2272</v>
      </c>
      <c r="L43" s="54">
        <f>_xlfn.XLOOKUP($A43,Inputs!$A:$A,Inputs!L:L,,0)</f>
        <v>1922</v>
      </c>
      <c r="M43" s="364">
        <f>_xlfn.XLOOKUP($A43,Inputs!$A:$A,Inputs!M:M,,0)</f>
        <v>1665</v>
      </c>
    </row>
    <row r="44" spans="1:31">
      <c r="A44" s="136" t="s">
        <v>639</v>
      </c>
      <c r="B44" s="54">
        <f>_xlfn.XLOOKUP($A44,Inputs!$A:$A,Inputs!B:B,,0)</f>
        <v>2797</v>
      </c>
      <c r="C44" s="54">
        <f>_xlfn.XLOOKUP($A44,Inputs!$A:$A,Inputs!C:C,,0)</f>
        <v>3493</v>
      </c>
      <c r="D44" s="54">
        <f>_xlfn.XLOOKUP($A44,Inputs!$A:$A,Inputs!D:D,,0)</f>
        <v>2577</v>
      </c>
      <c r="E44" s="54">
        <f>_xlfn.XLOOKUP($A44,Inputs!$A:$A,Inputs!E:E,,0)</f>
        <v>2764</v>
      </c>
      <c r="F44" s="54">
        <f>_xlfn.XLOOKUP($A44,Inputs!$A:$A,Inputs!F:F,,0)</f>
        <v>2705</v>
      </c>
      <c r="G44" s="54">
        <f>_xlfn.XLOOKUP($A44,Inputs!$A:$A,Inputs!G:G,,0)</f>
        <v>2860</v>
      </c>
      <c r="H44" s="54">
        <f>_xlfn.XLOOKUP($A44,Inputs!$A:$A,Inputs!H:H,,0)</f>
        <v>2675</v>
      </c>
      <c r="I44" s="54">
        <f>_xlfn.XLOOKUP($A44,Inputs!$A:$A,Inputs!I:I,,0)</f>
        <v>3377</v>
      </c>
      <c r="J44" s="54">
        <f>_xlfn.XLOOKUP($A44,Inputs!$A:$A,Inputs!J:J,,0)</f>
        <v>2672</v>
      </c>
      <c r="K44" s="54">
        <f>_xlfn.XLOOKUP($A44,Inputs!$A:$A,Inputs!K:K,,0)</f>
        <v>2857</v>
      </c>
      <c r="L44" s="54">
        <f>_xlfn.XLOOKUP($A44,Inputs!$A:$A,Inputs!L:L,,0)</f>
        <v>2598</v>
      </c>
      <c r="M44" s="55">
        <f>_xlfn.XLOOKUP($A44,Inputs!$A:$A,Inputs!M:M,,0)</f>
        <v>1809</v>
      </c>
    </row>
    <row r="45" spans="1:31">
      <c r="A45" s="137" t="s">
        <v>42</v>
      </c>
      <c r="B45" s="64">
        <f>_xlfn.XLOOKUP($A45,Inputs!$A:$A,Inputs!B:B,,0)</f>
        <v>13893</v>
      </c>
      <c r="C45" s="64">
        <f>_xlfn.XLOOKUP($A45,Inputs!$A:$A,Inputs!C:C,,0)</f>
        <v>13678</v>
      </c>
      <c r="D45" s="64">
        <f>_xlfn.XLOOKUP($A45,Inputs!$A:$A,Inputs!D:D,,0)</f>
        <v>12897</v>
      </c>
      <c r="E45" s="64">
        <f>_xlfn.XLOOKUP($A45,Inputs!$A:$A,Inputs!E:E,,0)</f>
        <v>13692</v>
      </c>
      <c r="F45" s="64">
        <f>_xlfn.XLOOKUP($A45,Inputs!$A:$A,Inputs!F:F,,0)</f>
        <v>13661</v>
      </c>
      <c r="G45" s="64">
        <f>_xlfn.XLOOKUP($A45,Inputs!$A:$A,Inputs!G:G,,0)</f>
        <v>13479</v>
      </c>
      <c r="H45" s="64">
        <f>_xlfn.XLOOKUP($A45,Inputs!$A:$A,Inputs!H:H,,0)</f>
        <v>13106</v>
      </c>
      <c r="I45" s="64">
        <f>_xlfn.XLOOKUP($A45,Inputs!$A:$A,Inputs!I:I,,0)</f>
        <v>13270</v>
      </c>
      <c r="J45" s="64">
        <f>_xlfn.XLOOKUP($A45,Inputs!$A:$A,Inputs!J:J,,0)</f>
        <v>12747</v>
      </c>
      <c r="K45" s="64">
        <f>_xlfn.XLOOKUP($A45,Inputs!$A:$A,Inputs!K:K,,0)</f>
        <v>11639</v>
      </c>
      <c r="L45" s="64">
        <f>_xlfn.XLOOKUP($A45,Inputs!$A:$A,Inputs!L:L,,0)</f>
        <v>10430</v>
      </c>
      <c r="M45" s="362">
        <f>_xlfn.XLOOKUP($A45,Inputs!$A:$A,Inputs!M:M,,0)</f>
        <v>9805</v>
      </c>
      <c r="P45" s="1164"/>
      <c r="Q45" s="1164"/>
      <c r="R45" s="1164"/>
      <c r="S45" s="1164"/>
      <c r="T45" s="1164"/>
      <c r="U45" s="1164"/>
      <c r="V45" s="1164"/>
      <c r="W45" s="1164"/>
      <c r="X45" s="1164"/>
      <c r="Y45" s="1164"/>
      <c r="Z45" s="1164"/>
      <c r="AA45" s="1164"/>
      <c r="AB45" s="1164"/>
      <c r="AC45" s="1164"/>
      <c r="AD45" s="1164"/>
      <c r="AE45" s="1164"/>
    </row>
    <row r="46" spans="1:31">
      <c r="B46"/>
      <c r="C46"/>
      <c r="D46"/>
      <c r="E46"/>
      <c r="F46"/>
      <c r="G46"/>
      <c r="H46"/>
      <c r="I46"/>
      <c r="J46"/>
      <c r="K46"/>
      <c r="L46"/>
      <c r="M46"/>
    </row>
    <row r="47" spans="1:31">
      <c r="B47"/>
      <c r="C47"/>
      <c r="D47"/>
      <c r="E47"/>
      <c r="F47"/>
      <c r="G47"/>
      <c r="H47"/>
      <c r="I47"/>
      <c r="J47"/>
      <c r="K47"/>
      <c r="L47"/>
      <c r="M47"/>
    </row>
    <row r="48" spans="1:31" ht="20.25">
      <c r="A48" s="1544" t="s">
        <v>640</v>
      </c>
      <c r="B48" s="1544"/>
      <c r="C48" s="1544"/>
      <c r="D48" s="1544"/>
      <c r="E48" s="1544"/>
      <c r="F48" s="1544"/>
      <c r="G48" s="1544"/>
      <c r="H48" s="1544"/>
      <c r="I48" s="1544"/>
      <c r="J48" s="1544"/>
      <c r="K48" s="1544"/>
      <c r="L48" s="1544"/>
      <c r="M48" s="1544"/>
    </row>
    <row r="49" spans="1:13">
      <c r="A49" s="138" t="s">
        <v>292</v>
      </c>
      <c r="B49" s="64">
        <f>_xlfn.XLOOKUP($A49,Inputs!$A:$A,Inputs!B:B,,0)</f>
        <v>1126</v>
      </c>
      <c r="C49" s="64">
        <f>_xlfn.XLOOKUP($A49,Inputs!$A:$A,Inputs!C:C,,0)</f>
        <v>1377</v>
      </c>
      <c r="D49" s="64">
        <f>_xlfn.XLOOKUP($A49,Inputs!$A:$A,Inputs!D:D,,0)</f>
        <v>1212</v>
      </c>
      <c r="E49" s="64">
        <f>_xlfn.XLOOKUP($A49,Inputs!$A:$A,Inputs!E:E,,0)</f>
        <v>1361</v>
      </c>
      <c r="F49" s="64">
        <f>_xlfn.XLOOKUP($A49,Inputs!$A:$A,Inputs!F:F,,0)</f>
        <v>1549</v>
      </c>
      <c r="G49" s="64">
        <f>_xlfn.XLOOKUP($A49,Inputs!$A:$A,Inputs!G:G,,0)</f>
        <v>1373</v>
      </c>
      <c r="H49" s="64">
        <f>_xlfn.XLOOKUP($A49,Inputs!$A:$A,Inputs!H:H,,0)</f>
        <v>1207</v>
      </c>
      <c r="I49" s="64">
        <f>_xlfn.XLOOKUP($A49,Inputs!$A:$A,Inputs!I:I,,0)</f>
        <v>1222</v>
      </c>
      <c r="J49" s="64">
        <f>_xlfn.XLOOKUP($A49,Inputs!$A:$A,Inputs!J:J,,0)</f>
        <v>1308</v>
      </c>
      <c r="K49" s="64">
        <f>_xlfn.XLOOKUP($A49,Inputs!$A:$A,Inputs!K:K,,0)</f>
        <v>1338</v>
      </c>
      <c r="L49" s="64">
        <f>_xlfn.XLOOKUP($A49,Inputs!$A:$A,Inputs!L:L,,0)</f>
        <v>1204</v>
      </c>
      <c r="M49" s="362">
        <f>_xlfn.XLOOKUP($A49,Inputs!$A:$A,Inputs!M:M,,0)</f>
        <v>1151</v>
      </c>
    </row>
    <row r="50" spans="1:13">
      <c r="A50" s="139" t="s">
        <v>641</v>
      </c>
      <c r="B50" s="54">
        <f>_xlfn.XLOOKUP($A50,Inputs!$A:$A,Inputs!B:B,,0)</f>
        <v>6</v>
      </c>
      <c r="C50" s="54">
        <f>_xlfn.XLOOKUP($A50,Inputs!$A:$A,Inputs!C:C,,0)</f>
        <v>5</v>
      </c>
      <c r="D50" s="54">
        <f>_xlfn.XLOOKUP($A50,Inputs!$A:$A,Inputs!D:D,,0)</f>
        <v>43</v>
      </c>
      <c r="E50" s="54">
        <f>_xlfn.XLOOKUP($A50,Inputs!$A:$A,Inputs!E:E,,0)</f>
        <v>10</v>
      </c>
      <c r="F50" s="54">
        <f>_xlfn.XLOOKUP($A50,Inputs!$A:$A,Inputs!F:F,,0)</f>
        <v>160</v>
      </c>
      <c r="G50" s="54">
        <f>_xlfn.XLOOKUP($A50,Inputs!$A:$A,Inputs!G:G,,0)</f>
        <v>11</v>
      </c>
      <c r="H50" s="54">
        <f>_xlfn.XLOOKUP($A50,Inputs!$A:$A,Inputs!H:H,,0)</f>
        <v>113</v>
      </c>
      <c r="I50" s="54">
        <f>_xlfn.XLOOKUP($A50,Inputs!$A:$A,Inputs!I:I,,0)</f>
        <v>5</v>
      </c>
      <c r="J50" s="54">
        <f>_xlfn.XLOOKUP($A50,Inputs!$A:$A,Inputs!J:J,,0)</f>
        <v>5</v>
      </c>
      <c r="K50" s="54">
        <f>_xlfn.XLOOKUP($A50,Inputs!$A:$A,Inputs!K:K,,0)</f>
        <v>6</v>
      </c>
      <c r="L50" s="54">
        <f>_xlfn.XLOOKUP($A50,Inputs!$A:$A,Inputs!L:L,,0)</f>
        <v>72</v>
      </c>
      <c r="M50" s="364">
        <f>_xlfn.XLOOKUP($A50,Inputs!$A:$A,Inputs!M:M,,0)</f>
        <v>0</v>
      </c>
    </row>
    <row r="51" spans="1:13">
      <c r="A51" s="133" t="s">
        <v>642</v>
      </c>
      <c r="B51" s="54">
        <f>_xlfn.XLOOKUP($A51,Inputs!$A:$A,Inputs!B:B,,0)</f>
        <v>0</v>
      </c>
      <c r="C51" s="54">
        <f>_xlfn.XLOOKUP($A51,Inputs!$A:$A,Inputs!C:C,,0)</f>
        <v>0</v>
      </c>
      <c r="D51" s="54">
        <f>_xlfn.XLOOKUP($A51,Inputs!$A:$A,Inputs!D:D,,0)</f>
        <v>0</v>
      </c>
      <c r="E51" s="54">
        <f>_xlfn.XLOOKUP($A51,Inputs!$A:$A,Inputs!E:E,,0)</f>
        <v>0</v>
      </c>
      <c r="F51" s="54">
        <f>_xlfn.XLOOKUP($A51,Inputs!$A:$A,Inputs!F:F,,0)</f>
        <v>0</v>
      </c>
      <c r="G51" s="54">
        <f>_xlfn.XLOOKUP($A51,Inputs!$A:$A,Inputs!G:G,,0)</f>
        <v>0</v>
      </c>
      <c r="H51" s="54">
        <f>_xlfn.XLOOKUP($A51,Inputs!$A:$A,Inputs!H:H,,0)</f>
        <v>0</v>
      </c>
      <c r="I51" s="54">
        <f>_xlfn.XLOOKUP($A51,Inputs!$A:$A,Inputs!I:I,,0)</f>
        <v>1</v>
      </c>
      <c r="J51" s="54">
        <f>_xlfn.XLOOKUP($A51,Inputs!$A:$A,Inputs!J:J,,0)</f>
        <v>1</v>
      </c>
      <c r="K51" s="54">
        <f>_xlfn.XLOOKUP($A51,Inputs!$A:$A,Inputs!K:K,,0)</f>
        <v>1</v>
      </c>
      <c r="L51" s="54">
        <f>_xlfn.XLOOKUP($A51,Inputs!$A:$A,Inputs!L:L,,0)</f>
        <v>1</v>
      </c>
      <c r="M51" s="364">
        <f>_xlfn.XLOOKUP($A51,Inputs!$A:$A,Inputs!M:M,,0)</f>
        <v>0</v>
      </c>
    </row>
    <row r="52" spans="1:13">
      <c r="A52" s="134" t="s">
        <v>643</v>
      </c>
      <c r="B52" s="54">
        <f>_xlfn.XLOOKUP($A52,Inputs!$A:$A,Inputs!B:B,,0)</f>
        <v>791</v>
      </c>
      <c r="C52" s="54">
        <f>_xlfn.XLOOKUP($A52,Inputs!$A:$A,Inputs!C:C,,0)</f>
        <v>1031</v>
      </c>
      <c r="D52" s="54">
        <f>_xlfn.XLOOKUP($A52,Inputs!$A:$A,Inputs!D:D,,0)</f>
        <v>860</v>
      </c>
      <c r="E52" s="54">
        <f>_xlfn.XLOOKUP($A52,Inputs!$A:$A,Inputs!E:E,,0)</f>
        <v>1000</v>
      </c>
      <c r="F52" s="54">
        <f>_xlfn.XLOOKUP($A52,Inputs!$A:$A,Inputs!F:F,,0)</f>
        <v>958</v>
      </c>
      <c r="G52" s="54">
        <f>_xlfn.XLOOKUP($A52,Inputs!$A:$A,Inputs!G:G,,0)</f>
        <v>953</v>
      </c>
      <c r="H52" s="54">
        <f>_xlfn.XLOOKUP($A52,Inputs!$A:$A,Inputs!H:H,,0)</f>
        <v>691</v>
      </c>
      <c r="I52" s="54">
        <f>_xlfn.XLOOKUP($A52,Inputs!$A:$A,Inputs!I:I,,0)</f>
        <v>765</v>
      </c>
      <c r="J52" s="54">
        <f>_xlfn.XLOOKUP($A52,Inputs!$A:$A,Inputs!J:J,,0)</f>
        <v>836</v>
      </c>
      <c r="K52" s="54">
        <f>_xlfn.XLOOKUP($A52,Inputs!$A:$A,Inputs!K:K,,0)</f>
        <v>836</v>
      </c>
      <c r="L52" s="54">
        <f>_xlfn.XLOOKUP($A52,Inputs!$A:$A,Inputs!L:L,,0)</f>
        <v>723</v>
      </c>
      <c r="M52" s="364">
        <f>_xlfn.XLOOKUP($A52,Inputs!$A:$A,Inputs!M:M,,0)</f>
        <v>751</v>
      </c>
    </row>
    <row r="53" spans="1:13">
      <c r="A53" s="138" t="s">
        <v>644</v>
      </c>
      <c r="B53" s="64">
        <f>_xlfn.XLOOKUP($A53,Inputs!$A:$A,Inputs!B:B,,0)</f>
        <v>782</v>
      </c>
      <c r="C53" s="64">
        <f>_xlfn.XLOOKUP($A53,Inputs!$A:$A,Inputs!C:C,,0)</f>
        <v>761</v>
      </c>
      <c r="D53" s="64">
        <f>_xlfn.XLOOKUP($A53,Inputs!$A:$A,Inputs!D:D,,0)</f>
        <v>788</v>
      </c>
      <c r="E53" s="64">
        <f>_xlfn.XLOOKUP($A53,Inputs!$A:$A,Inputs!E:E,,0)</f>
        <v>926</v>
      </c>
      <c r="F53" s="64">
        <f>_xlfn.XLOOKUP($A53,Inputs!$A:$A,Inputs!F:F,,0)</f>
        <v>927</v>
      </c>
      <c r="G53" s="64">
        <f>_xlfn.XLOOKUP($A53,Inputs!$A:$A,Inputs!G:G,,0)</f>
        <v>905</v>
      </c>
      <c r="H53" s="64">
        <f>_xlfn.XLOOKUP($A53,Inputs!$A:$A,Inputs!H:H,,0)</f>
        <v>912</v>
      </c>
      <c r="I53" s="64">
        <f>_xlfn.XLOOKUP($A53,Inputs!$A:$A,Inputs!I:I,,0)</f>
        <v>908</v>
      </c>
      <c r="J53" s="64">
        <f>_xlfn.XLOOKUP($A53,Inputs!$A:$A,Inputs!J:J,,0)</f>
        <v>856</v>
      </c>
      <c r="K53" s="64">
        <f>_xlfn.XLOOKUP($A53,Inputs!$A:$A,Inputs!K:K,,0)</f>
        <v>793</v>
      </c>
      <c r="L53" s="64">
        <f>_xlfn.XLOOKUP($A53,Inputs!$A:$A,Inputs!L:L,,0)</f>
        <v>672</v>
      </c>
      <c r="M53" s="362">
        <f>_xlfn.XLOOKUP($A53,Inputs!$A:$A,Inputs!M:M,,0)</f>
        <v>600</v>
      </c>
    </row>
    <row r="54" spans="1:13">
      <c r="A54" s="139" t="s">
        <v>645</v>
      </c>
      <c r="B54" s="54">
        <f>_xlfn.XLOOKUP($A54,Inputs!$A:$A,Inputs!B:B,,0)</f>
        <v>2</v>
      </c>
      <c r="C54" s="54">
        <f>_xlfn.XLOOKUP($A54,Inputs!$A:$A,Inputs!C:C,,0)</f>
        <v>2</v>
      </c>
      <c r="D54" s="54">
        <f>_xlfn.XLOOKUP($A54,Inputs!$A:$A,Inputs!D:D,,0)</f>
        <v>3</v>
      </c>
      <c r="E54" s="54">
        <f>_xlfn.XLOOKUP($A54,Inputs!$A:$A,Inputs!E:E,,0)</f>
        <v>20</v>
      </c>
      <c r="F54" s="54">
        <f>_xlfn.XLOOKUP($A54,Inputs!$A:$A,Inputs!F:F,,0)</f>
        <v>22</v>
      </c>
      <c r="G54" s="54">
        <f>_xlfn.XLOOKUP($A54,Inputs!$A:$A,Inputs!G:G,,0)</f>
        <v>26</v>
      </c>
      <c r="H54" s="54">
        <f>_xlfn.XLOOKUP($A54,Inputs!$A:$A,Inputs!H:H,,0)</f>
        <v>31</v>
      </c>
      <c r="I54" s="54">
        <f>_xlfn.XLOOKUP($A54,Inputs!$A:$A,Inputs!I:I,,0)</f>
        <v>34</v>
      </c>
      <c r="J54" s="54">
        <f>_xlfn.XLOOKUP($A54,Inputs!$A:$A,Inputs!J:J,,0)</f>
        <v>38</v>
      </c>
      <c r="K54" s="54">
        <f>_xlfn.XLOOKUP($A54,Inputs!$A:$A,Inputs!K:K,,0)</f>
        <v>44</v>
      </c>
      <c r="L54" s="54">
        <f>_xlfn.XLOOKUP($A54,Inputs!$A:$A,Inputs!L:L,,0)</f>
        <v>60</v>
      </c>
      <c r="M54" s="364">
        <f>_xlfn.XLOOKUP($A54,Inputs!$A:$A,Inputs!M:M,,0)</f>
        <v>73</v>
      </c>
    </row>
    <row r="55" spans="1:13">
      <c r="A55" s="133" t="s">
        <v>646</v>
      </c>
      <c r="B55" s="54">
        <f>_xlfn.XLOOKUP($A55,Inputs!$A:$A,Inputs!B:B,,0)</f>
        <v>0</v>
      </c>
      <c r="C55" s="54">
        <f>_xlfn.XLOOKUP($A55,Inputs!$A:$A,Inputs!C:C,,0)</f>
        <v>0</v>
      </c>
      <c r="D55" s="54">
        <f>_xlfn.XLOOKUP($A55,Inputs!$A:$A,Inputs!D:D,,0)</f>
        <v>0</v>
      </c>
      <c r="E55" s="54">
        <f>_xlfn.XLOOKUP($A55,Inputs!$A:$A,Inputs!E:E,,0)</f>
        <v>0</v>
      </c>
      <c r="F55" s="54">
        <f>_xlfn.XLOOKUP($A55,Inputs!$A:$A,Inputs!F:F,,0)</f>
        <v>0</v>
      </c>
      <c r="G55" s="54">
        <f>_xlfn.XLOOKUP($A55,Inputs!$A:$A,Inputs!G:G,,0)</f>
        <v>0</v>
      </c>
      <c r="H55" s="54">
        <f>_xlfn.XLOOKUP($A55,Inputs!$A:$A,Inputs!H:H,,0)</f>
        <v>0</v>
      </c>
      <c r="I55" s="54">
        <f>_xlfn.XLOOKUP($A55,Inputs!$A:$A,Inputs!I:I,,0)</f>
        <v>0</v>
      </c>
      <c r="J55" s="54">
        <f>_xlfn.XLOOKUP($A55,Inputs!$A:$A,Inputs!J:J,,0)</f>
        <v>0</v>
      </c>
      <c r="K55" s="54">
        <f>_xlfn.XLOOKUP($A55,Inputs!$A:$A,Inputs!K:K,,0)</f>
        <v>0</v>
      </c>
      <c r="L55" s="54">
        <f>_xlfn.XLOOKUP($A55,Inputs!$A:$A,Inputs!L:L,,0)</f>
        <v>0</v>
      </c>
      <c r="M55" s="364">
        <f>_xlfn.XLOOKUP($A55,Inputs!$A:$A,Inputs!M:M,,0)</f>
        <v>0</v>
      </c>
    </row>
    <row r="56" spans="1:13">
      <c r="A56" s="134" t="s">
        <v>647</v>
      </c>
      <c r="B56" s="54">
        <f>_xlfn.XLOOKUP($A56,Inputs!$A:$A,Inputs!B:B,,0)</f>
        <v>780</v>
      </c>
      <c r="C56" s="54">
        <f>_xlfn.XLOOKUP($A56,Inputs!$A:$A,Inputs!C:C,,0)</f>
        <v>759</v>
      </c>
      <c r="D56" s="54">
        <f>_xlfn.XLOOKUP($A56,Inputs!$A:$A,Inputs!D:D,,0)</f>
        <v>785</v>
      </c>
      <c r="E56" s="54">
        <f>_xlfn.XLOOKUP($A56,Inputs!$A:$A,Inputs!E:E,,0)</f>
        <v>906</v>
      </c>
      <c r="F56" s="54">
        <f>_xlfn.XLOOKUP($A56,Inputs!$A:$A,Inputs!F:F,,0)</f>
        <v>905</v>
      </c>
      <c r="G56" s="54">
        <f>_xlfn.XLOOKUP($A56,Inputs!$A:$A,Inputs!G:G,,0)</f>
        <v>879</v>
      </c>
      <c r="H56" s="54">
        <f>_xlfn.XLOOKUP($A56,Inputs!$A:$A,Inputs!H:H,,0)</f>
        <v>881</v>
      </c>
      <c r="I56" s="54">
        <f>_xlfn.XLOOKUP($A56,Inputs!$A:$A,Inputs!I:I,,0)</f>
        <v>874</v>
      </c>
      <c r="J56" s="54">
        <f>_xlfn.XLOOKUP($A56,Inputs!$A:$A,Inputs!J:J,,0)</f>
        <v>818</v>
      </c>
      <c r="K56" s="54">
        <f>_xlfn.XLOOKUP($A56,Inputs!$A:$A,Inputs!K:K,,0)</f>
        <v>749</v>
      </c>
      <c r="L56" s="54">
        <f>_xlfn.XLOOKUP($A56,Inputs!$A:$A,Inputs!L:L,,0)</f>
        <v>612</v>
      </c>
      <c r="M56" s="364">
        <f>_xlfn.XLOOKUP($A56,Inputs!$A:$A,Inputs!M:M,,0)</f>
        <v>527</v>
      </c>
    </row>
    <row r="57" spans="1:13">
      <c r="A57" s="138" t="s">
        <v>48</v>
      </c>
      <c r="B57" s="64">
        <f>_xlfn.XLOOKUP($A57,Inputs!$A:$A,Inputs!B:B,,0)</f>
        <v>1908</v>
      </c>
      <c r="C57" s="64">
        <f>_xlfn.XLOOKUP($A57,Inputs!$A:$A,Inputs!C:C,,0)</f>
        <v>2138</v>
      </c>
      <c r="D57" s="64">
        <f>_xlfn.XLOOKUP($A57,Inputs!$A:$A,Inputs!D:D,,0)</f>
        <v>2000</v>
      </c>
      <c r="E57" s="64">
        <f>_xlfn.XLOOKUP($A57,Inputs!$A:$A,Inputs!E:E,,0)</f>
        <v>2287</v>
      </c>
      <c r="F57" s="64">
        <f>_xlfn.XLOOKUP($A57,Inputs!$A:$A,Inputs!F:F,,0)</f>
        <v>2476</v>
      </c>
      <c r="G57" s="64">
        <f>_xlfn.XLOOKUP($A57,Inputs!$A:$A,Inputs!G:G,,0)</f>
        <v>2278</v>
      </c>
      <c r="H57" s="64">
        <f>_xlfn.XLOOKUP($A57,Inputs!$A:$A,Inputs!H:H,,0)</f>
        <v>2119</v>
      </c>
      <c r="I57" s="64">
        <f>_xlfn.XLOOKUP($A57,Inputs!$A:$A,Inputs!I:I,,0)</f>
        <v>2130</v>
      </c>
      <c r="J57" s="64">
        <f>_xlfn.XLOOKUP($A57,Inputs!$A:$A,Inputs!J:J,,0)</f>
        <v>2164</v>
      </c>
      <c r="K57" s="64">
        <f>_xlfn.XLOOKUP($A57,Inputs!$A:$A,Inputs!K:K,,0)</f>
        <v>2131</v>
      </c>
      <c r="L57" s="64">
        <f>_xlfn.XLOOKUP($A57,Inputs!$A:$A,Inputs!L:L,,0)</f>
        <v>1876</v>
      </c>
      <c r="M57" s="362">
        <f>_xlfn.XLOOKUP($A57,Inputs!$A:$A,Inputs!M:M,,0)</f>
        <v>1751</v>
      </c>
    </row>
    <row r="58" spans="1:13">
      <c r="B58"/>
      <c r="C58"/>
      <c r="D58"/>
      <c r="E58"/>
      <c r="F58"/>
      <c r="G58"/>
      <c r="H58"/>
      <c r="I58"/>
      <c r="J58"/>
      <c r="K58"/>
      <c r="L58"/>
      <c r="M58"/>
    </row>
    <row r="59" spans="1:13">
      <c r="A59" s="138" t="s">
        <v>293</v>
      </c>
      <c r="B59" s="64">
        <f>B50+B54+B51</f>
        <v>8</v>
      </c>
      <c r="C59" s="64">
        <f t="shared" ref="C59:M59" si="72">C50+C54+C51</f>
        <v>7</v>
      </c>
      <c r="D59" s="64">
        <f t="shared" si="72"/>
        <v>46</v>
      </c>
      <c r="E59" s="64">
        <f t="shared" si="72"/>
        <v>30</v>
      </c>
      <c r="F59" s="64">
        <f t="shared" si="72"/>
        <v>182</v>
      </c>
      <c r="G59" s="64">
        <f>G50+G54+G51</f>
        <v>37</v>
      </c>
      <c r="H59" s="374">
        <f>H50+H54+H51</f>
        <v>144</v>
      </c>
      <c r="I59" s="64">
        <f t="shared" si="72"/>
        <v>40</v>
      </c>
      <c r="J59" s="64">
        <f t="shared" si="72"/>
        <v>44</v>
      </c>
      <c r="K59" s="64">
        <f t="shared" si="72"/>
        <v>51</v>
      </c>
      <c r="L59" s="64">
        <f t="shared" si="72"/>
        <v>133</v>
      </c>
      <c r="M59" s="64">
        <f t="shared" si="72"/>
        <v>73</v>
      </c>
    </row>
    <row r="60" spans="1:13">
      <c r="A60" s="139" t="s">
        <v>70</v>
      </c>
      <c r="B60" s="57">
        <f>IFERROR(B59/B45,"-")</f>
        <v>5.7582955445188223E-4</v>
      </c>
      <c r="C60" s="57">
        <f t="shared" ref="C60:M60" si="73">IFERROR(C59/C45,"-")</f>
        <v>5.1177072671443195E-4</v>
      </c>
      <c r="D60" s="57">
        <f t="shared" si="73"/>
        <v>3.5667209428549276E-3</v>
      </c>
      <c r="E60" s="57">
        <f t="shared" si="73"/>
        <v>2.1910604732690623E-3</v>
      </c>
      <c r="F60" s="57">
        <f t="shared" si="73"/>
        <v>1.3322597174438181E-2</v>
      </c>
      <c r="G60" s="57">
        <f t="shared" si="73"/>
        <v>2.74501075747459E-3</v>
      </c>
      <c r="H60" s="57">
        <f t="shared" si="73"/>
        <v>1.0987334045475354E-2</v>
      </c>
      <c r="I60" s="57">
        <f t="shared" si="73"/>
        <v>3.0143180105501131E-3</v>
      </c>
      <c r="J60" s="57">
        <f t="shared" si="73"/>
        <v>3.4517925786459558E-3</v>
      </c>
      <c r="K60" s="57">
        <f t="shared" si="73"/>
        <v>4.3818197439642577E-3</v>
      </c>
      <c r="L60" s="57">
        <f t="shared" si="73"/>
        <v>1.2751677852348993E-2</v>
      </c>
      <c r="M60" s="363">
        <f t="shared" si="73"/>
        <v>7.4451810300866905E-3</v>
      </c>
    </row>
    <row r="61" spans="1:13">
      <c r="A61" s="138" t="s">
        <v>664</v>
      </c>
      <c r="B61" s="64">
        <f>B59-B40</f>
        <v>-1148</v>
      </c>
      <c r="C61" s="64">
        <f t="shared" ref="C61:M61" si="74">C59-C40</f>
        <v>-558</v>
      </c>
      <c r="D61" s="64">
        <f t="shared" si="74"/>
        <v>-514</v>
      </c>
      <c r="E61" s="64">
        <f t="shared" si="74"/>
        <v>-280</v>
      </c>
      <c r="F61" s="64">
        <f t="shared" si="74"/>
        <v>37</v>
      </c>
      <c r="G61" s="64">
        <f t="shared" si="74"/>
        <v>-149</v>
      </c>
      <c r="H61" s="64">
        <f t="shared" si="74"/>
        <v>-108</v>
      </c>
      <c r="I61" s="64">
        <f t="shared" si="74"/>
        <v>-219</v>
      </c>
      <c r="J61" s="64">
        <f t="shared" si="74"/>
        <v>-174</v>
      </c>
      <c r="K61" s="64">
        <f t="shared" si="74"/>
        <v>-47</v>
      </c>
      <c r="L61" s="64">
        <f t="shared" si="74"/>
        <v>-416</v>
      </c>
      <c r="M61" s="362">
        <f t="shared" si="74"/>
        <v>-1543</v>
      </c>
    </row>
    <row r="62" spans="1:13">
      <c r="B62"/>
      <c r="C62"/>
      <c r="D62"/>
      <c r="E62"/>
      <c r="F62"/>
      <c r="G62"/>
      <c r="H62"/>
      <c r="I62"/>
      <c r="J62"/>
      <c r="K62"/>
      <c r="L62"/>
      <c r="M62"/>
    </row>
    <row r="63" spans="1:13" s="47" customFormat="1">
      <c r="A63" s="138" t="s">
        <v>649</v>
      </c>
      <c r="B63" s="64">
        <f>_xlfn.XLOOKUP($A63,Inputs!$A:$A,Inputs!B:B,,0)</f>
        <v>66</v>
      </c>
      <c r="C63" s="64">
        <f>_xlfn.XLOOKUP($A63,Inputs!$A:$A,Inputs!C:C,,0)</f>
        <v>65</v>
      </c>
      <c r="D63" s="64">
        <f>_xlfn.XLOOKUP($A63,Inputs!$A:$A,Inputs!D:D,,0)</f>
        <v>68</v>
      </c>
      <c r="E63" s="64">
        <f>_xlfn.XLOOKUP($A63,Inputs!$A:$A,Inputs!E:E,,0)</f>
        <v>88</v>
      </c>
      <c r="F63" s="64">
        <f>_xlfn.XLOOKUP($A63,Inputs!$A:$A,Inputs!F:F,,0)</f>
        <v>89</v>
      </c>
      <c r="G63" s="64">
        <f>_xlfn.XLOOKUP($A63,Inputs!$A:$A,Inputs!G:G,,0)</f>
        <v>88</v>
      </c>
      <c r="H63" s="64">
        <f>_xlfn.XLOOKUP($A63,Inputs!$A:$A,Inputs!H:H,,0)</f>
        <v>86</v>
      </c>
      <c r="I63" s="64">
        <f>_xlfn.XLOOKUP($A63,Inputs!$A:$A,Inputs!I:I,,0)</f>
        <v>102</v>
      </c>
      <c r="J63" s="64">
        <f>_xlfn.XLOOKUP($A63,Inputs!$A:$A,Inputs!J:J,,0)</f>
        <v>91</v>
      </c>
      <c r="K63" s="64">
        <f>_xlfn.XLOOKUP($A63,Inputs!$A:$A,Inputs!K:K,,0)</f>
        <v>66</v>
      </c>
      <c r="L63" s="64">
        <f>_xlfn.XLOOKUP($A63,Inputs!$A:$A,Inputs!L:L,,0)</f>
        <v>19</v>
      </c>
      <c r="M63" s="362">
        <f>_xlfn.XLOOKUP($A63,Inputs!$A:$A,Inputs!M:M,,0)</f>
        <v>17</v>
      </c>
    </row>
    <row r="64" spans="1:13">
      <c r="B64"/>
      <c r="C64"/>
      <c r="D64"/>
      <c r="E64"/>
      <c r="F64"/>
      <c r="G64"/>
      <c r="H64"/>
      <c r="I64"/>
      <c r="J64"/>
      <c r="K64"/>
      <c r="L64"/>
      <c r="M64"/>
    </row>
    <row r="65" spans="1:235">
      <c r="A65" s="138" t="s">
        <v>650</v>
      </c>
      <c r="B65" s="64">
        <f>_xlfn.XLOOKUP($A65,Inputs!$A:$A,Inputs!B:B,,0)</f>
        <v>11985</v>
      </c>
      <c r="C65" s="64">
        <f>_xlfn.XLOOKUP($A65,Inputs!$A:$A,Inputs!C:C,,0)</f>
        <v>11475</v>
      </c>
      <c r="D65" s="64">
        <f>_xlfn.XLOOKUP($A65,Inputs!$A:$A,Inputs!D:D,,0)</f>
        <v>10829</v>
      </c>
      <c r="E65" s="64">
        <f>_xlfn.XLOOKUP($A65,Inputs!$A:$A,Inputs!E:E,,0)</f>
        <v>11317</v>
      </c>
      <c r="F65" s="64">
        <f>_xlfn.XLOOKUP($A65,Inputs!$A:$A,Inputs!F:F,,0)</f>
        <v>11096</v>
      </c>
      <c r="G65" s="64">
        <f>_xlfn.XLOOKUP($A65,Inputs!$A:$A,Inputs!G:G,,0)</f>
        <v>11113</v>
      </c>
      <c r="H65" s="64">
        <f>_xlfn.XLOOKUP($A65,Inputs!$A:$A,Inputs!H:H,,0)</f>
        <v>10901</v>
      </c>
      <c r="I65" s="64">
        <f>_xlfn.XLOOKUP($A65,Inputs!$A:$A,Inputs!I:I,,0)</f>
        <v>11038</v>
      </c>
      <c r="J65" s="64">
        <f>_xlfn.XLOOKUP($A65,Inputs!$A:$A,Inputs!J:J,,0)</f>
        <v>10492</v>
      </c>
      <c r="K65" s="64">
        <f>_xlfn.XLOOKUP($A65,Inputs!$A:$A,Inputs!K:K,,0)</f>
        <v>9442</v>
      </c>
      <c r="L65" s="64">
        <f>_xlfn.XLOOKUP($A65,Inputs!$A:$A,Inputs!L:L,,0)</f>
        <v>8535</v>
      </c>
      <c r="M65" s="362">
        <f>_xlfn.XLOOKUP($A65,Inputs!$A:$A,Inputs!M:M,,0)</f>
        <v>8037</v>
      </c>
    </row>
    <row r="66" spans="1:235">
      <c r="K66" s="42"/>
      <c r="L66" s="42"/>
      <c r="M66" s="42"/>
    </row>
    <row r="67" spans="1:235" ht="20.25">
      <c r="A67" s="1544" t="s">
        <v>128</v>
      </c>
      <c r="B67" s="1544"/>
      <c r="C67" s="1544"/>
      <c r="D67" s="1544"/>
      <c r="E67" s="1544"/>
      <c r="F67" s="1544"/>
      <c r="G67" s="1544"/>
      <c r="H67" s="1544"/>
      <c r="I67" s="1544"/>
      <c r="J67" s="1544"/>
      <c r="K67" s="1544"/>
      <c r="L67" s="1544"/>
      <c r="M67" s="1544"/>
    </row>
    <row r="68" spans="1:235">
      <c r="A68" s="138" t="s">
        <v>129</v>
      </c>
      <c r="B68" s="64">
        <f>_xlfn.XLOOKUP($A68,Inputs!$A:$A,Inputs!B:B,,0)</f>
        <v>724</v>
      </c>
      <c r="C68" s="64">
        <f>_xlfn.XLOOKUP($A68,Inputs!$A:$A,Inputs!C:C,,0)</f>
        <v>1298</v>
      </c>
      <c r="D68" s="64">
        <f>_xlfn.XLOOKUP($A68,Inputs!$A:$A,Inputs!D:D,,0)</f>
        <v>819</v>
      </c>
      <c r="E68" s="64">
        <f>_xlfn.XLOOKUP($A68,Inputs!$A:$A,Inputs!E:E,,0)</f>
        <v>1224</v>
      </c>
      <c r="F68" s="64">
        <f>_xlfn.XLOOKUP($A68,Inputs!$A:$A,Inputs!F:F,,0)</f>
        <v>943</v>
      </c>
      <c r="G68" s="64">
        <f>_xlfn.XLOOKUP($A68,Inputs!$A:$A,Inputs!G:G,,0)</f>
        <v>1264</v>
      </c>
      <c r="H68" s="64">
        <f>_xlfn.XLOOKUP($A68,Inputs!$A:$A,Inputs!H:H,,0)</f>
        <v>1010</v>
      </c>
      <c r="I68" s="64">
        <f>_xlfn.XLOOKUP($A68,Inputs!$A:$A,Inputs!I:I,,0)</f>
        <v>1404</v>
      </c>
      <c r="J68" s="64">
        <f>_xlfn.XLOOKUP($A68,Inputs!$A:$A,Inputs!J:J,,0)</f>
        <v>1848</v>
      </c>
      <c r="K68" s="64">
        <f>_xlfn.XLOOKUP($A68,Inputs!$A:$A,Inputs!K:K,,0)</f>
        <v>1309</v>
      </c>
      <c r="L68" s="375">
        <f>_xlfn.XLOOKUP($A68,Inputs!$A:$A,Inputs!L:L,,0)</f>
        <v>999</v>
      </c>
      <c r="M68" s="376">
        <f>_xlfn.XLOOKUP($A68,Inputs!$A:$A,Inputs!M:M,,0)</f>
        <v>705</v>
      </c>
    </row>
    <row r="69" spans="1:235">
      <c r="A69" s="138" t="s">
        <v>130</v>
      </c>
      <c r="B69" s="64">
        <f>_xlfn.XLOOKUP($A69,Inputs!$A:$A,Inputs!B:B,,0)</f>
        <v>-114</v>
      </c>
      <c r="C69" s="64">
        <f>_xlfn.XLOOKUP($A69,Inputs!$A:$A,Inputs!C:C,,0)</f>
        <v>-727</v>
      </c>
      <c r="D69" s="64">
        <f>_xlfn.XLOOKUP($A69,Inputs!$A:$A,Inputs!D:D,,0)</f>
        <v>-126</v>
      </c>
      <c r="E69" s="64">
        <f>_xlfn.XLOOKUP($A69,Inputs!$A:$A,Inputs!E:E,,0)</f>
        <v>-344</v>
      </c>
      <c r="F69" s="64">
        <f>_xlfn.XLOOKUP($A69,Inputs!$A:$A,Inputs!F:F,,0)</f>
        <v>-651</v>
      </c>
      <c r="G69" s="64">
        <f>_xlfn.XLOOKUP($A69,Inputs!$A:$A,Inputs!G:G,,0)</f>
        <v>-435</v>
      </c>
      <c r="H69" s="64">
        <f>_xlfn.XLOOKUP($A69,Inputs!$A:$A,Inputs!H:H,,0)</f>
        <v>-484</v>
      </c>
      <c r="I69" s="374">
        <f>_xlfn.XLOOKUP($A69,Inputs!$A:$A,Inputs!I:I,,0)</f>
        <v>-836</v>
      </c>
      <c r="J69" s="374">
        <f>_xlfn.XLOOKUP($A69,Inputs!$A:$A,Inputs!J:J,,0)</f>
        <v>-1122</v>
      </c>
      <c r="K69" s="374">
        <f>_xlfn.XLOOKUP($A69,Inputs!$A:$A,Inputs!K:K,,0)</f>
        <v>-1309</v>
      </c>
      <c r="L69" s="378">
        <f>_xlfn.XLOOKUP($A69,Inputs!$A:$A,Inputs!L:L,,0)</f>
        <v>-836</v>
      </c>
      <c r="M69" s="378">
        <f>_xlfn.XLOOKUP($A69,Inputs!$A:$A,Inputs!M:M,,0)</f>
        <v>-561</v>
      </c>
    </row>
    <row r="70" spans="1:235">
      <c r="A70" s="134" t="s">
        <v>131</v>
      </c>
      <c r="B70" s="54">
        <f>_xlfn.XLOOKUP($A70,Inputs!$A:$A,Inputs!B:B,,0)</f>
        <v>-339</v>
      </c>
      <c r="C70" s="54">
        <f>_xlfn.XLOOKUP($A70,Inputs!$A:$A,Inputs!C:C,,0)</f>
        <v>-251</v>
      </c>
      <c r="D70" s="54">
        <f>_xlfn.XLOOKUP($A70,Inputs!$A:$A,Inputs!D:D,,0)</f>
        <v>-208</v>
      </c>
      <c r="E70" s="54">
        <f>_xlfn.XLOOKUP($A70,Inputs!$A:$A,Inputs!E:E,,0)</f>
        <v>-399</v>
      </c>
      <c r="F70" s="54">
        <f>_xlfn.XLOOKUP($A70,Inputs!$A:$A,Inputs!F:F,,0)</f>
        <v>-437</v>
      </c>
      <c r="G70" s="54">
        <f>_xlfn.XLOOKUP($A70,Inputs!$A:$A,Inputs!G:G,,0)</f>
        <v>-396</v>
      </c>
      <c r="H70" s="54">
        <f>_xlfn.XLOOKUP($A70,Inputs!$A:$A,Inputs!H:H,,0)</f>
        <v>-504</v>
      </c>
      <c r="I70" s="54">
        <f>_xlfn.XLOOKUP($A70,Inputs!$A:$A,Inputs!I:I,,0)</f>
        <v>-602</v>
      </c>
      <c r="J70" s="372">
        <f>_xlfn.XLOOKUP($A70,Inputs!$A:$A,Inputs!J:J,,0)</f>
        <v>-1040</v>
      </c>
      <c r="K70" s="54">
        <f>_xlfn.XLOOKUP($A70,Inputs!$A:$A,Inputs!K:K,,0)</f>
        <v>-574</v>
      </c>
      <c r="L70" s="366">
        <f>_xlfn.XLOOKUP($A70,Inputs!$A:$A,Inputs!L:L,,0)</f>
        <v>-438</v>
      </c>
      <c r="M70" s="377">
        <f>_xlfn.XLOOKUP($A70,Inputs!$A:$A,Inputs!M:M,,0)</f>
        <v>-365</v>
      </c>
    </row>
    <row r="71" spans="1:235">
      <c r="A71" s="134" t="s">
        <v>132</v>
      </c>
      <c r="B71" s="54">
        <f>_xlfn.XLOOKUP($A71,Inputs!$A:$A,Inputs!B:B,,0)</f>
        <v>-1715</v>
      </c>
      <c r="C71" s="54">
        <f>_xlfn.XLOOKUP($A71,Inputs!$A:$A,Inputs!C:C,,0)</f>
        <v>-579</v>
      </c>
      <c r="D71" s="54">
        <f>_xlfn.XLOOKUP($A71,Inputs!$A:$A,Inputs!D:D,,0)</f>
        <v>-177</v>
      </c>
      <c r="E71" s="54">
        <f>_xlfn.XLOOKUP($A71,Inputs!$A:$A,Inputs!E:E,,0)</f>
        <v>-120</v>
      </c>
      <c r="F71" s="54">
        <f>_xlfn.XLOOKUP($A71,Inputs!$A:$A,Inputs!F:F,,0)</f>
        <v>-343</v>
      </c>
      <c r="G71" s="54">
        <f>_xlfn.XLOOKUP($A71,Inputs!$A:$A,Inputs!G:G,,0)</f>
        <v>-180</v>
      </c>
      <c r="H71" s="54">
        <f>_xlfn.XLOOKUP($A71,Inputs!$A:$A,Inputs!H:H,,0)</f>
        <v>-135</v>
      </c>
      <c r="I71" s="54">
        <f>_xlfn.XLOOKUP($A71,Inputs!$A:$A,Inputs!I:I,,0)</f>
        <v>-394</v>
      </c>
      <c r="J71" s="54">
        <f>_xlfn.XLOOKUP($A71,Inputs!$A:$A,Inputs!J:J,,0)</f>
        <v>-350</v>
      </c>
      <c r="K71" s="54">
        <f>_xlfn.XLOOKUP($A71,Inputs!$A:$A,Inputs!K:K,,0)</f>
        <v>-339</v>
      </c>
      <c r="L71" s="54">
        <f>_xlfn.XLOOKUP($A71,Inputs!$A:$A,Inputs!L:L,,0)</f>
        <v>-238</v>
      </c>
      <c r="M71" s="364">
        <f>_xlfn.XLOOKUP($A71,Inputs!$A:$A,Inputs!M:M,,0)</f>
        <v>-281</v>
      </c>
      <c r="IA71" s="42"/>
    </row>
    <row r="72" spans="1:235">
      <c r="A72" s="138" t="s">
        <v>133</v>
      </c>
      <c r="B72" s="64">
        <f>_xlfn.XLOOKUP($A72,Inputs!$A:$A,Inputs!B:B,,0)</f>
        <v>-300</v>
      </c>
      <c r="C72" s="64">
        <f>_xlfn.XLOOKUP($A72,Inputs!$A:$A,Inputs!C:C,,0)</f>
        <v>-234</v>
      </c>
      <c r="D72" s="64">
        <f>_xlfn.XLOOKUP($A72,Inputs!$A:$A,Inputs!D:D,,0)</f>
        <v>-251</v>
      </c>
      <c r="E72" s="374">
        <f>_xlfn.XLOOKUP($A72,Inputs!$A:$A,Inputs!E:E,,0)</f>
        <v>-615</v>
      </c>
      <c r="F72" s="374">
        <f>_xlfn.XLOOKUP($A72,Inputs!$A:$A,Inputs!F:F,,0)</f>
        <v>-659</v>
      </c>
      <c r="G72" s="374">
        <f>_xlfn.XLOOKUP($A72,Inputs!$A:$A,Inputs!G:G,,0)</f>
        <v>-677</v>
      </c>
      <c r="H72" s="374">
        <f>_xlfn.XLOOKUP($A72,Inputs!$A:$A,Inputs!H:H,,0)</f>
        <v>-666</v>
      </c>
      <c r="I72" s="64">
        <f>_xlfn.XLOOKUP($A72,Inputs!$A:$A,Inputs!I:I,,0)</f>
        <v>-452</v>
      </c>
      <c r="J72" s="64">
        <f>_xlfn.XLOOKUP($A72,Inputs!$A:$A,Inputs!J:J,,0)</f>
        <v>-456</v>
      </c>
      <c r="K72" s="64">
        <f>_xlfn.XLOOKUP($A72,Inputs!$A:$A,Inputs!K:K,,0)</f>
        <v>-598</v>
      </c>
      <c r="L72" s="64">
        <f>_xlfn.XLOOKUP($A72,Inputs!$A:$A,Inputs!L:L,,0)</f>
        <v>-255</v>
      </c>
      <c r="M72" s="362">
        <f>_xlfn.XLOOKUP($A72,Inputs!$A:$A,Inputs!M:M,,0)</f>
        <v>-350</v>
      </c>
      <c r="IA72" s="42"/>
    </row>
    <row r="73" spans="1:235">
      <c r="A73" s="134" t="s">
        <v>134</v>
      </c>
      <c r="B73" s="54">
        <f>_xlfn.XLOOKUP($A73,Inputs!$A:$A,Inputs!B:B,,0)</f>
        <v>-300</v>
      </c>
      <c r="C73" s="54">
        <f>_xlfn.XLOOKUP($A73,Inputs!$A:$A,Inputs!C:C,,0)</f>
        <v>-196</v>
      </c>
      <c r="D73" s="54">
        <f>_xlfn.XLOOKUP($A73,Inputs!$A:$A,Inputs!D:D,,0)</f>
        <v>-295</v>
      </c>
      <c r="E73" s="54">
        <f>_xlfn.XLOOKUP($A73,Inputs!$A:$A,Inputs!E:E,,0)</f>
        <v>-430</v>
      </c>
      <c r="F73" s="54">
        <f>_xlfn.XLOOKUP($A73,Inputs!$A:$A,Inputs!F:F,,0)</f>
        <v>-413</v>
      </c>
      <c r="G73" s="54">
        <f>_xlfn.XLOOKUP($A73,Inputs!$A:$A,Inputs!G:G,,0)</f>
        <v>-374</v>
      </c>
      <c r="H73" s="54">
        <f>_xlfn.XLOOKUP($A73,Inputs!$A:$A,Inputs!H:H,,0)</f>
        <v>-439</v>
      </c>
      <c r="I73" s="54">
        <f>_xlfn.XLOOKUP($A73,Inputs!$A:$A,Inputs!I:I,,0)</f>
        <v>-431</v>
      </c>
      <c r="J73" s="54">
        <f>_xlfn.XLOOKUP($A73,Inputs!$A:$A,Inputs!J:J,,0)</f>
        <v>-421</v>
      </c>
      <c r="K73" s="54">
        <f>_xlfn.XLOOKUP($A73,Inputs!$A:$A,Inputs!K:K,,0)</f>
        <v>-371</v>
      </c>
      <c r="L73" s="54">
        <f>_xlfn.XLOOKUP($A73,Inputs!$A:$A,Inputs!L:L,,0)</f>
        <v>-316</v>
      </c>
      <c r="M73" s="364">
        <f>_xlfn.XLOOKUP($A73,Inputs!$A:$A,Inputs!M:M,,0)</f>
        <v>-270</v>
      </c>
      <c r="IA73" s="42"/>
    </row>
    <row r="74" spans="1:235">
      <c r="A74" s="134" t="s">
        <v>631</v>
      </c>
      <c r="B74" s="54">
        <f>_xlfn.XLOOKUP($A74,Inputs!$A:$A,Inputs!B:B,,0)</f>
        <v>-2</v>
      </c>
      <c r="C74" s="54">
        <f>_xlfn.XLOOKUP($A74,Inputs!$A:$A,Inputs!C:C,,0)</f>
        <v>-12</v>
      </c>
      <c r="D74" s="54">
        <f>_xlfn.XLOOKUP($A74,Inputs!$A:$A,Inputs!D:D,,0)</f>
        <v>0</v>
      </c>
      <c r="E74" s="54">
        <f>_xlfn.XLOOKUP($A74,Inputs!$A:$A,Inputs!E:E,,0)</f>
        <v>-35</v>
      </c>
      <c r="F74" s="54">
        <f>_xlfn.XLOOKUP($A74,Inputs!$A:$A,Inputs!F:F,,0)</f>
        <v>-391</v>
      </c>
      <c r="G74" s="54">
        <f>_xlfn.XLOOKUP($A74,Inputs!$A:$A,Inputs!G:G,,0)</f>
        <v>-204</v>
      </c>
      <c r="H74" s="372">
        <f>_xlfn.XLOOKUP($A74,Inputs!$A:$A,Inputs!H:H,,0)</f>
        <v>-332</v>
      </c>
      <c r="I74" s="54">
        <f>_xlfn.XLOOKUP($A74,Inputs!$A:$A,Inputs!I:I,,0)</f>
        <v>-29</v>
      </c>
      <c r="J74" s="54">
        <f>_xlfn.XLOOKUP($A74,Inputs!$A:$A,Inputs!J:J,,0)</f>
        <v>-107</v>
      </c>
      <c r="K74" s="54">
        <f>_xlfn.XLOOKUP($A74,Inputs!$A:$A,Inputs!K:K,,0)</f>
        <v>-2</v>
      </c>
      <c r="L74" s="54">
        <f>_xlfn.XLOOKUP($A74,Inputs!$A:$A,Inputs!L:L,,0)</f>
        <v>-2</v>
      </c>
      <c r="M74" s="364">
        <f>_xlfn.XLOOKUP($A74,Inputs!$A:$A,Inputs!M:M,,0)</f>
        <v>-54</v>
      </c>
    </row>
    <row r="75" spans="1:235">
      <c r="A75" s="138" t="s">
        <v>137</v>
      </c>
      <c r="B75" s="64">
        <f>_xlfn.XLOOKUP($A75,Inputs!$A:$A,Inputs!B:B,,0)</f>
        <v>-21</v>
      </c>
      <c r="C75" s="64">
        <f>_xlfn.XLOOKUP($A75,Inputs!$A:$A,Inputs!C:C,,0)</f>
        <v>10</v>
      </c>
      <c r="D75" s="64">
        <f>_xlfn.XLOOKUP($A75,Inputs!$A:$A,Inputs!D:D,,0)</f>
        <v>-50</v>
      </c>
      <c r="E75" s="64">
        <f>_xlfn.XLOOKUP($A75,Inputs!$A:$A,Inputs!E:E,,0)</f>
        <v>-19</v>
      </c>
      <c r="F75" s="64">
        <f>_xlfn.XLOOKUP($A75,Inputs!$A:$A,Inputs!F:F,,0)</f>
        <v>-22</v>
      </c>
      <c r="G75" s="64">
        <f>_xlfn.XLOOKUP($A75,Inputs!$A:$A,Inputs!G:G,,0)</f>
        <v>3</v>
      </c>
      <c r="H75" s="64">
        <f>_xlfn.XLOOKUP($A75,Inputs!$A:$A,Inputs!H:H,,0)</f>
        <v>-4</v>
      </c>
      <c r="I75" s="64">
        <f>_xlfn.XLOOKUP($A75,Inputs!$A:$A,Inputs!I:I,,0)</f>
        <v>-38</v>
      </c>
      <c r="J75" s="64">
        <f>_xlfn.XLOOKUP($A75,Inputs!$A:$A,Inputs!J:J,,0)</f>
        <v>24</v>
      </c>
      <c r="K75" s="64">
        <f>_xlfn.XLOOKUP($A75,Inputs!$A:$A,Inputs!K:K,,0)</f>
        <v>-14</v>
      </c>
      <c r="L75" s="64">
        <f>_xlfn.XLOOKUP($A75,Inputs!$A:$A,Inputs!L:L,,0)</f>
        <v>-4</v>
      </c>
      <c r="M75" s="362">
        <f>_xlfn.XLOOKUP($A75,Inputs!$A:$A,Inputs!M:M,,0)</f>
        <v>-3</v>
      </c>
    </row>
    <row r="76" spans="1:235">
      <c r="A76" s="138" t="s">
        <v>665</v>
      </c>
      <c r="B76" s="64">
        <f>_xlfn.XLOOKUP($A76,Inputs!$A:$A,Inputs!B:B,,0)</f>
        <v>289</v>
      </c>
      <c r="C76" s="64">
        <f>_xlfn.XLOOKUP($A76,Inputs!$A:$A,Inputs!C:C,,0)</f>
        <v>347</v>
      </c>
      <c r="D76" s="64">
        <f>_xlfn.XLOOKUP($A76,Inputs!$A:$A,Inputs!D:D,,0)</f>
        <v>392</v>
      </c>
      <c r="E76" s="64">
        <f>_xlfn.XLOOKUP($A76,Inputs!$A:$A,Inputs!E:E,,0)</f>
        <v>246</v>
      </c>
      <c r="F76" s="64">
        <f>_xlfn.XLOOKUP($A76,Inputs!$A:$A,Inputs!F:F,,0)</f>
        <v>-389</v>
      </c>
      <c r="G76" s="64">
        <f>_xlfn.XLOOKUP($A76,Inputs!$A:$A,Inputs!G:G,,0)</f>
        <v>155</v>
      </c>
      <c r="H76" s="64">
        <f>_xlfn.XLOOKUP($A76,Inputs!$A:$A,Inputs!H:H,,0)</f>
        <v>-144</v>
      </c>
      <c r="I76" s="64">
        <f>_xlfn.XLOOKUP($A76,Inputs!$A:$A,Inputs!I:I,,0)</f>
        <v>78</v>
      </c>
      <c r="J76" s="64">
        <f>_xlfn.XLOOKUP($A76,Inputs!$A:$A,Inputs!J:J,,0)</f>
        <v>294</v>
      </c>
      <c r="K76" s="64">
        <f>_xlfn.XLOOKUP($A76,Inputs!$A:$A,Inputs!K:K,,0)</f>
        <v>-612</v>
      </c>
      <c r="L76" s="64">
        <f>_xlfn.XLOOKUP($A76,Inputs!$A:$A,Inputs!L:L,,0)</f>
        <v>-96</v>
      </c>
      <c r="M76" s="362">
        <f>_xlfn.XLOOKUP($A76,Inputs!$A:$A,Inputs!M:M,,0)</f>
        <v>-209</v>
      </c>
    </row>
    <row r="77" spans="1:235">
      <c r="K77" s="42"/>
      <c r="L77" s="42"/>
      <c r="M77" s="42"/>
    </row>
    <row r="78" spans="1:235" ht="20.25">
      <c r="A78" s="1544" t="s">
        <v>651</v>
      </c>
      <c r="B78" s="1544"/>
      <c r="C78" s="1544"/>
      <c r="D78" s="1544"/>
      <c r="E78" s="1544"/>
      <c r="F78" s="1544"/>
      <c r="G78" s="1544"/>
      <c r="H78" s="1544"/>
      <c r="I78" s="1544"/>
      <c r="J78" s="1544"/>
      <c r="K78" s="1544"/>
      <c r="L78" s="1544"/>
      <c r="M78" s="1544"/>
    </row>
    <row r="79" spans="1:235">
      <c r="A79" s="133" t="s">
        <v>652</v>
      </c>
      <c r="B79" s="536">
        <f>Inputs!B81</f>
        <v>32061</v>
      </c>
      <c r="C79" s="536">
        <v>31444</v>
      </c>
      <c r="D79" s="536">
        <v>32424</v>
      </c>
      <c r="E79" s="536">
        <v>36089</v>
      </c>
      <c r="F79" s="536">
        <v>37123</v>
      </c>
      <c r="G79" s="536">
        <v>35360</v>
      </c>
      <c r="H79" s="536">
        <v>35705</v>
      </c>
      <c r="I79" s="536">
        <v>36313</v>
      </c>
      <c r="J79" s="536">
        <v>35623</v>
      </c>
      <c r="K79" s="536">
        <v>33590</v>
      </c>
      <c r="L79" s="536">
        <v>29788</v>
      </c>
      <c r="M79" s="537">
        <v>28028</v>
      </c>
    </row>
    <row r="80" spans="1:235">
      <c r="A80" s="139" t="s">
        <v>653</v>
      </c>
      <c r="B80" s="538">
        <f>Shares!B11</f>
        <v>143547</v>
      </c>
      <c r="C80" s="538">
        <f>Shares!C11</f>
        <v>143355</v>
      </c>
      <c r="D80" s="538">
        <f>Shares!D11</f>
        <v>143042</v>
      </c>
      <c r="E80" s="538">
        <f>Shares!E11</f>
        <v>142242</v>
      </c>
      <c r="F80" s="538">
        <f>Shares!F11</f>
        <v>144718</v>
      </c>
      <c r="G80" s="538">
        <f>Shares!G11</f>
        <v>146322</v>
      </c>
      <c r="H80" s="538">
        <f>Shares!H11</f>
        <v>148660</v>
      </c>
      <c r="I80" s="538">
        <f>Shares!I11</f>
        <v>150156</v>
      </c>
      <c r="J80" s="538">
        <f>Shares!J11</f>
        <v>150215</v>
      </c>
      <c r="K80" s="538">
        <f>Shares!K11</f>
        <v>149850</v>
      </c>
      <c r="L80" s="538">
        <f>Shares!L11</f>
        <v>148530</v>
      </c>
      <c r="M80" s="538">
        <f>Shares!M11</f>
        <v>148735</v>
      </c>
    </row>
    <row r="81" spans="1:13">
      <c r="A81" s="133" t="s">
        <v>46</v>
      </c>
      <c r="B81" s="1179">
        <f>Inputs!B83</f>
        <v>0.26341139004014247</v>
      </c>
      <c r="C81" s="68"/>
      <c r="D81" s="45"/>
      <c r="E81" s="45"/>
      <c r="F81" s="45"/>
      <c r="G81" s="45"/>
      <c r="H81" s="45"/>
      <c r="I81" s="45"/>
      <c r="J81" s="45"/>
      <c r="K81" s="45"/>
      <c r="L81" s="45"/>
      <c r="M81" s="45"/>
    </row>
    <row r="82" spans="1:13">
      <c r="A82" s="139" t="s">
        <v>51</v>
      </c>
      <c r="B82" s="1173">
        <f>_xlfn.XLOOKUP($A82,Inputs!$A:$A,Inputs!B:B,,0)</f>
        <v>0.53239999999999998</v>
      </c>
      <c r="C82" s="68"/>
      <c r="D82" s="45"/>
      <c r="E82" s="45"/>
      <c r="F82" s="45"/>
      <c r="G82" s="45"/>
      <c r="H82" s="45"/>
      <c r="I82" s="45"/>
      <c r="J82" s="45"/>
      <c r="K82" s="45"/>
      <c r="L82" s="45"/>
      <c r="M82" s="45"/>
    </row>
    <row r="83" spans="1:13">
      <c r="A83" s="133" t="s">
        <v>654</v>
      </c>
      <c r="B83" s="364" t="str">
        <f>_xlfn.XLOOKUP($A83,Inputs!$A:$A,Inputs!B:B,,0)</f>
        <v>N/A</v>
      </c>
      <c r="C83" s="68"/>
      <c r="D83" s="45"/>
      <c r="E83" s="45"/>
      <c r="F83" s="45"/>
      <c r="G83" s="45"/>
      <c r="H83" s="45"/>
      <c r="I83" s="45"/>
      <c r="J83" s="45"/>
      <c r="K83" s="45"/>
      <c r="L83" s="45"/>
      <c r="M83" s="45"/>
    </row>
    <row r="84" spans="1:13">
      <c r="A84" s="133" t="s">
        <v>655</v>
      </c>
      <c r="B84" s="1173">
        <f>_xlfn.XLOOKUP($A84,Inputs!$A:$A,Inputs!B:B,,0)</f>
        <v>2.5670689548948872E-2</v>
      </c>
      <c r="C84" s="68"/>
      <c r="D84" s="45"/>
      <c r="E84" s="45"/>
      <c r="F84" s="45"/>
      <c r="G84" s="45"/>
      <c r="H84" s="45"/>
      <c r="I84" s="45"/>
      <c r="J84" s="45"/>
      <c r="K84" s="45"/>
      <c r="L84" s="45"/>
      <c r="M84" s="45"/>
    </row>
    <row r="85" spans="1:13">
      <c r="A85" s="139" t="s">
        <v>656</v>
      </c>
      <c r="B85" s="365">
        <f>_xlfn.XLOOKUP($A85,Inputs!$A:$A,Inputs!B:B,,0)</f>
        <v>0.40971680000000005</v>
      </c>
      <c r="C85" s="68"/>
      <c r="D85" s="45"/>
      <c r="E85" s="45"/>
      <c r="F85" s="45"/>
      <c r="G85" s="45"/>
      <c r="H85" s="45"/>
      <c r="I85" s="45"/>
      <c r="J85" s="45"/>
      <c r="K85" s="45"/>
      <c r="L85" s="45"/>
      <c r="M85" s="45"/>
    </row>
    <row r="86" spans="1:13">
      <c r="B86" s="45"/>
      <c r="C86" s="45"/>
      <c r="D86" s="45"/>
      <c r="E86" s="45"/>
      <c r="F86" s="45"/>
      <c r="G86" s="45"/>
      <c r="H86" s="45"/>
      <c r="I86" s="45"/>
      <c r="J86" s="45"/>
      <c r="K86" s="45"/>
      <c r="L86" s="45"/>
      <c r="M86" s="45"/>
    </row>
    <row r="87" spans="1:13">
      <c r="B87" s="69"/>
      <c r="C87" s="69"/>
      <c r="D87" s="2"/>
      <c r="G87" s="43"/>
      <c r="H87" s="45"/>
      <c r="I87" s="45"/>
      <c r="J87" s="45"/>
      <c r="K87" s="45"/>
      <c r="L87" s="45"/>
      <c r="M87" s="45"/>
    </row>
    <row r="88" spans="1:13">
      <c r="B88" s="69"/>
      <c r="C88" s="69"/>
      <c r="D88" s="2"/>
      <c r="G88" s="45"/>
      <c r="H88" s="45"/>
      <c r="I88" s="45"/>
      <c r="J88" s="45"/>
      <c r="K88" s="45"/>
      <c r="L88" s="45"/>
      <c r="M88" s="45"/>
    </row>
    <row r="89" spans="1:13">
      <c r="B89" s="69"/>
      <c r="C89" s="69"/>
      <c r="D89" s="2"/>
      <c r="G89"/>
    </row>
    <row r="90" spans="1:13">
      <c r="B90" s="69"/>
      <c r="C90" s="69"/>
      <c r="D90" s="2"/>
    </row>
    <row r="91" spans="1:13">
      <c r="B91" s="69"/>
      <c r="C91" s="69"/>
      <c r="D91" s="2"/>
      <c r="E91" s="69"/>
      <c r="G91" s="43"/>
    </row>
    <row r="92" spans="1:13">
      <c r="B92" s="69"/>
      <c r="C92" s="69"/>
      <c r="D92" s="2"/>
      <c r="E92" s="69"/>
      <c r="G92"/>
    </row>
    <row r="93" spans="1:13">
      <c r="B93" s="69"/>
      <c r="C93" s="69"/>
      <c r="D93" s="2"/>
      <c r="E93" s="69"/>
      <c r="F93" s="2"/>
    </row>
    <row r="94" spans="1:13">
      <c r="B94" s="69"/>
      <c r="C94" s="69"/>
      <c r="D94" s="2"/>
      <c r="E94" s="69"/>
      <c r="F94" s="2"/>
    </row>
    <row r="95" spans="1:13">
      <c r="B95" s="69"/>
      <c r="C95" s="69"/>
      <c r="D95" s="2"/>
      <c r="E95" s="69"/>
      <c r="F95" s="2"/>
    </row>
    <row r="96" spans="1:13">
      <c r="B96" s="69"/>
      <c r="C96" s="69"/>
      <c r="D96" s="2"/>
      <c r="E96" s="69"/>
      <c r="F96" s="2"/>
    </row>
    <row r="97" spans="2:6">
      <c r="B97" s="69"/>
      <c r="C97" s="69"/>
      <c r="D97" s="2"/>
      <c r="E97" s="69"/>
      <c r="F97" s="2"/>
    </row>
    <row r="98" spans="2:6">
      <c r="B98" s="69"/>
      <c r="C98" s="69"/>
      <c r="D98" s="2"/>
      <c r="E98" s="69"/>
      <c r="F98" s="2"/>
    </row>
    <row r="99" spans="2:6">
      <c r="B99" s="69"/>
      <c r="C99" s="69"/>
      <c r="D99" s="2"/>
      <c r="E99" s="69"/>
      <c r="F99" s="2"/>
    </row>
    <row r="100" spans="2:6">
      <c r="B100" s="69"/>
      <c r="C100" s="69"/>
      <c r="D100" s="2"/>
      <c r="E100" s="69"/>
      <c r="F100" s="2"/>
    </row>
  </sheetData>
  <mergeCells count="7">
    <mergeCell ref="A78:M78"/>
    <mergeCell ref="A1:M1"/>
    <mergeCell ref="A2:M2"/>
    <mergeCell ref="A3:M3"/>
    <mergeCell ref="A39:M39"/>
    <mergeCell ref="A48:M48"/>
    <mergeCell ref="A67:M67"/>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A128"/>
  <sheetViews>
    <sheetView topLeftCell="J1" workbookViewId="0"/>
  </sheetViews>
  <sheetFormatPr defaultColWidth="8.85546875" defaultRowHeight="12.75"/>
  <cols>
    <col min="1" max="9" width="0" hidden="1" customWidth="1"/>
    <col min="11" max="11" width="21.85546875" bestFit="1" customWidth="1"/>
  </cols>
  <sheetData>
    <row r="2" spans="2:27">
      <c r="E2" s="11" t="s">
        <v>666</v>
      </c>
      <c r="F2" s="11" t="s">
        <v>667</v>
      </c>
      <c r="H2" s="11" t="s">
        <v>373</v>
      </c>
      <c r="K2" s="1547" t="s">
        <v>666</v>
      </c>
      <c r="L2" s="1549" t="s">
        <v>668</v>
      </c>
      <c r="M2" s="1550"/>
      <c r="N2" s="1550"/>
      <c r="O2" s="1550"/>
      <c r="P2" s="1551"/>
      <c r="Q2" s="1550" t="s">
        <v>335</v>
      </c>
      <c r="R2" s="1550"/>
      <c r="S2" s="1550"/>
      <c r="T2" s="1550"/>
      <c r="U2" s="1550"/>
      <c r="V2" s="1550"/>
      <c r="W2" s="1550"/>
      <c r="X2" s="1550"/>
      <c r="Y2" s="1550"/>
      <c r="Z2" s="1550"/>
      <c r="AA2" s="1551"/>
    </row>
    <row r="3" spans="2:27">
      <c r="E3" t="s">
        <v>669</v>
      </c>
      <c r="F3" t="s">
        <v>670</v>
      </c>
      <c r="H3" s="11" t="s">
        <v>322</v>
      </c>
      <c r="K3" s="1548"/>
      <c r="L3" s="82" t="s">
        <v>671</v>
      </c>
      <c r="M3" s="101" t="s">
        <v>672</v>
      </c>
      <c r="N3" s="101" t="s">
        <v>673</v>
      </c>
      <c r="O3" s="101" t="s">
        <v>674</v>
      </c>
      <c r="P3" s="102" t="s">
        <v>675</v>
      </c>
      <c r="Q3" s="101" t="s">
        <v>676</v>
      </c>
      <c r="R3" s="101" t="s">
        <v>677</v>
      </c>
      <c r="S3" s="101" t="s">
        <v>342</v>
      </c>
      <c r="T3" s="101" t="s">
        <v>678</v>
      </c>
      <c r="U3" s="101" t="s">
        <v>679</v>
      </c>
      <c r="V3" s="101" t="s">
        <v>680</v>
      </c>
      <c r="W3" s="101" t="s">
        <v>681</v>
      </c>
      <c r="X3" s="101" t="s">
        <v>682</v>
      </c>
      <c r="Y3" s="101" t="s">
        <v>683</v>
      </c>
      <c r="Z3" s="101" t="s">
        <v>684</v>
      </c>
      <c r="AA3" s="102" t="s">
        <v>364</v>
      </c>
    </row>
    <row r="4" spans="2:27">
      <c r="B4" s="83"/>
      <c r="E4" t="s">
        <v>669</v>
      </c>
      <c r="F4" t="s">
        <v>685</v>
      </c>
      <c r="H4" s="11" t="s">
        <v>379</v>
      </c>
      <c r="K4" s="103" t="s">
        <v>669</v>
      </c>
      <c r="L4" s="104" t="s">
        <v>373</v>
      </c>
      <c r="M4" t="s">
        <v>373</v>
      </c>
      <c r="N4" t="s">
        <v>322</v>
      </c>
      <c r="O4" t="s">
        <v>373</v>
      </c>
      <c r="P4" s="105" t="s">
        <v>373</v>
      </c>
      <c r="Q4" t="s">
        <v>322</v>
      </c>
      <c r="R4" t="s">
        <v>322</v>
      </c>
      <c r="S4" t="s">
        <v>373</v>
      </c>
      <c r="T4" t="s">
        <v>373</v>
      </c>
      <c r="U4" t="s">
        <v>379</v>
      </c>
      <c r="V4" t="s">
        <v>373</v>
      </c>
      <c r="W4" t="s">
        <v>373</v>
      </c>
      <c r="X4" t="s">
        <v>373</v>
      </c>
      <c r="Y4" t="s">
        <v>373</v>
      </c>
      <c r="Z4" t="s">
        <v>373</v>
      </c>
      <c r="AA4" s="105" t="s">
        <v>322</v>
      </c>
    </row>
    <row r="5" spans="2:27" ht="15">
      <c r="B5" s="97" t="s">
        <v>315</v>
      </c>
      <c r="E5" t="s">
        <v>669</v>
      </c>
      <c r="F5" t="s">
        <v>686</v>
      </c>
      <c r="H5" s="11" t="s">
        <v>687</v>
      </c>
      <c r="K5" s="103" t="s">
        <v>688</v>
      </c>
      <c r="L5" s="104" t="s">
        <v>373</v>
      </c>
      <c r="M5" t="s">
        <v>373</v>
      </c>
      <c r="N5" t="s">
        <v>322</v>
      </c>
      <c r="O5" t="s">
        <v>322</v>
      </c>
      <c r="P5" s="105" t="s">
        <v>373</v>
      </c>
      <c r="Q5" t="s">
        <v>322</v>
      </c>
      <c r="R5" t="s">
        <v>322</v>
      </c>
      <c r="S5" t="s">
        <v>373</v>
      </c>
      <c r="T5" t="s">
        <v>373</v>
      </c>
      <c r="U5" t="s">
        <v>322</v>
      </c>
      <c r="V5" t="s">
        <v>322</v>
      </c>
      <c r="W5" t="s">
        <v>322</v>
      </c>
      <c r="X5" t="s">
        <v>379</v>
      </c>
      <c r="Y5" t="s">
        <v>373</v>
      </c>
      <c r="Z5" t="s">
        <v>379</v>
      </c>
      <c r="AA5" s="105" t="s">
        <v>373</v>
      </c>
    </row>
    <row r="6" spans="2:27">
      <c r="B6" s="99" t="s">
        <v>689</v>
      </c>
      <c r="E6" t="s">
        <v>669</v>
      </c>
      <c r="F6" t="s">
        <v>690</v>
      </c>
      <c r="K6" s="103" t="s">
        <v>299</v>
      </c>
      <c r="L6" s="104" t="s">
        <v>379</v>
      </c>
      <c r="M6" t="s">
        <v>687</v>
      </c>
      <c r="N6" t="s">
        <v>379</v>
      </c>
      <c r="O6" t="s">
        <v>379</v>
      </c>
      <c r="P6" s="105" t="s">
        <v>379</v>
      </c>
      <c r="Q6" t="s">
        <v>322</v>
      </c>
      <c r="R6" t="s">
        <v>379</v>
      </c>
      <c r="S6" t="s">
        <v>379</v>
      </c>
      <c r="T6" t="s">
        <v>373</v>
      </c>
      <c r="U6" t="s">
        <v>322</v>
      </c>
      <c r="V6" t="s">
        <v>322</v>
      </c>
      <c r="W6" t="s">
        <v>373</v>
      </c>
      <c r="X6" t="s">
        <v>379</v>
      </c>
      <c r="Y6" t="s">
        <v>373</v>
      </c>
      <c r="Z6" t="s">
        <v>687</v>
      </c>
      <c r="AA6" s="105" t="s">
        <v>373</v>
      </c>
    </row>
    <row r="7" spans="2:27">
      <c r="B7" s="99" t="s">
        <v>691</v>
      </c>
      <c r="E7" t="s">
        <v>669</v>
      </c>
      <c r="F7" t="s">
        <v>692</v>
      </c>
      <c r="K7" s="103" t="s">
        <v>673</v>
      </c>
      <c r="L7" s="104" t="s">
        <v>687</v>
      </c>
      <c r="M7" t="s">
        <v>687</v>
      </c>
      <c r="N7" t="s">
        <v>322</v>
      </c>
      <c r="O7" t="s">
        <v>687</v>
      </c>
      <c r="P7" s="105" t="s">
        <v>379</v>
      </c>
      <c r="Q7" t="s">
        <v>379</v>
      </c>
      <c r="R7" t="s">
        <v>322</v>
      </c>
      <c r="S7" t="s">
        <v>322</v>
      </c>
      <c r="T7" t="s">
        <v>322</v>
      </c>
      <c r="U7" t="s">
        <v>322</v>
      </c>
      <c r="V7" t="s">
        <v>379</v>
      </c>
      <c r="W7" t="s">
        <v>322</v>
      </c>
      <c r="X7" t="s">
        <v>322</v>
      </c>
      <c r="Y7" t="s">
        <v>379</v>
      </c>
      <c r="Z7" t="s">
        <v>379</v>
      </c>
      <c r="AA7" s="105" t="s">
        <v>373</v>
      </c>
    </row>
    <row r="8" spans="2:27">
      <c r="B8" s="99"/>
      <c r="K8" s="103" t="s">
        <v>693</v>
      </c>
      <c r="L8" s="104" t="s">
        <v>373</v>
      </c>
      <c r="M8" t="s">
        <v>373</v>
      </c>
      <c r="N8" t="s">
        <v>373</v>
      </c>
      <c r="O8" t="s">
        <v>322</v>
      </c>
      <c r="P8" s="105" t="s">
        <v>322</v>
      </c>
      <c r="Q8" t="s">
        <v>373</v>
      </c>
      <c r="R8" t="s">
        <v>322</v>
      </c>
      <c r="S8" t="s">
        <v>322</v>
      </c>
      <c r="T8" t="s">
        <v>379</v>
      </c>
      <c r="U8" t="s">
        <v>322</v>
      </c>
      <c r="V8" t="s">
        <v>373</v>
      </c>
      <c r="W8" t="s">
        <v>373</v>
      </c>
      <c r="X8" t="s">
        <v>322</v>
      </c>
      <c r="Y8" t="s">
        <v>322</v>
      </c>
      <c r="Z8" t="s">
        <v>379</v>
      </c>
      <c r="AA8" s="105" t="s">
        <v>373</v>
      </c>
    </row>
    <row r="9" spans="2:27">
      <c r="B9" s="99" t="s">
        <v>325</v>
      </c>
      <c r="E9" t="s">
        <v>669</v>
      </c>
      <c r="F9" t="s">
        <v>694</v>
      </c>
      <c r="K9" s="103" t="s">
        <v>695</v>
      </c>
      <c r="L9" s="104" t="s">
        <v>373</v>
      </c>
      <c r="M9" t="s">
        <v>373</v>
      </c>
      <c r="N9" t="s">
        <v>373</v>
      </c>
      <c r="O9" t="s">
        <v>373</v>
      </c>
      <c r="P9" s="105" t="s">
        <v>373</v>
      </c>
      <c r="Q9" t="s">
        <v>373</v>
      </c>
      <c r="R9" t="s">
        <v>373</v>
      </c>
      <c r="S9" t="s">
        <v>322</v>
      </c>
      <c r="T9" t="s">
        <v>379</v>
      </c>
      <c r="U9" t="s">
        <v>322</v>
      </c>
      <c r="V9" t="s">
        <v>373</v>
      </c>
      <c r="W9" t="s">
        <v>373</v>
      </c>
      <c r="X9" t="s">
        <v>373</v>
      </c>
      <c r="Y9" t="s">
        <v>373</v>
      </c>
      <c r="Z9" t="s">
        <v>322</v>
      </c>
      <c r="AA9" s="105" t="s">
        <v>373</v>
      </c>
    </row>
    <row r="10" spans="2:27">
      <c r="B10" s="99"/>
      <c r="K10" s="103" t="s">
        <v>696</v>
      </c>
      <c r="L10" s="104" t="s">
        <v>373</v>
      </c>
      <c r="M10" t="s">
        <v>322</v>
      </c>
      <c r="N10" t="s">
        <v>373</v>
      </c>
      <c r="O10" t="s">
        <v>322</v>
      </c>
      <c r="P10" s="105" t="s">
        <v>379</v>
      </c>
      <c r="Q10" t="s">
        <v>373</v>
      </c>
      <c r="R10" t="s">
        <v>373</v>
      </c>
      <c r="S10" t="s">
        <v>373</v>
      </c>
      <c r="T10" t="s">
        <v>373</v>
      </c>
      <c r="U10" t="s">
        <v>373</v>
      </c>
      <c r="V10" t="s">
        <v>373</v>
      </c>
      <c r="W10" t="s">
        <v>373</v>
      </c>
      <c r="X10" t="s">
        <v>373</v>
      </c>
      <c r="Y10" t="s">
        <v>322</v>
      </c>
      <c r="Z10" t="s">
        <v>373</v>
      </c>
      <c r="AA10" s="105" t="s">
        <v>373</v>
      </c>
    </row>
    <row r="11" spans="2:27">
      <c r="B11" s="99" t="s">
        <v>329</v>
      </c>
      <c r="E11" t="s">
        <v>669</v>
      </c>
      <c r="F11" t="s">
        <v>697</v>
      </c>
      <c r="K11" s="103" t="s">
        <v>698</v>
      </c>
      <c r="L11" s="104" t="s">
        <v>373</v>
      </c>
      <c r="M11" t="s">
        <v>322</v>
      </c>
      <c r="N11" t="s">
        <v>373</v>
      </c>
      <c r="O11" t="s">
        <v>373</v>
      </c>
      <c r="P11" s="105" t="s">
        <v>373</v>
      </c>
      <c r="Q11" t="s">
        <v>373</v>
      </c>
      <c r="R11" t="s">
        <v>373</v>
      </c>
      <c r="S11" t="s">
        <v>322</v>
      </c>
      <c r="T11" t="s">
        <v>373</v>
      </c>
      <c r="U11" t="s">
        <v>379</v>
      </c>
      <c r="V11" t="s">
        <v>373</v>
      </c>
      <c r="W11" t="s">
        <v>373</v>
      </c>
      <c r="X11" t="s">
        <v>373</v>
      </c>
      <c r="Y11" t="s">
        <v>373</v>
      </c>
      <c r="Z11" t="s">
        <v>373</v>
      </c>
      <c r="AA11" s="105" t="s">
        <v>373</v>
      </c>
    </row>
    <row r="12" spans="2:27">
      <c r="B12" s="98" t="s">
        <v>699</v>
      </c>
      <c r="E12" t="s">
        <v>669</v>
      </c>
      <c r="F12" t="s">
        <v>700</v>
      </c>
      <c r="K12" s="103" t="s">
        <v>701</v>
      </c>
      <c r="L12" s="104" t="s">
        <v>687</v>
      </c>
      <c r="M12" t="s">
        <v>687</v>
      </c>
      <c r="N12" t="s">
        <v>687</v>
      </c>
      <c r="O12" t="s">
        <v>379</v>
      </c>
      <c r="P12" s="105" t="s">
        <v>379</v>
      </c>
      <c r="Q12" t="s">
        <v>373</v>
      </c>
      <c r="R12" t="s">
        <v>322</v>
      </c>
      <c r="S12" t="s">
        <v>379</v>
      </c>
      <c r="T12" t="s">
        <v>687</v>
      </c>
      <c r="U12" t="s">
        <v>322</v>
      </c>
      <c r="V12" t="s">
        <v>687</v>
      </c>
      <c r="W12" t="s">
        <v>322</v>
      </c>
      <c r="X12" t="s">
        <v>687</v>
      </c>
      <c r="Y12" t="s">
        <v>687</v>
      </c>
      <c r="Z12" t="s">
        <v>687</v>
      </c>
      <c r="AA12" s="105" t="s">
        <v>379</v>
      </c>
    </row>
    <row r="13" spans="2:27" ht="15">
      <c r="B13" s="97" t="s">
        <v>335</v>
      </c>
      <c r="E13" t="s">
        <v>669</v>
      </c>
      <c r="F13" t="s">
        <v>702</v>
      </c>
      <c r="K13" s="103" t="s">
        <v>703</v>
      </c>
      <c r="L13" s="104" t="s">
        <v>322</v>
      </c>
      <c r="M13" t="s">
        <v>373</v>
      </c>
      <c r="N13" t="s">
        <v>379</v>
      </c>
      <c r="O13" t="s">
        <v>373</v>
      </c>
      <c r="P13" s="105" t="s">
        <v>373</v>
      </c>
      <c r="Q13" t="s">
        <v>373</v>
      </c>
      <c r="R13" t="s">
        <v>373</v>
      </c>
      <c r="S13" t="s">
        <v>373</v>
      </c>
      <c r="T13" t="s">
        <v>373</v>
      </c>
      <c r="U13" t="s">
        <v>379</v>
      </c>
      <c r="V13" t="s">
        <v>373</v>
      </c>
      <c r="W13" t="s">
        <v>373</v>
      </c>
      <c r="X13" t="s">
        <v>373</v>
      </c>
      <c r="Y13" t="s">
        <v>373</v>
      </c>
      <c r="Z13" t="s">
        <v>322</v>
      </c>
      <c r="AA13" s="105" t="s">
        <v>687</v>
      </c>
    </row>
    <row r="14" spans="2:27">
      <c r="B14" s="87" t="s">
        <v>704</v>
      </c>
      <c r="E14" t="s">
        <v>669</v>
      </c>
      <c r="F14" t="s">
        <v>705</v>
      </c>
      <c r="K14" s="103" t="s">
        <v>706</v>
      </c>
      <c r="L14" s="104" t="s">
        <v>687</v>
      </c>
      <c r="M14" t="s">
        <v>687</v>
      </c>
      <c r="N14" t="s">
        <v>687</v>
      </c>
      <c r="O14" t="s">
        <v>687</v>
      </c>
      <c r="P14" s="105" t="s">
        <v>379</v>
      </c>
      <c r="Q14" t="s">
        <v>379</v>
      </c>
      <c r="R14" t="s">
        <v>379</v>
      </c>
      <c r="S14" t="s">
        <v>322</v>
      </c>
      <c r="T14" t="s">
        <v>379</v>
      </c>
      <c r="U14" t="s">
        <v>373</v>
      </c>
      <c r="V14" t="s">
        <v>687</v>
      </c>
      <c r="W14" t="s">
        <v>322</v>
      </c>
      <c r="X14" t="s">
        <v>322</v>
      </c>
      <c r="Y14" t="s">
        <v>687</v>
      </c>
      <c r="Z14" t="s">
        <v>379</v>
      </c>
      <c r="AA14" s="105" t="s">
        <v>322</v>
      </c>
    </row>
    <row r="15" spans="2:27">
      <c r="B15" s="87" t="s">
        <v>707</v>
      </c>
      <c r="E15" t="s">
        <v>688</v>
      </c>
      <c r="F15" t="s">
        <v>708</v>
      </c>
      <c r="K15" s="103" t="s">
        <v>709</v>
      </c>
      <c r="L15" s="104" t="s">
        <v>373</v>
      </c>
      <c r="M15" t="s">
        <v>373</v>
      </c>
      <c r="N15" t="s">
        <v>322</v>
      </c>
      <c r="O15" t="s">
        <v>373</v>
      </c>
      <c r="P15" s="105" t="s">
        <v>373</v>
      </c>
      <c r="Q15" t="s">
        <v>322</v>
      </c>
      <c r="R15" t="s">
        <v>373</v>
      </c>
      <c r="S15" t="s">
        <v>373</v>
      </c>
      <c r="T15" t="s">
        <v>373</v>
      </c>
      <c r="U15" t="s">
        <v>379</v>
      </c>
      <c r="V15" t="s">
        <v>373</v>
      </c>
      <c r="W15" t="s">
        <v>322</v>
      </c>
      <c r="X15" t="s">
        <v>373</v>
      </c>
      <c r="Y15" t="s">
        <v>322</v>
      </c>
      <c r="Z15" t="s">
        <v>373</v>
      </c>
      <c r="AA15" s="105" t="s">
        <v>373</v>
      </c>
    </row>
    <row r="16" spans="2:27">
      <c r="B16" s="90" t="s">
        <v>710</v>
      </c>
      <c r="E16" t="s">
        <v>688</v>
      </c>
      <c r="F16" t="s">
        <v>711</v>
      </c>
      <c r="K16" s="106" t="s">
        <v>712</v>
      </c>
      <c r="L16" s="107" t="s">
        <v>687</v>
      </c>
      <c r="M16" s="108" t="s">
        <v>379</v>
      </c>
      <c r="N16" s="108" t="s">
        <v>379</v>
      </c>
      <c r="O16" s="108" t="s">
        <v>322</v>
      </c>
      <c r="P16" s="109" t="s">
        <v>379</v>
      </c>
      <c r="Q16" s="108" t="s">
        <v>373</v>
      </c>
      <c r="R16" s="108" t="s">
        <v>322</v>
      </c>
      <c r="S16" s="108" t="s">
        <v>322</v>
      </c>
      <c r="T16" s="108" t="s">
        <v>373</v>
      </c>
      <c r="U16" s="108" t="s">
        <v>322</v>
      </c>
      <c r="V16" s="108" t="s">
        <v>322</v>
      </c>
      <c r="W16" s="108" t="s">
        <v>322</v>
      </c>
      <c r="X16" s="108" t="s">
        <v>322</v>
      </c>
      <c r="Y16" s="108" t="s">
        <v>373</v>
      </c>
      <c r="Z16" s="108" t="s">
        <v>322</v>
      </c>
      <c r="AA16" s="109" t="s">
        <v>373</v>
      </c>
    </row>
    <row r="17" spans="2:22">
      <c r="B17" s="90" t="s">
        <v>713</v>
      </c>
      <c r="E17" t="s">
        <v>688</v>
      </c>
      <c r="F17" t="s">
        <v>714</v>
      </c>
    </row>
    <row r="18" spans="2:22" hidden="1">
      <c r="B18" s="87" t="s">
        <v>715</v>
      </c>
      <c r="E18" t="s">
        <v>688</v>
      </c>
      <c r="F18" t="s">
        <v>716</v>
      </c>
    </row>
    <row r="19" spans="2:22" hidden="1">
      <c r="B19" s="87" t="s">
        <v>717</v>
      </c>
      <c r="E19" t="s">
        <v>688</v>
      </c>
      <c r="F19" t="s">
        <v>718</v>
      </c>
      <c r="L19" s="110" t="s">
        <v>669</v>
      </c>
      <c r="M19" s="111" t="s">
        <v>688</v>
      </c>
      <c r="N19" s="111" t="s">
        <v>299</v>
      </c>
      <c r="O19" s="111" t="s">
        <v>673</v>
      </c>
      <c r="P19" s="111" t="s">
        <v>695</v>
      </c>
      <c r="Q19" s="111" t="s">
        <v>698</v>
      </c>
      <c r="R19" s="111" t="s">
        <v>701</v>
      </c>
      <c r="S19" s="111" t="s">
        <v>703</v>
      </c>
      <c r="T19" s="111" t="s">
        <v>706</v>
      </c>
      <c r="U19" s="111" t="s">
        <v>709</v>
      </c>
      <c r="V19" s="112" t="s">
        <v>712</v>
      </c>
    </row>
    <row r="20" spans="2:22" hidden="1">
      <c r="B20" s="87" t="s">
        <v>356</v>
      </c>
      <c r="E20" t="s">
        <v>688</v>
      </c>
      <c r="F20" t="s">
        <v>719</v>
      </c>
      <c r="L20" s="104" t="s">
        <v>670</v>
      </c>
      <c r="M20" t="s">
        <v>708</v>
      </c>
      <c r="N20" t="s">
        <v>720</v>
      </c>
      <c r="O20" t="s">
        <v>721</v>
      </c>
      <c r="P20" t="s">
        <v>722</v>
      </c>
      <c r="Q20" t="s">
        <v>723</v>
      </c>
      <c r="R20" t="s">
        <v>724</v>
      </c>
      <c r="S20" t="s">
        <v>725</v>
      </c>
      <c r="T20" t="s">
        <v>726</v>
      </c>
      <c r="U20" t="s">
        <v>727</v>
      </c>
      <c r="V20" s="105" t="s">
        <v>728</v>
      </c>
    </row>
    <row r="21" spans="2:22" hidden="1">
      <c r="B21" s="87" t="s">
        <v>358</v>
      </c>
      <c r="E21" t="s">
        <v>688</v>
      </c>
      <c r="F21" t="s">
        <v>729</v>
      </c>
      <c r="L21" s="104" t="s">
        <v>685</v>
      </c>
      <c r="M21" t="s">
        <v>711</v>
      </c>
      <c r="N21" t="s">
        <v>730</v>
      </c>
      <c r="O21" t="s">
        <v>731</v>
      </c>
      <c r="P21" t="s">
        <v>732</v>
      </c>
      <c r="Q21" t="s">
        <v>733</v>
      </c>
      <c r="R21" t="s">
        <v>734</v>
      </c>
      <c r="S21" t="s">
        <v>735</v>
      </c>
      <c r="T21" t="s">
        <v>736</v>
      </c>
      <c r="U21" t="s">
        <v>737</v>
      </c>
      <c r="V21" s="105" t="s">
        <v>738</v>
      </c>
    </row>
    <row r="22" spans="2:22" hidden="1">
      <c r="B22" s="87" t="s">
        <v>362</v>
      </c>
      <c r="E22" t="s">
        <v>688</v>
      </c>
      <c r="F22" t="s">
        <v>739</v>
      </c>
      <c r="L22" s="104" t="s">
        <v>686</v>
      </c>
      <c r="M22" t="s">
        <v>714</v>
      </c>
      <c r="N22" t="s">
        <v>740</v>
      </c>
      <c r="O22" t="s">
        <v>741</v>
      </c>
      <c r="P22" t="s">
        <v>742</v>
      </c>
      <c r="Q22" t="s">
        <v>743</v>
      </c>
      <c r="R22" t="s">
        <v>744</v>
      </c>
      <c r="S22" t="s">
        <v>745</v>
      </c>
      <c r="T22" t="s">
        <v>746</v>
      </c>
      <c r="U22" t="s">
        <v>747</v>
      </c>
      <c r="V22" s="105" t="s">
        <v>748</v>
      </c>
    </row>
    <row r="23" spans="2:22" hidden="1">
      <c r="B23" s="87" t="s">
        <v>363</v>
      </c>
      <c r="E23" t="s">
        <v>688</v>
      </c>
      <c r="F23" t="s">
        <v>749</v>
      </c>
      <c r="L23" s="104" t="s">
        <v>690</v>
      </c>
      <c r="M23" t="s">
        <v>716</v>
      </c>
      <c r="N23" t="s">
        <v>750</v>
      </c>
      <c r="O23" t="s">
        <v>751</v>
      </c>
      <c r="P23" t="s">
        <v>752</v>
      </c>
      <c r="Q23" t="s">
        <v>753</v>
      </c>
      <c r="R23" t="s">
        <v>754</v>
      </c>
      <c r="S23" t="s">
        <v>755</v>
      </c>
      <c r="T23" t="s">
        <v>756</v>
      </c>
      <c r="U23" t="s">
        <v>757</v>
      </c>
      <c r="V23" s="105" t="s">
        <v>758</v>
      </c>
    </row>
    <row r="24" spans="2:22" hidden="1">
      <c r="B24" s="89" t="s">
        <v>364</v>
      </c>
      <c r="E24" t="s">
        <v>688</v>
      </c>
      <c r="F24" t="s">
        <v>759</v>
      </c>
      <c r="L24" s="104" t="s">
        <v>692</v>
      </c>
      <c r="M24" t="s">
        <v>718</v>
      </c>
      <c r="N24" t="s">
        <v>760</v>
      </c>
      <c r="O24" t="s">
        <v>761</v>
      </c>
      <c r="P24" t="s">
        <v>762</v>
      </c>
      <c r="Q24" t="s">
        <v>763</v>
      </c>
      <c r="R24" t="s">
        <v>764</v>
      </c>
      <c r="S24" t="s">
        <v>765</v>
      </c>
      <c r="T24" t="s">
        <v>766</v>
      </c>
      <c r="U24" t="s">
        <v>767</v>
      </c>
      <c r="V24" s="105" t="s">
        <v>768</v>
      </c>
    </row>
    <row r="25" spans="2:22" hidden="1">
      <c r="E25" t="s">
        <v>688</v>
      </c>
      <c r="F25" t="s">
        <v>769</v>
      </c>
      <c r="L25" s="104" t="s">
        <v>694</v>
      </c>
      <c r="M25" t="s">
        <v>719</v>
      </c>
      <c r="N25" t="s">
        <v>770</v>
      </c>
      <c r="P25" t="s">
        <v>771</v>
      </c>
      <c r="Q25" t="s">
        <v>772</v>
      </c>
      <c r="R25" t="s">
        <v>773</v>
      </c>
      <c r="S25" t="s">
        <v>774</v>
      </c>
      <c r="T25" t="s">
        <v>775</v>
      </c>
      <c r="U25" t="s">
        <v>776</v>
      </c>
      <c r="V25" s="105"/>
    </row>
    <row r="26" spans="2:22" hidden="1">
      <c r="E26" t="s">
        <v>688</v>
      </c>
      <c r="F26" t="s">
        <v>777</v>
      </c>
      <c r="L26" s="104" t="s">
        <v>697</v>
      </c>
      <c r="M26" t="s">
        <v>729</v>
      </c>
      <c r="N26" t="s">
        <v>778</v>
      </c>
      <c r="P26" t="s">
        <v>779</v>
      </c>
      <c r="Q26" t="s">
        <v>780</v>
      </c>
      <c r="R26" t="s">
        <v>781</v>
      </c>
      <c r="S26" t="s">
        <v>782</v>
      </c>
      <c r="T26" t="s">
        <v>783</v>
      </c>
      <c r="U26" t="s">
        <v>784</v>
      </c>
      <c r="V26" s="105"/>
    </row>
    <row r="27" spans="2:22" hidden="1">
      <c r="E27" t="s">
        <v>688</v>
      </c>
      <c r="F27" t="s">
        <v>785</v>
      </c>
      <c r="L27" s="104" t="s">
        <v>700</v>
      </c>
      <c r="M27" t="s">
        <v>739</v>
      </c>
      <c r="N27" t="s">
        <v>786</v>
      </c>
      <c r="P27" t="s">
        <v>787</v>
      </c>
      <c r="Q27" t="s">
        <v>788</v>
      </c>
      <c r="R27" t="s">
        <v>789</v>
      </c>
      <c r="S27" t="s">
        <v>790</v>
      </c>
      <c r="T27" t="s">
        <v>791</v>
      </c>
      <c r="U27" t="s">
        <v>792</v>
      </c>
      <c r="V27" s="105"/>
    </row>
    <row r="28" spans="2:22" hidden="1">
      <c r="E28" t="s">
        <v>688</v>
      </c>
      <c r="F28" t="s">
        <v>793</v>
      </c>
      <c r="L28" s="104" t="s">
        <v>702</v>
      </c>
      <c r="M28" t="s">
        <v>749</v>
      </c>
      <c r="N28" t="s">
        <v>794</v>
      </c>
      <c r="P28" t="s">
        <v>795</v>
      </c>
      <c r="Q28" t="s">
        <v>796</v>
      </c>
      <c r="R28" t="s">
        <v>797</v>
      </c>
      <c r="S28" t="s">
        <v>798</v>
      </c>
      <c r="T28" t="s">
        <v>799</v>
      </c>
      <c r="V28" s="105"/>
    </row>
    <row r="29" spans="2:22" hidden="1">
      <c r="E29" t="s">
        <v>688</v>
      </c>
      <c r="F29" t="s">
        <v>800</v>
      </c>
      <c r="L29" s="107" t="s">
        <v>705</v>
      </c>
      <c r="M29" s="108" t="s">
        <v>759</v>
      </c>
      <c r="N29" s="108" t="s">
        <v>801</v>
      </c>
      <c r="O29" s="108"/>
      <c r="P29" s="108" t="s">
        <v>802</v>
      </c>
      <c r="Q29" s="108" t="s">
        <v>803</v>
      </c>
      <c r="R29" s="108" t="s">
        <v>804</v>
      </c>
      <c r="S29" s="108" t="s">
        <v>805</v>
      </c>
      <c r="T29" s="108" t="s">
        <v>806</v>
      </c>
      <c r="U29" s="108"/>
      <c r="V29" s="109"/>
    </row>
    <row r="30" spans="2:22" hidden="1">
      <c r="E30" t="s">
        <v>688</v>
      </c>
      <c r="F30" t="s">
        <v>807</v>
      </c>
      <c r="M30" t="s">
        <v>769</v>
      </c>
      <c r="N30" t="s">
        <v>808</v>
      </c>
      <c r="P30" t="s">
        <v>809</v>
      </c>
      <c r="R30" t="s">
        <v>810</v>
      </c>
      <c r="S30" t="s">
        <v>811</v>
      </c>
      <c r="T30" t="s">
        <v>812</v>
      </c>
    </row>
    <row r="31" spans="2:22" hidden="1">
      <c r="E31" t="s">
        <v>688</v>
      </c>
      <c r="F31" t="s">
        <v>813</v>
      </c>
      <c r="M31" t="s">
        <v>777</v>
      </c>
      <c r="N31" t="s">
        <v>814</v>
      </c>
      <c r="P31" t="s">
        <v>815</v>
      </c>
      <c r="R31" t="s">
        <v>816</v>
      </c>
      <c r="S31" t="s">
        <v>817</v>
      </c>
    </row>
    <row r="32" spans="2:22" hidden="1">
      <c r="E32" t="s">
        <v>688</v>
      </c>
      <c r="F32" t="s">
        <v>818</v>
      </c>
      <c r="M32" t="s">
        <v>785</v>
      </c>
      <c r="P32" t="s">
        <v>819</v>
      </c>
      <c r="R32" t="s">
        <v>820</v>
      </c>
      <c r="S32" t="s">
        <v>821</v>
      </c>
    </row>
    <row r="33" spans="5:18" hidden="1">
      <c r="E33" t="s">
        <v>688</v>
      </c>
      <c r="F33" t="s">
        <v>822</v>
      </c>
      <c r="M33" t="s">
        <v>793</v>
      </c>
      <c r="R33" t="s">
        <v>823</v>
      </c>
    </row>
    <row r="34" spans="5:18" hidden="1">
      <c r="E34" t="s">
        <v>688</v>
      </c>
      <c r="F34" t="s">
        <v>824</v>
      </c>
      <c r="M34" t="s">
        <v>800</v>
      </c>
      <c r="R34" t="s">
        <v>825</v>
      </c>
    </row>
    <row r="35" spans="5:18" hidden="1">
      <c r="E35" t="s">
        <v>299</v>
      </c>
      <c r="F35" t="s">
        <v>720</v>
      </c>
      <c r="M35" t="s">
        <v>807</v>
      </c>
      <c r="R35" t="s">
        <v>826</v>
      </c>
    </row>
    <row r="36" spans="5:18" hidden="1">
      <c r="E36" t="s">
        <v>299</v>
      </c>
      <c r="F36" t="s">
        <v>730</v>
      </c>
      <c r="M36" t="s">
        <v>813</v>
      </c>
      <c r="R36" t="s">
        <v>827</v>
      </c>
    </row>
    <row r="37" spans="5:18" hidden="1">
      <c r="E37" t="s">
        <v>299</v>
      </c>
      <c r="F37" t="s">
        <v>740</v>
      </c>
      <c r="M37" t="s">
        <v>818</v>
      </c>
    </row>
    <row r="38" spans="5:18" hidden="1">
      <c r="E38" t="s">
        <v>299</v>
      </c>
      <c r="F38" t="s">
        <v>750</v>
      </c>
      <c r="M38" t="s">
        <v>822</v>
      </c>
    </row>
    <row r="39" spans="5:18" hidden="1">
      <c r="E39" t="s">
        <v>299</v>
      </c>
      <c r="F39" t="s">
        <v>760</v>
      </c>
      <c r="M39" t="s">
        <v>824</v>
      </c>
    </row>
    <row r="40" spans="5:18" hidden="1">
      <c r="E40" t="s">
        <v>299</v>
      </c>
      <c r="F40" t="s">
        <v>770</v>
      </c>
    </row>
    <row r="41" spans="5:18" hidden="1">
      <c r="E41" t="s">
        <v>299</v>
      </c>
      <c r="F41" t="s">
        <v>778</v>
      </c>
    </row>
    <row r="42" spans="5:18">
      <c r="E42" t="s">
        <v>299</v>
      </c>
      <c r="F42" t="s">
        <v>786</v>
      </c>
    </row>
    <row r="43" spans="5:18">
      <c r="E43" t="s">
        <v>299</v>
      </c>
      <c r="F43" t="s">
        <v>794</v>
      </c>
    </row>
    <row r="44" spans="5:18">
      <c r="E44" t="s">
        <v>299</v>
      </c>
      <c r="F44" t="s">
        <v>801</v>
      </c>
    </row>
    <row r="45" spans="5:18">
      <c r="E45" t="s">
        <v>299</v>
      </c>
      <c r="F45" t="s">
        <v>808</v>
      </c>
    </row>
    <row r="46" spans="5:18">
      <c r="E46" t="s">
        <v>299</v>
      </c>
      <c r="F46" t="s">
        <v>814</v>
      </c>
    </row>
    <row r="47" spans="5:18">
      <c r="E47" t="s">
        <v>673</v>
      </c>
      <c r="F47" t="s">
        <v>721</v>
      </c>
    </row>
    <row r="48" spans="5:18">
      <c r="E48" t="s">
        <v>673</v>
      </c>
      <c r="F48" t="s">
        <v>731</v>
      </c>
    </row>
    <row r="49" spans="5:6">
      <c r="E49" t="s">
        <v>673</v>
      </c>
      <c r="F49" t="s">
        <v>741</v>
      </c>
    </row>
    <row r="50" spans="5:6">
      <c r="E50" t="s">
        <v>673</v>
      </c>
      <c r="F50" t="s">
        <v>751</v>
      </c>
    </row>
    <row r="51" spans="5:6">
      <c r="E51" t="s">
        <v>673</v>
      </c>
      <c r="F51" t="s">
        <v>761</v>
      </c>
    </row>
    <row r="52" spans="5:6">
      <c r="E52" t="s">
        <v>695</v>
      </c>
      <c r="F52" t="s">
        <v>722</v>
      </c>
    </row>
    <row r="53" spans="5:6">
      <c r="E53" t="s">
        <v>695</v>
      </c>
      <c r="F53" t="s">
        <v>732</v>
      </c>
    </row>
    <row r="54" spans="5:6">
      <c r="E54" t="s">
        <v>695</v>
      </c>
      <c r="F54" t="s">
        <v>742</v>
      </c>
    </row>
    <row r="55" spans="5:6">
      <c r="E55" t="s">
        <v>695</v>
      </c>
      <c r="F55" t="s">
        <v>752</v>
      </c>
    </row>
    <row r="56" spans="5:6">
      <c r="E56" t="s">
        <v>695</v>
      </c>
      <c r="F56" t="s">
        <v>762</v>
      </c>
    </row>
    <row r="57" spans="5:6">
      <c r="E57" t="s">
        <v>695</v>
      </c>
      <c r="F57" t="s">
        <v>771</v>
      </c>
    </row>
    <row r="58" spans="5:6">
      <c r="E58" t="s">
        <v>695</v>
      </c>
      <c r="F58" t="s">
        <v>779</v>
      </c>
    </row>
    <row r="59" spans="5:6">
      <c r="E59" t="s">
        <v>695</v>
      </c>
      <c r="F59" t="s">
        <v>787</v>
      </c>
    </row>
    <row r="60" spans="5:6">
      <c r="E60" t="s">
        <v>695</v>
      </c>
      <c r="F60" t="s">
        <v>795</v>
      </c>
    </row>
    <row r="61" spans="5:6">
      <c r="E61" t="s">
        <v>695</v>
      </c>
      <c r="F61" t="s">
        <v>802</v>
      </c>
    </row>
    <row r="62" spans="5:6">
      <c r="E62" t="s">
        <v>695</v>
      </c>
      <c r="F62" t="s">
        <v>809</v>
      </c>
    </row>
    <row r="63" spans="5:6">
      <c r="E63" t="s">
        <v>695</v>
      </c>
      <c r="F63" t="s">
        <v>815</v>
      </c>
    </row>
    <row r="64" spans="5:6">
      <c r="E64" t="s">
        <v>695</v>
      </c>
      <c r="F64" t="s">
        <v>819</v>
      </c>
    </row>
    <row r="65" spans="5:6">
      <c r="E65" t="s">
        <v>698</v>
      </c>
      <c r="F65" t="s">
        <v>723</v>
      </c>
    </row>
    <row r="66" spans="5:6">
      <c r="E66" t="s">
        <v>698</v>
      </c>
      <c r="F66" t="s">
        <v>733</v>
      </c>
    </row>
    <row r="67" spans="5:6">
      <c r="E67" t="s">
        <v>698</v>
      </c>
      <c r="F67" t="s">
        <v>743</v>
      </c>
    </row>
    <row r="68" spans="5:6">
      <c r="E68" t="s">
        <v>698</v>
      </c>
      <c r="F68" t="s">
        <v>753</v>
      </c>
    </row>
    <row r="69" spans="5:6">
      <c r="E69" t="s">
        <v>698</v>
      </c>
      <c r="F69" t="s">
        <v>763</v>
      </c>
    </row>
    <row r="70" spans="5:6">
      <c r="E70" t="s">
        <v>698</v>
      </c>
      <c r="F70" t="s">
        <v>772</v>
      </c>
    </row>
    <row r="71" spans="5:6">
      <c r="E71" t="s">
        <v>698</v>
      </c>
      <c r="F71" t="s">
        <v>780</v>
      </c>
    </row>
    <row r="72" spans="5:6">
      <c r="E72" t="s">
        <v>698</v>
      </c>
      <c r="F72" t="s">
        <v>788</v>
      </c>
    </row>
    <row r="73" spans="5:6">
      <c r="E73" t="s">
        <v>698</v>
      </c>
      <c r="F73" t="s">
        <v>796</v>
      </c>
    </row>
    <row r="74" spans="5:6">
      <c r="E74" t="s">
        <v>698</v>
      </c>
      <c r="F74" t="s">
        <v>803</v>
      </c>
    </row>
    <row r="75" spans="5:6">
      <c r="E75" t="s">
        <v>701</v>
      </c>
      <c r="F75" t="s">
        <v>724</v>
      </c>
    </row>
    <row r="76" spans="5:6">
      <c r="E76" t="s">
        <v>701</v>
      </c>
      <c r="F76" t="s">
        <v>734</v>
      </c>
    </row>
    <row r="77" spans="5:6">
      <c r="E77" t="s">
        <v>701</v>
      </c>
      <c r="F77" t="s">
        <v>744</v>
      </c>
    </row>
    <row r="78" spans="5:6">
      <c r="E78" t="s">
        <v>701</v>
      </c>
      <c r="F78" t="s">
        <v>754</v>
      </c>
    </row>
    <row r="79" spans="5:6">
      <c r="E79" t="s">
        <v>701</v>
      </c>
      <c r="F79" t="s">
        <v>764</v>
      </c>
    </row>
    <row r="80" spans="5:6">
      <c r="E80" t="s">
        <v>701</v>
      </c>
      <c r="F80" t="s">
        <v>773</v>
      </c>
    </row>
    <row r="81" spans="5:6">
      <c r="E81" t="s">
        <v>701</v>
      </c>
      <c r="F81" t="s">
        <v>781</v>
      </c>
    </row>
    <row r="82" spans="5:6">
      <c r="E82" t="s">
        <v>701</v>
      </c>
      <c r="F82" t="s">
        <v>789</v>
      </c>
    </row>
    <row r="83" spans="5:6">
      <c r="E83" t="s">
        <v>701</v>
      </c>
      <c r="F83" t="s">
        <v>797</v>
      </c>
    </row>
    <row r="84" spans="5:6">
      <c r="E84" t="s">
        <v>701</v>
      </c>
      <c r="F84" t="s">
        <v>804</v>
      </c>
    </row>
    <row r="85" spans="5:6">
      <c r="E85" t="s">
        <v>701</v>
      </c>
      <c r="F85" t="s">
        <v>810</v>
      </c>
    </row>
    <row r="86" spans="5:6">
      <c r="E86" t="s">
        <v>701</v>
      </c>
      <c r="F86" t="s">
        <v>816</v>
      </c>
    </row>
    <row r="87" spans="5:6">
      <c r="E87" t="s">
        <v>701</v>
      </c>
      <c r="F87" t="s">
        <v>820</v>
      </c>
    </row>
    <row r="88" spans="5:6">
      <c r="E88" t="s">
        <v>701</v>
      </c>
      <c r="F88" t="s">
        <v>823</v>
      </c>
    </row>
    <row r="89" spans="5:6">
      <c r="E89" t="s">
        <v>701</v>
      </c>
      <c r="F89" t="s">
        <v>825</v>
      </c>
    </row>
    <row r="90" spans="5:6">
      <c r="E90" t="s">
        <v>701</v>
      </c>
      <c r="F90" t="s">
        <v>826</v>
      </c>
    </row>
    <row r="91" spans="5:6">
      <c r="E91" t="s">
        <v>701</v>
      </c>
      <c r="F91" t="s">
        <v>827</v>
      </c>
    </row>
    <row r="92" spans="5:6">
      <c r="E92" t="s">
        <v>703</v>
      </c>
      <c r="F92" t="s">
        <v>725</v>
      </c>
    </row>
    <row r="93" spans="5:6">
      <c r="E93" t="s">
        <v>703</v>
      </c>
      <c r="F93" t="s">
        <v>735</v>
      </c>
    </row>
    <row r="94" spans="5:6">
      <c r="E94" t="s">
        <v>703</v>
      </c>
      <c r="F94" t="s">
        <v>745</v>
      </c>
    </row>
    <row r="95" spans="5:6">
      <c r="E95" t="s">
        <v>703</v>
      </c>
      <c r="F95" t="s">
        <v>755</v>
      </c>
    </row>
    <row r="96" spans="5:6">
      <c r="E96" t="s">
        <v>703</v>
      </c>
      <c r="F96" t="s">
        <v>765</v>
      </c>
    </row>
    <row r="97" spans="5:6">
      <c r="E97" t="s">
        <v>703</v>
      </c>
      <c r="F97" t="s">
        <v>774</v>
      </c>
    </row>
    <row r="98" spans="5:6">
      <c r="E98" t="s">
        <v>703</v>
      </c>
      <c r="F98" t="s">
        <v>782</v>
      </c>
    </row>
    <row r="99" spans="5:6">
      <c r="E99" t="s">
        <v>703</v>
      </c>
      <c r="F99" t="s">
        <v>790</v>
      </c>
    </row>
    <row r="100" spans="5:6">
      <c r="E100" t="s">
        <v>703</v>
      </c>
      <c r="F100" t="s">
        <v>798</v>
      </c>
    </row>
    <row r="101" spans="5:6">
      <c r="E101" t="s">
        <v>703</v>
      </c>
      <c r="F101" t="s">
        <v>805</v>
      </c>
    </row>
    <row r="102" spans="5:6">
      <c r="E102" t="s">
        <v>703</v>
      </c>
      <c r="F102" t="s">
        <v>811</v>
      </c>
    </row>
    <row r="103" spans="5:6">
      <c r="E103" t="s">
        <v>703</v>
      </c>
      <c r="F103" t="s">
        <v>817</v>
      </c>
    </row>
    <row r="104" spans="5:6">
      <c r="E104" t="s">
        <v>703</v>
      </c>
      <c r="F104" t="s">
        <v>821</v>
      </c>
    </row>
    <row r="105" spans="5:6">
      <c r="E105" t="s">
        <v>706</v>
      </c>
      <c r="F105" t="s">
        <v>726</v>
      </c>
    </row>
    <row r="106" spans="5:6">
      <c r="E106" t="s">
        <v>706</v>
      </c>
      <c r="F106" t="s">
        <v>736</v>
      </c>
    </row>
    <row r="107" spans="5:6">
      <c r="E107" t="s">
        <v>706</v>
      </c>
      <c r="F107" t="s">
        <v>746</v>
      </c>
    </row>
    <row r="108" spans="5:6">
      <c r="E108" t="s">
        <v>706</v>
      </c>
      <c r="F108" t="s">
        <v>756</v>
      </c>
    </row>
    <row r="109" spans="5:6">
      <c r="E109" t="s">
        <v>706</v>
      </c>
      <c r="F109" t="s">
        <v>766</v>
      </c>
    </row>
    <row r="110" spans="5:6">
      <c r="E110" t="s">
        <v>706</v>
      </c>
      <c r="F110" t="s">
        <v>775</v>
      </c>
    </row>
    <row r="111" spans="5:6">
      <c r="E111" t="s">
        <v>706</v>
      </c>
      <c r="F111" t="s">
        <v>783</v>
      </c>
    </row>
    <row r="112" spans="5:6">
      <c r="E112" t="s">
        <v>706</v>
      </c>
      <c r="F112" t="s">
        <v>791</v>
      </c>
    </row>
    <row r="113" spans="5:6">
      <c r="E113" t="s">
        <v>706</v>
      </c>
      <c r="F113" t="s">
        <v>799</v>
      </c>
    </row>
    <row r="114" spans="5:6">
      <c r="E114" t="s">
        <v>706</v>
      </c>
      <c r="F114" t="s">
        <v>806</v>
      </c>
    </row>
    <row r="115" spans="5:6">
      <c r="E115" t="s">
        <v>706</v>
      </c>
      <c r="F115" t="s">
        <v>812</v>
      </c>
    </row>
    <row r="116" spans="5:6">
      <c r="E116" t="s">
        <v>709</v>
      </c>
      <c r="F116" t="s">
        <v>727</v>
      </c>
    </row>
    <row r="117" spans="5:6">
      <c r="E117" t="s">
        <v>709</v>
      </c>
      <c r="F117" t="s">
        <v>737</v>
      </c>
    </row>
    <row r="118" spans="5:6">
      <c r="E118" t="s">
        <v>709</v>
      </c>
      <c r="F118" t="s">
        <v>747</v>
      </c>
    </row>
    <row r="119" spans="5:6">
      <c r="E119" t="s">
        <v>709</v>
      </c>
      <c r="F119" t="s">
        <v>757</v>
      </c>
    </row>
    <row r="120" spans="5:6">
      <c r="E120" t="s">
        <v>709</v>
      </c>
      <c r="F120" t="s">
        <v>767</v>
      </c>
    </row>
    <row r="121" spans="5:6">
      <c r="E121" t="s">
        <v>709</v>
      </c>
      <c r="F121" t="s">
        <v>776</v>
      </c>
    </row>
    <row r="122" spans="5:6">
      <c r="E122" t="s">
        <v>709</v>
      </c>
      <c r="F122" t="s">
        <v>784</v>
      </c>
    </row>
    <row r="123" spans="5:6">
      <c r="E123" t="s">
        <v>709</v>
      </c>
      <c r="F123" t="s">
        <v>792</v>
      </c>
    </row>
    <row r="124" spans="5:6">
      <c r="E124" t="s">
        <v>712</v>
      </c>
      <c r="F124" t="s">
        <v>728</v>
      </c>
    </row>
    <row r="125" spans="5:6">
      <c r="E125" t="s">
        <v>712</v>
      </c>
      <c r="F125" t="s">
        <v>738</v>
      </c>
    </row>
    <row r="126" spans="5:6">
      <c r="E126" t="s">
        <v>712</v>
      </c>
      <c r="F126" t="s">
        <v>748</v>
      </c>
    </row>
    <row r="127" spans="5:6">
      <c r="E127" t="s">
        <v>712</v>
      </c>
      <c r="F127" t="s">
        <v>758</v>
      </c>
    </row>
    <row r="128" spans="5:6">
      <c r="E128" t="s">
        <v>712</v>
      </c>
      <c r="F128" t="s">
        <v>768</v>
      </c>
    </row>
  </sheetData>
  <mergeCells count="3">
    <mergeCell ref="K2:K3"/>
    <mergeCell ref="L2:P2"/>
    <mergeCell ref="Q2:AA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V179"/>
  <sheetViews>
    <sheetView workbookViewId="0">
      <selection activeCell="E37" sqref="E37"/>
    </sheetView>
  </sheetViews>
  <sheetFormatPr defaultColWidth="10.42578125" defaultRowHeight="14.25"/>
  <cols>
    <col min="1" max="1" width="40.140625" style="21" bestFit="1" customWidth="1"/>
    <col min="2" max="5" width="13.42578125" style="21" customWidth="1"/>
    <col min="6" max="6" width="13.140625" style="21" customWidth="1"/>
    <col min="7" max="9" width="13.85546875" style="21" customWidth="1"/>
    <col min="10" max="10" width="14.140625" style="21" customWidth="1"/>
    <col min="11" max="11" width="15.140625" style="23" customWidth="1"/>
    <col min="12" max="12" width="17" style="23" customWidth="1"/>
    <col min="13" max="13" width="14.140625" style="21" customWidth="1"/>
    <col min="14" max="14" width="21.42578125" style="21" bestFit="1" customWidth="1"/>
    <col min="15" max="15" width="32.140625" style="21" customWidth="1"/>
    <col min="16" max="16" width="11.42578125" style="21" customWidth="1"/>
    <col min="17" max="23" width="0" style="21" hidden="1" customWidth="1"/>
    <col min="24" max="24" width="15.42578125" style="21" bestFit="1" customWidth="1"/>
    <col min="25" max="25" width="17.42578125" style="21" bestFit="1" customWidth="1"/>
    <col min="26" max="33" width="0" style="21" hidden="1" customWidth="1"/>
    <col min="34" max="16384" width="10.42578125" style="21"/>
  </cols>
  <sheetData>
    <row r="1" spans="1:33">
      <c r="B1" s="708"/>
      <c r="C1" s="708"/>
      <c r="D1" s="707"/>
      <c r="E1" s="708"/>
      <c r="F1" s="708"/>
      <c r="G1" s="708"/>
      <c r="H1" s="708"/>
      <c r="I1" s="708"/>
      <c r="J1" s="708"/>
      <c r="K1" s="708"/>
      <c r="L1" s="708"/>
      <c r="M1" s="708"/>
      <c r="N1"/>
      <c r="O1"/>
    </row>
    <row r="2" spans="1:33">
      <c r="G2" s="1552" t="s">
        <v>828</v>
      </c>
      <c r="H2" s="1552"/>
      <c r="I2" s="1552"/>
      <c r="J2" s="1552"/>
      <c r="K2" s="24"/>
      <c r="L2" s="24"/>
      <c r="M2" s="24"/>
      <c r="N2" s="24"/>
      <c r="O2" s="24"/>
    </row>
    <row r="3" spans="1:33">
      <c r="G3" s="21" t="s">
        <v>829</v>
      </c>
      <c r="H3" s="21" t="e" vm="1">
        <v>#VALUE!</v>
      </c>
      <c r="M3"/>
      <c r="N3"/>
      <c r="O3"/>
    </row>
    <row r="4" spans="1:33">
      <c r="D4" s="1552" t="s">
        <v>830</v>
      </c>
      <c r="E4" s="1552"/>
      <c r="F4" s="1552"/>
      <c r="G4" s="1552"/>
      <c r="H4" s="1552"/>
      <c r="I4" s="1552"/>
      <c r="J4" s="1552"/>
      <c r="K4" s="1552"/>
      <c r="L4" s="1552"/>
      <c r="M4" s="1552"/>
      <c r="N4"/>
      <c r="O4"/>
    </row>
    <row r="5" spans="1:33" ht="15">
      <c r="A5" s="49" t="s">
        <v>831</v>
      </c>
      <c r="B5" s="272">
        <f>OP!J20</f>
        <v>2022</v>
      </c>
      <c r="C5" s="272">
        <v>2021</v>
      </c>
      <c r="D5" s="272">
        <f t="shared" ref="D5:M5" si="0">C5-1</f>
        <v>2020</v>
      </c>
      <c r="E5" s="272">
        <f t="shared" si="0"/>
        <v>2019</v>
      </c>
      <c r="F5" s="272">
        <f t="shared" si="0"/>
        <v>2018</v>
      </c>
      <c r="G5" s="272">
        <f t="shared" si="0"/>
        <v>2017</v>
      </c>
      <c r="H5" s="272">
        <f t="shared" si="0"/>
        <v>2016</v>
      </c>
      <c r="I5" s="272">
        <f t="shared" si="0"/>
        <v>2015</v>
      </c>
      <c r="J5" s="272">
        <f t="shared" si="0"/>
        <v>2014</v>
      </c>
      <c r="K5" s="272">
        <f t="shared" si="0"/>
        <v>2013</v>
      </c>
      <c r="L5" s="272">
        <f t="shared" si="0"/>
        <v>2012</v>
      </c>
      <c r="M5" s="272">
        <f t="shared" si="0"/>
        <v>2011</v>
      </c>
      <c r="N5"/>
      <c r="O5"/>
      <c r="Q5" s="10" t="s">
        <v>832</v>
      </c>
      <c r="R5" s="1553" t="s">
        <v>833</v>
      </c>
      <c r="S5" s="1553"/>
      <c r="T5" s="21" t="s">
        <v>834</v>
      </c>
      <c r="Z5" s="49">
        <v>2016</v>
      </c>
      <c r="AA5" s="49">
        <v>2015</v>
      </c>
      <c r="AB5" s="49">
        <v>2014</v>
      </c>
      <c r="AC5" s="49">
        <v>2013</v>
      </c>
      <c r="AD5" s="49">
        <v>2012</v>
      </c>
      <c r="AE5" s="49">
        <v>2011</v>
      </c>
      <c r="AF5" s="49">
        <v>2010</v>
      </c>
      <c r="AG5" s="49">
        <v>2009</v>
      </c>
    </row>
    <row r="6" spans="1:33">
      <c r="A6" s="25" t="s">
        <v>123</v>
      </c>
      <c r="B6" s="256">
        <v>7499</v>
      </c>
      <c r="C6" s="256">
        <v>7313</v>
      </c>
      <c r="D6" s="256">
        <v>5595</v>
      </c>
      <c r="E6" s="256">
        <v>8243</v>
      </c>
      <c r="F6" s="256">
        <v>8475</v>
      </c>
      <c r="G6" s="256">
        <v>7989</v>
      </c>
      <c r="H6" s="273">
        <v>7553</v>
      </c>
      <c r="I6" s="256">
        <v>8451</v>
      </c>
      <c r="J6" s="256">
        <v>8709</v>
      </c>
      <c r="K6" s="256">
        <v>8456</v>
      </c>
      <c r="L6" s="256">
        <v>7796</v>
      </c>
      <c r="M6" s="256">
        <v>6852</v>
      </c>
      <c r="N6" s="27" t="s">
        <v>835</v>
      </c>
      <c r="O6" t="s">
        <v>836</v>
      </c>
      <c r="P6"/>
      <c r="Q6" s="21" t="s">
        <v>837</v>
      </c>
      <c r="R6" s="21" t="s">
        <v>837</v>
      </c>
      <c r="X6" s="28"/>
      <c r="Y6" s="28"/>
      <c r="Z6" s="26">
        <v>38537</v>
      </c>
      <c r="AA6" s="26">
        <v>47011</v>
      </c>
      <c r="AB6" s="26">
        <v>55184</v>
      </c>
      <c r="AC6" s="26">
        <v>55656</v>
      </c>
      <c r="AD6" s="26">
        <v>65875</v>
      </c>
      <c r="AE6" s="26">
        <v>60138</v>
      </c>
      <c r="AF6" s="26">
        <v>42588</v>
      </c>
      <c r="AG6" s="26">
        <v>32396</v>
      </c>
    </row>
    <row r="7" spans="1:33">
      <c r="A7" s="25" t="s">
        <v>622</v>
      </c>
      <c r="B7" s="256">
        <v>5652</v>
      </c>
      <c r="C7" s="256">
        <v>5789</v>
      </c>
      <c r="D7" s="256">
        <v>4612</v>
      </c>
      <c r="E7" s="256">
        <v>6643</v>
      </c>
      <c r="F7" s="256">
        <v>6249</v>
      </c>
      <c r="G7" s="256">
        <v>6254</v>
      </c>
      <c r="H7" s="256">
        <v>5911</v>
      </c>
      <c r="I7" s="256">
        <v>6450</v>
      </c>
      <c r="J7" s="256">
        <v>6469</v>
      </c>
      <c r="K7" s="256">
        <v>6000</v>
      </c>
      <c r="L7" s="256">
        <v>5440</v>
      </c>
      <c r="M7" s="256">
        <v>4631</v>
      </c>
      <c r="N7" s="27" t="s">
        <v>835</v>
      </c>
      <c r="O7" t="str">
        <f>+A7</f>
        <v>Gross Profit</v>
      </c>
      <c r="P7"/>
      <c r="Q7" s="21" t="s">
        <v>837</v>
      </c>
      <c r="R7" s="21" t="s">
        <v>838</v>
      </c>
      <c r="Z7" s="30">
        <f>Z6-28044</f>
        <v>10493</v>
      </c>
      <c r="AA7" s="30">
        <f>AA6-33546</f>
        <v>13465</v>
      </c>
      <c r="AB7" s="30">
        <f>AB6-40718</f>
        <v>14466</v>
      </c>
      <c r="AC7" s="30">
        <f>AC6-40727</f>
        <v>14929</v>
      </c>
      <c r="AD7" s="31">
        <f>+AD6-47055</f>
        <v>18820</v>
      </c>
      <c r="AE7" s="31">
        <f>+AE6-43578</f>
        <v>16560</v>
      </c>
      <c r="AF7" s="31">
        <f>+AF6-30367</f>
        <v>12221</v>
      </c>
      <c r="AG7" s="31">
        <f>+AG6-23886</f>
        <v>8510</v>
      </c>
    </row>
    <row r="8" spans="1:33">
      <c r="A8" s="25" t="s">
        <v>282</v>
      </c>
      <c r="B8" s="256">
        <v>1158</v>
      </c>
      <c r="C8" s="256">
        <v>1021</v>
      </c>
      <c r="D8" s="256">
        <v>52</v>
      </c>
      <c r="E8" s="256">
        <v>1023</v>
      </c>
      <c r="F8" s="256">
        <v>1154</v>
      </c>
      <c r="G8" s="256">
        <v>1002</v>
      </c>
      <c r="H8" s="256">
        <v>805</v>
      </c>
      <c r="I8" s="256">
        <v>1451</v>
      </c>
      <c r="J8" s="256">
        <v>1752</v>
      </c>
      <c r="K8" s="256">
        <v>2314</v>
      </c>
      <c r="L8" s="256">
        <v>1978</v>
      </c>
      <c r="M8" s="256">
        <v>1614</v>
      </c>
      <c r="N8" s="27" t="s">
        <v>835</v>
      </c>
      <c r="O8" t="s">
        <v>282</v>
      </c>
      <c r="P8"/>
      <c r="Q8" s="21" t="s">
        <v>837</v>
      </c>
      <c r="R8" s="32" t="s">
        <v>839</v>
      </c>
      <c r="Z8" s="30">
        <f>Z7-4383</f>
        <v>6110</v>
      </c>
      <c r="AA8" s="30">
        <f>AA7-4951</f>
        <v>8514</v>
      </c>
      <c r="AB8" s="30">
        <f>AB7-6529</f>
        <v>7937</v>
      </c>
      <c r="AC8" s="30">
        <f>AC7-5547</f>
        <v>9382</v>
      </c>
      <c r="AD8" s="31">
        <f>AD7-5919-2466-797-580-485</f>
        <v>8573</v>
      </c>
      <c r="AE8" s="31">
        <f>+AE7-5203-2297-826-1081</f>
        <v>7153</v>
      </c>
      <c r="AF8" s="31">
        <f>+AF7-4248-1905-914-1191</f>
        <v>3963</v>
      </c>
      <c r="AG8" s="31">
        <f>+AG7-3645-1421-1045-1822</f>
        <v>577</v>
      </c>
    </row>
    <row r="9" spans="1:33">
      <c r="A9" s="25" t="s">
        <v>626</v>
      </c>
      <c r="B9" s="256">
        <f>-16-21</f>
        <v>-37</v>
      </c>
      <c r="C9" s="256">
        <f>-9-9</f>
        <v>-18</v>
      </c>
      <c r="D9" s="256">
        <f>2-10</f>
        <v>-8</v>
      </c>
      <c r="E9" s="256">
        <f>-9-18+1</f>
        <v>-26</v>
      </c>
      <c r="F9" s="256">
        <f>2-22+1</f>
        <v>-19</v>
      </c>
      <c r="G9" s="256">
        <f>21-22+3</f>
        <v>2</v>
      </c>
      <c r="H9" s="256">
        <f>-4-19+4</f>
        <v>-19</v>
      </c>
      <c r="I9" s="256">
        <v>-30</v>
      </c>
      <c r="J9" s="256">
        <f>3-32-1</f>
        <v>-30</v>
      </c>
      <c r="K9" s="256">
        <f>13-7+6</f>
        <v>12</v>
      </c>
      <c r="L9" s="256">
        <f>18-8+2</f>
        <v>12</v>
      </c>
      <c r="M9" s="256">
        <v>-7</v>
      </c>
      <c r="N9" s="27" t="s">
        <v>835</v>
      </c>
      <c r="O9" t="s">
        <v>840</v>
      </c>
      <c r="P9"/>
      <c r="Q9" s="21" t="s">
        <v>837</v>
      </c>
      <c r="R9" s="21" t="s">
        <v>841</v>
      </c>
      <c r="S9" s="21" t="s">
        <v>842</v>
      </c>
      <c r="T9" s="21" t="s">
        <v>843</v>
      </c>
      <c r="U9" s="21" t="s">
        <v>844</v>
      </c>
      <c r="V9" s="21" t="s">
        <v>845</v>
      </c>
      <c r="Z9" s="30">
        <f>1853+596+595+1904+6+8</f>
        <v>4962</v>
      </c>
      <c r="AA9" s="30">
        <f>2119+587+2023+11</f>
        <v>4740</v>
      </c>
      <c r="AB9" s="30">
        <f>2380+624+1619-8+16</f>
        <v>4631</v>
      </c>
      <c r="AC9" s="30">
        <f>2046+727+981+6+14</f>
        <v>3774</v>
      </c>
      <c r="AD9" s="31">
        <f>-14+41</f>
        <v>27</v>
      </c>
      <c r="AE9" s="30">
        <v>53</v>
      </c>
      <c r="AF9" s="30">
        <f>58+24</f>
        <v>82</v>
      </c>
      <c r="AG9" s="30">
        <f>12-68</f>
        <v>-56</v>
      </c>
    </row>
    <row r="10" spans="1:33">
      <c r="A10" s="25" t="s">
        <v>283</v>
      </c>
      <c r="B10" s="256">
        <f>-3-38</f>
        <v>-41</v>
      </c>
      <c r="C10" s="256">
        <f>-5+4</f>
        <v>-1</v>
      </c>
      <c r="D10" s="256">
        <f>-3-3</f>
        <v>-6</v>
      </c>
      <c r="E10" s="256">
        <f>-8-3</f>
        <v>-11</v>
      </c>
      <c r="F10" s="256">
        <f>-5-19</f>
        <v>-24</v>
      </c>
      <c r="G10" s="256">
        <f>-3-16</f>
        <v>-19</v>
      </c>
      <c r="H10" s="274">
        <f>-3-25</f>
        <v>-28</v>
      </c>
      <c r="I10" s="275">
        <f>-1-46</f>
        <v>-47</v>
      </c>
      <c r="J10" s="256">
        <f>-2+13</f>
        <v>11</v>
      </c>
      <c r="K10" s="256">
        <f>-2+25</f>
        <v>23</v>
      </c>
      <c r="L10" s="256">
        <f>-3+16</f>
        <v>13</v>
      </c>
      <c r="M10" s="256">
        <v>-3</v>
      </c>
      <c r="N10" s="27" t="s">
        <v>835</v>
      </c>
      <c r="O10" t="s">
        <v>846</v>
      </c>
      <c r="P10"/>
      <c r="Q10" s="21" t="s">
        <v>837</v>
      </c>
      <c r="R10" s="21" t="s">
        <v>847</v>
      </c>
      <c r="Z10" s="30">
        <f>505+518</f>
        <v>1023</v>
      </c>
      <c r="AA10" s="30">
        <f>507-161</f>
        <v>346</v>
      </c>
      <c r="AB10" s="30">
        <f>484-322</f>
        <v>162</v>
      </c>
      <c r="AC10" s="30">
        <f>465+35</f>
        <v>500</v>
      </c>
      <c r="AD10" s="31">
        <f>467-130</f>
        <v>337</v>
      </c>
      <c r="AE10" s="30">
        <f>396+32</f>
        <v>428</v>
      </c>
      <c r="AF10" s="30">
        <f>343-130</f>
        <v>213</v>
      </c>
      <c r="AG10" s="30">
        <f>389-381</f>
        <v>8</v>
      </c>
    </row>
    <row r="11" spans="1:33">
      <c r="A11" s="25" t="s">
        <v>284</v>
      </c>
      <c r="B11" s="256">
        <v>-273</v>
      </c>
      <c r="C11" s="256">
        <f>-232-5</f>
        <v>-237</v>
      </c>
      <c r="D11" s="256">
        <f>-140+51</f>
        <v>-89</v>
      </c>
      <c r="E11" s="256">
        <v>-256</v>
      </c>
      <c r="F11" s="256">
        <v>-266</v>
      </c>
      <c r="G11" s="256">
        <v>-252</v>
      </c>
      <c r="H11" s="274">
        <v>-184</v>
      </c>
      <c r="I11" s="275">
        <v>-285</v>
      </c>
      <c r="J11" s="256">
        <v>-349</v>
      </c>
      <c r="K11" s="256">
        <v>-428</v>
      </c>
      <c r="L11" s="256">
        <v>-407</v>
      </c>
      <c r="M11" s="256">
        <v>-335</v>
      </c>
      <c r="N11" s="27" t="s">
        <v>835</v>
      </c>
      <c r="O11" t="s">
        <v>284</v>
      </c>
      <c r="P11"/>
      <c r="Q11" s="21" t="s">
        <v>837</v>
      </c>
      <c r="R11" s="21" t="s">
        <v>848</v>
      </c>
      <c r="Z11" s="26">
        <v>192</v>
      </c>
      <c r="AA11" s="26">
        <v>916</v>
      </c>
      <c r="AB11" s="26">
        <v>692</v>
      </c>
      <c r="AC11" s="26">
        <v>1319</v>
      </c>
      <c r="AD11" s="29">
        <f>2528</f>
        <v>2528</v>
      </c>
      <c r="AE11" s="26">
        <f>1720</f>
        <v>1720</v>
      </c>
      <c r="AF11" s="26">
        <f>968</f>
        <v>968</v>
      </c>
      <c r="AG11" s="26">
        <f>-270</f>
        <v>-270</v>
      </c>
    </row>
    <row r="12" spans="1:33">
      <c r="A12" s="25" t="s">
        <v>66</v>
      </c>
      <c r="B12" s="256">
        <v>807</v>
      </c>
      <c r="C12" s="256">
        <v>765</v>
      </c>
      <c r="D12" s="256">
        <v>-51</v>
      </c>
      <c r="E12" s="256">
        <v>730</v>
      </c>
      <c r="F12" s="256">
        <v>845</v>
      </c>
      <c r="G12" s="256">
        <v>733</v>
      </c>
      <c r="H12" s="273">
        <v>574</v>
      </c>
      <c r="I12" s="256">
        <v>1089</v>
      </c>
      <c r="J12" s="256">
        <v>1384</v>
      </c>
      <c r="K12" s="256">
        <v>1921</v>
      </c>
      <c r="L12" s="256">
        <v>1596</v>
      </c>
      <c r="M12" s="256">
        <v>1269</v>
      </c>
      <c r="N12" s="27" t="s">
        <v>835</v>
      </c>
      <c r="O12" t="s">
        <v>66</v>
      </c>
      <c r="P12"/>
      <c r="Q12" s="21" t="s">
        <v>849</v>
      </c>
      <c r="R12" s="21" t="s">
        <v>850</v>
      </c>
      <c r="Z12" s="26">
        <v>-67</v>
      </c>
      <c r="AA12" s="26">
        <v>2512</v>
      </c>
      <c r="AB12" s="26">
        <v>2452</v>
      </c>
      <c r="AC12" s="26">
        <v>3789</v>
      </c>
      <c r="AD12" s="26">
        <v>5681</v>
      </c>
      <c r="AE12" s="26">
        <f>4928+24</f>
        <v>4952</v>
      </c>
      <c r="AF12" s="26">
        <v>2700</v>
      </c>
      <c r="AG12" s="26">
        <v>895</v>
      </c>
    </row>
    <row r="13" spans="1:33">
      <c r="B13" s="276">
        <f>SUM(B8:B11)</f>
        <v>807</v>
      </c>
      <c r="C13" s="276">
        <f>SUM(C8:C11)</f>
        <v>765</v>
      </c>
      <c r="D13" s="276">
        <f>SUM(D8:D11)</f>
        <v>-51</v>
      </c>
      <c r="E13" s="276">
        <f t="shared" ref="E13:M13" si="1">SUM(E8:E11)</f>
        <v>730</v>
      </c>
      <c r="F13" s="276">
        <f t="shared" si="1"/>
        <v>845</v>
      </c>
      <c r="G13" s="276">
        <f t="shared" si="1"/>
        <v>733</v>
      </c>
      <c r="H13" s="276">
        <f t="shared" si="1"/>
        <v>574</v>
      </c>
      <c r="I13" s="276">
        <f t="shared" si="1"/>
        <v>1089</v>
      </c>
      <c r="J13" s="276">
        <f t="shared" si="1"/>
        <v>1384</v>
      </c>
      <c r="K13" s="276">
        <f t="shared" si="1"/>
        <v>1921</v>
      </c>
      <c r="L13" s="276">
        <f t="shared" si="1"/>
        <v>1596</v>
      </c>
      <c r="M13" s="276">
        <f t="shared" si="1"/>
        <v>1269</v>
      </c>
      <c r="N13"/>
      <c r="O13"/>
      <c r="P13"/>
      <c r="Z13" s="23">
        <f t="shared" ref="Z13:AG13" si="2">Z8-Z10-Z9-Z11</f>
        <v>-67</v>
      </c>
      <c r="AA13" s="23">
        <f t="shared" si="2"/>
        <v>2512</v>
      </c>
      <c r="AB13" s="23">
        <f t="shared" si="2"/>
        <v>2452</v>
      </c>
      <c r="AC13" s="23">
        <f t="shared" si="2"/>
        <v>3789</v>
      </c>
      <c r="AD13" s="23">
        <f t="shared" si="2"/>
        <v>5681</v>
      </c>
      <c r="AE13" s="23">
        <f t="shared" si="2"/>
        <v>4952</v>
      </c>
      <c r="AF13" s="23">
        <f t="shared" si="2"/>
        <v>2700</v>
      </c>
      <c r="AG13" s="23">
        <f t="shared" si="2"/>
        <v>895</v>
      </c>
    </row>
    <row r="14" spans="1:33" ht="15">
      <c r="A14" s="49" t="s">
        <v>851</v>
      </c>
      <c r="B14" s="277">
        <f>B12-B13</f>
        <v>0</v>
      </c>
      <c r="C14" s="277">
        <f t="shared" ref="C14:M14" si="3">C12-C13</f>
        <v>0</v>
      </c>
      <c r="D14" s="277">
        <f t="shared" si="3"/>
        <v>0</v>
      </c>
      <c r="E14" s="277">
        <f t="shared" si="3"/>
        <v>0</v>
      </c>
      <c r="F14" s="277">
        <f t="shared" si="3"/>
        <v>0</v>
      </c>
      <c r="G14" s="277">
        <f t="shared" si="3"/>
        <v>0</v>
      </c>
      <c r="H14" s="277">
        <f t="shared" si="3"/>
        <v>0</v>
      </c>
      <c r="I14" s="277">
        <f t="shared" si="3"/>
        <v>0</v>
      </c>
      <c r="J14" s="277">
        <f t="shared" si="3"/>
        <v>0</v>
      </c>
      <c r="K14" s="277">
        <f t="shared" si="3"/>
        <v>0</v>
      </c>
      <c r="L14" s="277">
        <f t="shared" si="3"/>
        <v>0</v>
      </c>
      <c r="M14" s="277">
        <f t="shared" si="3"/>
        <v>0</v>
      </c>
      <c r="N14"/>
      <c r="O14"/>
      <c r="P14"/>
      <c r="Z14" s="34">
        <f t="shared" ref="Z14:AG14" si="4">Z12-Z13</f>
        <v>0</v>
      </c>
      <c r="AA14" s="34">
        <f t="shared" si="4"/>
        <v>0</v>
      </c>
      <c r="AB14" s="34">
        <f t="shared" si="4"/>
        <v>0</v>
      </c>
      <c r="AC14" s="34">
        <f t="shared" si="4"/>
        <v>0</v>
      </c>
      <c r="AD14" s="34">
        <f t="shared" si="4"/>
        <v>0</v>
      </c>
      <c r="AE14" s="34">
        <f t="shared" si="4"/>
        <v>0</v>
      </c>
      <c r="AF14" s="34">
        <f t="shared" si="4"/>
        <v>0</v>
      </c>
      <c r="AG14" s="34">
        <f t="shared" si="4"/>
        <v>0</v>
      </c>
    </row>
    <row r="15" spans="1:33">
      <c r="A15"/>
      <c r="B15" s="281"/>
      <c r="C15" s="281"/>
      <c r="D15" s="281"/>
      <c r="E15" s="281"/>
      <c r="F15" s="281"/>
      <c r="G15" s="281"/>
      <c r="H15" s="281"/>
      <c r="I15" s="281"/>
      <c r="J15" s="281"/>
      <c r="K15" s="281"/>
      <c r="L15" s="281"/>
      <c r="M15" s="281"/>
      <c r="N15"/>
      <c r="O15"/>
      <c r="P15"/>
      <c r="Z15" s="26"/>
      <c r="AA15" s="26"/>
      <c r="AB15" s="26"/>
      <c r="AC15" s="26"/>
      <c r="AD15" s="26"/>
      <c r="AE15" s="26"/>
      <c r="AF15" s="26"/>
      <c r="AG15" s="26"/>
    </row>
    <row r="16" spans="1:33">
      <c r="A16" s="25" t="s">
        <v>852</v>
      </c>
      <c r="B16" s="278">
        <v>51.8</v>
      </c>
      <c r="C16" s="278">
        <v>51.8</v>
      </c>
      <c r="D16" s="278">
        <v>51.7</v>
      </c>
      <c r="E16" s="278">
        <v>51.5</v>
      </c>
      <c r="F16" s="278">
        <v>52.4</v>
      </c>
      <c r="G16" s="278">
        <v>52.9</v>
      </c>
      <c r="H16" s="279">
        <v>53.7</v>
      </c>
      <c r="I16" s="278">
        <v>54.3</v>
      </c>
      <c r="J16" s="278">
        <v>54.3</v>
      </c>
      <c r="K16" s="278">
        <v>54.2</v>
      </c>
      <c r="L16" s="278">
        <v>54</v>
      </c>
      <c r="M16" s="278">
        <v>54</v>
      </c>
      <c r="N16" s="27"/>
      <c r="O16"/>
      <c r="P16"/>
      <c r="Z16" s="26"/>
      <c r="AA16" s="26"/>
      <c r="AB16" s="26"/>
      <c r="AC16" s="26"/>
      <c r="AD16" s="26"/>
      <c r="AE16" s="26"/>
      <c r="AF16" s="26"/>
      <c r="AG16" s="26"/>
    </row>
    <row r="17" spans="1:152">
      <c r="A17" s="25" t="s">
        <v>853</v>
      </c>
      <c r="B17" s="278">
        <v>51.8</v>
      </c>
      <c r="C17" s="278">
        <v>51.8</v>
      </c>
      <c r="D17" s="278">
        <v>51.7</v>
      </c>
      <c r="E17" s="278">
        <v>51.5</v>
      </c>
      <c r="F17" s="278">
        <v>52.4</v>
      </c>
      <c r="G17" s="278">
        <v>53</v>
      </c>
      <c r="H17" s="279">
        <v>53.8</v>
      </c>
      <c r="I17" s="278">
        <v>54.3</v>
      </c>
      <c r="J17" s="278">
        <v>54.3</v>
      </c>
      <c r="K17" s="278">
        <v>54.3</v>
      </c>
      <c r="L17" s="278">
        <v>54</v>
      </c>
      <c r="M17" s="278">
        <v>54.1</v>
      </c>
      <c r="N17" s="27"/>
      <c r="O17"/>
      <c r="P17"/>
      <c r="Z17" s="26"/>
      <c r="AA17" s="26"/>
      <c r="AB17" s="26"/>
      <c r="AC17" s="26"/>
      <c r="AD17" s="26"/>
      <c r="AE17" s="26"/>
      <c r="AF17" s="26"/>
      <c r="AG17" s="26"/>
    </row>
    <row r="18" spans="1:152" customFormat="1" ht="12.75">
      <c r="B18" s="281"/>
      <c r="C18" s="281"/>
      <c r="D18" s="281"/>
      <c r="E18" s="281"/>
      <c r="F18" s="281"/>
      <c r="G18" s="281"/>
      <c r="H18" s="281"/>
      <c r="I18" s="281"/>
      <c r="J18" s="281"/>
      <c r="K18" s="281"/>
      <c r="L18" s="281"/>
      <c r="M18" s="281"/>
    </row>
    <row r="19" spans="1:152">
      <c r="A19" s="720" t="s">
        <v>854</v>
      </c>
      <c r="B19" s="256">
        <f>B77</f>
        <v>-21</v>
      </c>
      <c r="C19" s="256">
        <f t="shared" ref="C19:M19" si="5">C77</f>
        <v>10</v>
      </c>
      <c r="D19" s="256">
        <f t="shared" si="5"/>
        <v>-50</v>
      </c>
      <c r="E19" s="256">
        <f t="shared" si="5"/>
        <v>-19</v>
      </c>
      <c r="F19" s="256">
        <f t="shared" si="5"/>
        <v>-22</v>
      </c>
      <c r="G19" s="256">
        <f t="shared" si="5"/>
        <v>3</v>
      </c>
      <c r="H19" s="256">
        <f t="shared" si="5"/>
        <v>-4</v>
      </c>
      <c r="I19" s="256">
        <f t="shared" si="5"/>
        <v>-38</v>
      </c>
      <c r="J19" s="256">
        <f t="shared" si="5"/>
        <v>24</v>
      </c>
      <c r="K19" s="256">
        <f t="shared" si="5"/>
        <v>-14</v>
      </c>
      <c r="L19" s="256">
        <f t="shared" si="5"/>
        <v>-4</v>
      </c>
      <c r="M19" s="256">
        <f t="shared" si="5"/>
        <v>-3</v>
      </c>
      <c r="N19" s="27"/>
      <c r="O19"/>
      <c r="P19"/>
      <c r="Z19" s="26"/>
      <c r="AA19" s="26"/>
      <c r="AB19" s="26"/>
      <c r="AC19" s="26"/>
      <c r="AD19" s="26"/>
      <c r="AE19" s="26"/>
      <c r="AF19" s="26"/>
      <c r="AG19" s="26"/>
    </row>
    <row r="20" spans="1:152">
      <c r="A20" s="25" t="s">
        <v>855</v>
      </c>
      <c r="B20" s="256">
        <f>B12+B19</f>
        <v>786</v>
      </c>
      <c r="C20" s="256">
        <f t="shared" ref="C20:M20" si="6">C12+C19</f>
        <v>775</v>
      </c>
      <c r="D20" s="256">
        <f t="shared" si="6"/>
        <v>-101</v>
      </c>
      <c r="E20" s="256">
        <f t="shared" si="6"/>
        <v>711</v>
      </c>
      <c r="F20" s="256">
        <f t="shared" si="6"/>
        <v>823</v>
      </c>
      <c r="G20" s="256">
        <f t="shared" si="6"/>
        <v>736</v>
      </c>
      <c r="H20" s="256">
        <f t="shared" si="6"/>
        <v>570</v>
      </c>
      <c r="I20" s="256">
        <f t="shared" si="6"/>
        <v>1051</v>
      </c>
      <c r="J20" s="256">
        <f t="shared" si="6"/>
        <v>1408</v>
      </c>
      <c r="K20" s="256">
        <f t="shared" si="6"/>
        <v>1907</v>
      </c>
      <c r="L20" s="256">
        <f t="shared" si="6"/>
        <v>1592</v>
      </c>
      <c r="M20" s="256">
        <f t="shared" si="6"/>
        <v>1266</v>
      </c>
      <c r="N20" s="27"/>
      <c r="O20"/>
      <c r="P20"/>
      <c r="Z20" s="26"/>
      <c r="AA20" s="26"/>
      <c r="AB20" s="26"/>
      <c r="AC20" s="26"/>
      <c r="AD20" s="26"/>
      <c r="AE20" s="26"/>
      <c r="AF20" s="26"/>
      <c r="AG20" s="26"/>
    </row>
    <row r="21" spans="1:152" customFormat="1" ht="12.75">
      <c r="B21" s="281"/>
      <c r="C21" s="281"/>
      <c r="D21" s="281"/>
      <c r="E21" s="281"/>
      <c r="F21" s="281"/>
      <c r="G21" s="281"/>
      <c r="H21" s="281"/>
      <c r="I21" s="281"/>
      <c r="J21" s="281"/>
      <c r="K21" s="281"/>
      <c r="L21" s="281"/>
      <c r="M21" s="281"/>
    </row>
    <row r="22" spans="1:152">
      <c r="A22" s="21" t="s">
        <v>628</v>
      </c>
      <c r="B22" s="276">
        <f>B23-C23</f>
        <v>-54</v>
      </c>
      <c r="C22" s="276">
        <f t="shared" ref="C22:J22" si="7">C23-D23</f>
        <v>699</v>
      </c>
      <c r="D22" s="276">
        <f>D23-E23</f>
        <v>-418</v>
      </c>
      <c r="E22" s="276">
        <f>E23-F23</f>
        <v>120</v>
      </c>
      <c r="F22" s="276">
        <f t="shared" si="7"/>
        <v>-135</v>
      </c>
      <c r="G22" s="276">
        <f t="shared" si="7"/>
        <v>313</v>
      </c>
      <c r="H22" s="276">
        <f t="shared" si="7"/>
        <v>-202</v>
      </c>
      <c r="I22" s="276">
        <f>I23-J23</f>
        <v>368</v>
      </c>
      <c r="J22" s="276">
        <f t="shared" si="7"/>
        <v>183</v>
      </c>
      <c r="K22" s="276">
        <f>K23-L23</f>
        <v>1163</v>
      </c>
      <c r="L22" s="276">
        <f>L23-M23</f>
        <v>1745</v>
      </c>
      <c r="M22" s="276" t="s">
        <v>69</v>
      </c>
      <c r="N22" s="33" t="s">
        <v>856</v>
      </c>
      <c r="O22" t="s">
        <v>857</v>
      </c>
      <c r="P22"/>
      <c r="Q22" s="21" t="s">
        <v>849</v>
      </c>
      <c r="Z22" s="26"/>
      <c r="AA22" s="26"/>
      <c r="AB22" s="26"/>
      <c r="AC22" s="26"/>
      <c r="AD22" s="29"/>
      <c r="AE22" s="26"/>
      <c r="AF22" s="26"/>
      <c r="AG22" s="26"/>
    </row>
    <row r="23" spans="1:152">
      <c r="A23" s="25" t="s">
        <v>858</v>
      </c>
      <c r="B23" s="256">
        <f>B27-B42-B28</f>
        <v>8111</v>
      </c>
      <c r="C23" s="256">
        <f t="shared" ref="C23:M23" si="8">C27-C42-C28</f>
        <v>8165</v>
      </c>
      <c r="D23" s="256">
        <f t="shared" si="8"/>
        <v>7466</v>
      </c>
      <c r="E23" s="256">
        <f t="shared" si="8"/>
        <v>7884</v>
      </c>
      <c r="F23" s="256">
        <f t="shared" si="8"/>
        <v>7764</v>
      </c>
      <c r="G23" s="256">
        <f t="shared" si="8"/>
        <v>7899</v>
      </c>
      <c r="H23" s="256">
        <f t="shared" si="8"/>
        <v>7586</v>
      </c>
      <c r="I23" s="256">
        <f t="shared" si="8"/>
        <v>7788</v>
      </c>
      <c r="J23" s="256">
        <f t="shared" si="8"/>
        <v>7420</v>
      </c>
      <c r="K23" s="256">
        <f t="shared" si="8"/>
        <v>7237</v>
      </c>
      <c r="L23" s="256">
        <f t="shared" si="8"/>
        <v>6074</v>
      </c>
      <c r="M23" s="256">
        <f t="shared" si="8"/>
        <v>4329</v>
      </c>
      <c r="N23" s="33"/>
      <c r="O23"/>
      <c r="P23"/>
      <c r="Z23" s="26"/>
      <c r="AA23" s="26"/>
      <c r="AB23" s="26"/>
      <c r="AC23" s="26"/>
      <c r="AD23" s="29"/>
      <c r="AE23" s="26"/>
      <c r="AF23" s="26"/>
      <c r="AG23" s="26"/>
    </row>
    <row r="24" spans="1:152">
      <c r="A24" s="7">
        <v>2625</v>
      </c>
      <c r="B24" s="282">
        <v>2625</v>
      </c>
      <c r="C24" s="282">
        <v>2625</v>
      </c>
      <c r="D24" s="282">
        <v>2625</v>
      </c>
      <c r="E24" s="282">
        <v>2625</v>
      </c>
      <c r="F24" s="282">
        <v>2625</v>
      </c>
      <c r="G24" s="282">
        <v>2625</v>
      </c>
      <c r="H24" s="282">
        <v>2625</v>
      </c>
      <c r="I24" s="282">
        <v>2625</v>
      </c>
      <c r="J24" s="282">
        <v>2625</v>
      </c>
      <c r="K24" s="282">
        <v>2625</v>
      </c>
      <c r="L24" s="282">
        <v>2625</v>
      </c>
      <c r="M24" s="282">
        <v>2625</v>
      </c>
      <c r="N24" s="7">
        <v>2625</v>
      </c>
      <c r="O24"/>
      <c r="P24"/>
      <c r="Q24" s="21" t="s">
        <v>849</v>
      </c>
      <c r="R24" s="21" t="s">
        <v>859</v>
      </c>
      <c r="T24" s="21" t="s">
        <v>860</v>
      </c>
      <c r="Z24" s="26">
        <v>1799</v>
      </c>
      <c r="AA24" s="26">
        <v>1757</v>
      </c>
      <c r="AB24" s="26">
        <v>1620</v>
      </c>
      <c r="AC24" s="26">
        <v>1111</v>
      </c>
      <c r="AD24" s="26">
        <v>1617</v>
      </c>
      <c r="AE24" s="26">
        <v>1159</v>
      </c>
      <c r="AF24" s="26">
        <v>1084</v>
      </c>
      <c r="AG24" s="26">
        <v>1029</v>
      </c>
    </row>
    <row r="25" spans="1:152" ht="15">
      <c r="A25" s="49" t="s">
        <v>438</v>
      </c>
      <c r="B25" s="282">
        <v>2625</v>
      </c>
      <c r="C25" s="282">
        <v>2625</v>
      </c>
      <c r="D25" s="282">
        <v>2625</v>
      </c>
      <c r="E25" s="282">
        <v>2625</v>
      </c>
      <c r="F25" s="282">
        <v>2625</v>
      </c>
      <c r="G25" s="282">
        <v>2625</v>
      </c>
      <c r="H25" s="282">
        <v>2625</v>
      </c>
      <c r="I25" s="282">
        <v>2625</v>
      </c>
      <c r="J25" s="709"/>
      <c r="K25" s="282">
        <v>2625</v>
      </c>
      <c r="L25" s="282">
        <v>2625</v>
      </c>
      <c r="M25" s="282">
        <v>2625</v>
      </c>
      <c r="N25" s="7">
        <v>2625</v>
      </c>
      <c r="O25"/>
      <c r="P25"/>
      <c r="Q25" s="21" t="s">
        <v>849</v>
      </c>
      <c r="R25" s="21" t="s">
        <v>861</v>
      </c>
      <c r="S25" s="21" t="s">
        <v>862</v>
      </c>
      <c r="T25" s="21" t="s">
        <v>863</v>
      </c>
      <c r="Z25" s="26">
        <v>23</v>
      </c>
      <c r="AA25" s="26">
        <f>-33+2025</f>
        <v>1992</v>
      </c>
      <c r="AB25" s="26">
        <v>3817</v>
      </c>
      <c r="AC25" s="26">
        <v>1776</v>
      </c>
      <c r="AD25" s="26">
        <v>-244</v>
      </c>
      <c r="AE25" s="26">
        <v>-312</v>
      </c>
      <c r="AF25" s="26">
        <v>-449</v>
      </c>
      <c r="AG25" s="26">
        <v>-110</v>
      </c>
    </row>
    <row r="26" spans="1:152" ht="15">
      <c r="A26" s="118" t="s">
        <v>864</v>
      </c>
      <c r="B26" s="313"/>
      <c r="C26" s="313"/>
      <c r="D26" s="313"/>
      <c r="E26" s="313"/>
      <c r="F26" s="313"/>
      <c r="G26" s="313"/>
      <c r="H26" s="313"/>
      <c r="I26" s="313"/>
      <c r="J26" s="313"/>
      <c r="K26" s="313"/>
      <c r="L26" s="313"/>
      <c r="M26" s="313"/>
      <c r="N26" s="7">
        <v>1922</v>
      </c>
      <c r="O26" s="7">
        <v>2625</v>
      </c>
      <c r="P26"/>
      <c r="Z26" s="26"/>
      <c r="AA26" s="26"/>
      <c r="AB26" s="26"/>
      <c r="AC26" s="26"/>
      <c r="AD26" s="26"/>
      <c r="AE26" s="26"/>
      <c r="AF26" s="26"/>
      <c r="AG26" s="26"/>
    </row>
    <row r="27" spans="1:152" ht="15">
      <c r="A27" s="10" t="s">
        <v>865</v>
      </c>
      <c r="B27" s="255">
        <v>10393</v>
      </c>
      <c r="C27" s="255">
        <v>10107</v>
      </c>
      <c r="D27" s="255">
        <v>9238</v>
      </c>
      <c r="E27" s="255">
        <v>9555</v>
      </c>
      <c r="F27" s="255">
        <v>9458</v>
      </c>
      <c r="G27" s="255">
        <v>9458</v>
      </c>
      <c r="H27" s="255">
        <v>9045</v>
      </c>
      <c r="I27" s="255">
        <v>9269</v>
      </c>
      <c r="J27" s="255">
        <v>8946</v>
      </c>
      <c r="K27" s="255">
        <v>8673</v>
      </c>
      <c r="L27" s="255">
        <v>7827</v>
      </c>
      <c r="M27" s="255">
        <v>7096</v>
      </c>
      <c r="N27" s="7"/>
      <c r="O27" s="7"/>
      <c r="P27"/>
      <c r="Z27" s="26"/>
      <c r="AA27" s="26"/>
      <c r="AB27" s="26"/>
      <c r="AC27" s="26"/>
      <c r="AD27" s="26"/>
      <c r="AE27" s="26"/>
      <c r="AF27" s="26"/>
      <c r="AG27" s="26"/>
    </row>
    <row r="28" spans="1:152" ht="15">
      <c r="A28" s="115" t="s">
        <v>286</v>
      </c>
      <c r="B28" s="256">
        <v>1156</v>
      </c>
      <c r="C28" s="256">
        <v>565</v>
      </c>
      <c r="D28" s="256">
        <v>560</v>
      </c>
      <c r="E28" s="256">
        <v>310</v>
      </c>
      <c r="F28" s="256">
        <v>145</v>
      </c>
      <c r="G28" s="256">
        <v>186</v>
      </c>
      <c r="H28" s="256">
        <v>252</v>
      </c>
      <c r="I28" s="256">
        <v>259</v>
      </c>
      <c r="J28" s="256">
        <v>218</v>
      </c>
      <c r="K28" s="256">
        <v>98</v>
      </c>
      <c r="L28" s="256">
        <v>549</v>
      </c>
      <c r="M28" s="256">
        <v>1616</v>
      </c>
      <c r="N28" s="36" t="s">
        <v>866</v>
      </c>
      <c r="O28" t="s">
        <v>286</v>
      </c>
      <c r="P28"/>
      <c r="Z28" s="35"/>
      <c r="AA28" s="35"/>
      <c r="AB28" s="35"/>
      <c r="AC28" s="35"/>
      <c r="AD28" s="35"/>
      <c r="AE28" s="34"/>
      <c r="AF28" s="34"/>
      <c r="AG28" s="34"/>
    </row>
    <row r="29" spans="1:152" ht="15">
      <c r="A29" s="116" t="s">
        <v>637</v>
      </c>
      <c r="B29" s="256">
        <v>711</v>
      </c>
      <c r="C29" s="256">
        <v>784</v>
      </c>
      <c r="D29" s="256">
        <v>838</v>
      </c>
      <c r="E29" s="256">
        <v>884</v>
      </c>
      <c r="F29" s="256">
        <v>935</v>
      </c>
      <c r="G29" s="256">
        <v>1136</v>
      </c>
      <c r="H29" s="256">
        <v>932</v>
      </c>
      <c r="I29" s="256">
        <v>1030</v>
      </c>
      <c r="J29" s="256">
        <v>1139</v>
      </c>
      <c r="K29" s="256">
        <v>1203</v>
      </c>
      <c r="L29" s="256">
        <v>1096</v>
      </c>
      <c r="M29" s="256">
        <v>1042</v>
      </c>
      <c r="N29" s="36" t="s">
        <v>866</v>
      </c>
      <c r="O29" t="s">
        <v>637</v>
      </c>
      <c r="P29"/>
      <c r="Z29" s="35"/>
      <c r="AA29" s="35"/>
      <c r="AB29" s="35"/>
      <c r="AC29" s="35"/>
      <c r="AD29" s="35"/>
      <c r="AE29" s="34"/>
      <c r="AF29" s="34"/>
      <c r="AG29" s="34"/>
    </row>
    <row r="30" spans="1:152">
      <c r="A30" s="115" t="s">
        <v>288</v>
      </c>
      <c r="B30" s="256">
        <v>6504</v>
      </c>
      <c r="C30" s="256">
        <v>6044</v>
      </c>
      <c r="D30" s="256">
        <v>5964</v>
      </c>
      <c r="E30" s="256">
        <v>6500</v>
      </c>
      <c r="F30" s="256">
        <v>6572</v>
      </c>
      <c r="G30" s="256">
        <v>5959</v>
      </c>
      <c r="H30" s="256">
        <v>5912</v>
      </c>
      <c r="I30" s="256">
        <v>5822</v>
      </c>
      <c r="J30" s="256">
        <v>5638</v>
      </c>
      <c r="K30" s="256">
        <v>5144</v>
      </c>
      <c r="L30" s="256">
        <v>4155</v>
      </c>
      <c r="M30" s="256">
        <v>3482</v>
      </c>
      <c r="N30" s="36" t="s">
        <v>866</v>
      </c>
      <c r="O30" t="s">
        <v>288</v>
      </c>
      <c r="P30"/>
      <c r="Q30" s="21" t="s">
        <v>867</v>
      </c>
      <c r="R30" s="21" t="s">
        <v>868</v>
      </c>
      <c r="Z30" s="26">
        <v>7168</v>
      </c>
      <c r="AA30" s="26">
        <v>6460</v>
      </c>
      <c r="AB30" s="26">
        <v>7341</v>
      </c>
      <c r="AC30" s="26">
        <v>6081</v>
      </c>
      <c r="AD30" s="26">
        <v>5490</v>
      </c>
      <c r="AE30" s="26">
        <v>3057</v>
      </c>
      <c r="AF30" s="26">
        <v>3592</v>
      </c>
      <c r="AG30" s="26">
        <v>4867</v>
      </c>
    </row>
    <row r="31" spans="1:152" s="22" customFormat="1">
      <c r="A31" s="115" t="s">
        <v>869</v>
      </c>
      <c r="B31" s="256">
        <f>B27-SUM(B28:B30)</f>
        <v>2022</v>
      </c>
      <c r="C31" s="256">
        <f t="shared" ref="C31:M31" si="9">C27-SUM(C28:C30)</f>
        <v>2714</v>
      </c>
      <c r="D31" s="256">
        <f t="shared" si="9"/>
        <v>1876</v>
      </c>
      <c r="E31" s="256">
        <f t="shared" si="9"/>
        <v>1861</v>
      </c>
      <c r="F31" s="256">
        <f t="shared" si="9"/>
        <v>1806</v>
      </c>
      <c r="G31" s="256">
        <f t="shared" si="9"/>
        <v>2177</v>
      </c>
      <c r="H31" s="256">
        <f t="shared" si="9"/>
        <v>1949</v>
      </c>
      <c r="I31" s="256">
        <f t="shared" si="9"/>
        <v>2158</v>
      </c>
      <c r="J31" s="256">
        <f t="shared" si="9"/>
        <v>1951</v>
      </c>
      <c r="K31" s="256">
        <f t="shared" si="9"/>
        <v>2228</v>
      </c>
      <c r="L31" s="256">
        <f t="shared" si="9"/>
        <v>2027</v>
      </c>
      <c r="M31" s="256">
        <f t="shared" si="9"/>
        <v>956</v>
      </c>
      <c r="N31" s="36" t="s">
        <v>866</v>
      </c>
      <c r="O31" t="s">
        <v>288</v>
      </c>
      <c r="P31"/>
      <c r="Q31" s="21" t="s">
        <v>867</v>
      </c>
      <c r="R31" s="21" t="s">
        <v>870</v>
      </c>
      <c r="S31" s="21" t="s">
        <v>871</v>
      </c>
      <c r="T31" s="21" t="s">
        <v>872</v>
      </c>
      <c r="U31" s="21"/>
      <c r="V31" s="21"/>
      <c r="W31" s="21"/>
      <c r="X31" s="21"/>
      <c r="Y31" s="21"/>
      <c r="Z31" s="30">
        <f>5981+8522+1029+13556</f>
        <v>29088</v>
      </c>
      <c r="AA31" s="30">
        <f>6695+8991+1170+13651</f>
        <v>30507</v>
      </c>
      <c r="AB31" s="30">
        <f>7737+9027+1364+14644</f>
        <v>32772</v>
      </c>
      <c r="AC31" s="30">
        <v>33499</v>
      </c>
      <c r="AD31" s="30">
        <v>33911</v>
      </c>
      <c r="AE31" s="30">
        <v>31031</v>
      </c>
      <c r="AF31" s="30">
        <v>28849</v>
      </c>
      <c r="AG31" s="30">
        <v>27162</v>
      </c>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row>
    <row r="32" spans="1:152" s="22" customFormat="1" ht="15">
      <c r="A32" s="10" t="s">
        <v>873</v>
      </c>
      <c r="B32" s="255">
        <v>3500</v>
      </c>
      <c r="C32" s="255">
        <v>3571</v>
      </c>
      <c r="D32" s="255">
        <v>3659</v>
      </c>
      <c r="E32" s="255">
        <v>4137</v>
      </c>
      <c r="F32" s="255">
        <v>4203</v>
      </c>
      <c r="G32" s="255">
        <v>4021</v>
      </c>
      <c r="H32" s="255">
        <v>4061</v>
      </c>
      <c r="I32" s="255">
        <v>4001</v>
      </c>
      <c r="J32" s="255">
        <v>3801</v>
      </c>
      <c r="K32" s="255">
        <v>2966</v>
      </c>
      <c r="L32" s="255">
        <v>2603</v>
      </c>
      <c r="M32" s="255">
        <v>2709</v>
      </c>
      <c r="N32" s="36"/>
      <c r="O32"/>
      <c r="P32"/>
      <c r="Q32" s="21"/>
      <c r="R32" s="21"/>
      <c r="S32" s="21"/>
      <c r="T32" s="21"/>
      <c r="U32" s="21"/>
      <c r="V32" s="21"/>
      <c r="W32" s="21"/>
      <c r="X32" s="21"/>
      <c r="Y32" s="21"/>
      <c r="Z32" s="30"/>
      <c r="AA32" s="30"/>
      <c r="AB32" s="30"/>
      <c r="AC32" s="30"/>
      <c r="AD32" s="30"/>
      <c r="AE32" s="30"/>
      <c r="AF32" s="30"/>
      <c r="AG32" s="30"/>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row>
    <row r="33" spans="1:33">
      <c r="A33" s="117" t="s">
        <v>638</v>
      </c>
      <c r="B33" s="256">
        <v>2706</v>
      </c>
      <c r="C33" s="256">
        <v>2771</v>
      </c>
      <c r="D33" s="256">
        <v>2929</v>
      </c>
      <c r="E33" s="256">
        <v>3189</v>
      </c>
      <c r="F33" s="256">
        <v>3245</v>
      </c>
      <c r="G33" s="256">
        <v>3281</v>
      </c>
      <c r="H33" s="256">
        <v>3276</v>
      </c>
      <c r="I33" s="256">
        <v>2720</v>
      </c>
      <c r="J33" s="256">
        <v>3010</v>
      </c>
      <c r="K33" s="256">
        <v>2272</v>
      </c>
      <c r="L33" s="256">
        <v>1922</v>
      </c>
      <c r="M33" s="256">
        <v>1665</v>
      </c>
      <c r="N33" s="36"/>
      <c r="O33"/>
      <c r="P33"/>
      <c r="Q33" s="21" t="s">
        <v>867</v>
      </c>
      <c r="R33" s="21" t="s">
        <v>874</v>
      </c>
      <c r="Z33" s="26">
        <v>8614</v>
      </c>
      <c r="AA33" s="26">
        <v>9700</v>
      </c>
      <c r="AB33" s="26">
        <v>12205</v>
      </c>
      <c r="AC33" s="26">
        <v>12625</v>
      </c>
      <c r="AD33" s="26">
        <v>15547</v>
      </c>
      <c r="AE33" s="26">
        <v>14544</v>
      </c>
      <c r="AF33" s="26">
        <v>9587</v>
      </c>
      <c r="AG33" s="26">
        <v>6360</v>
      </c>
    </row>
    <row r="34" spans="1:33">
      <c r="A34" s="117" t="s">
        <v>875</v>
      </c>
      <c r="B34" s="256">
        <v>0</v>
      </c>
      <c r="C34" s="256">
        <v>0</v>
      </c>
      <c r="D34" s="256">
        <v>0</v>
      </c>
      <c r="E34" s="256">
        <v>0</v>
      </c>
      <c r="F34" s="256">
        <v>0</v>
      </c>
      <c r="G34" s="256">
        <v>0</v>
      </c>
      <c r="H34" s="256">
        <v>0</v>
      </c>
      <c r="I34" s="256">
        <v>0</v>
      </c>
      <c r="J34" s="256">
        <v>0</v>
      </c>
      <c r="K34" s="256">
        <v>0</v>
      </c>
      <c r="L34" s="256">
        <v>0</v>
      </c>
      <c r="M34" s="256">
        <v>0</v>
      </c>
      <c r="N34" s="36"/>
      <c r="O34"/>
      <c r="P34"/>
      <c r="Z34" s="26"/>
      <c r="AA34" s="26"/>
      <c r="AB34" s="26"/>
      <c r="AC34" s="26"/>
      <c r="AD34" s="26"/>
      <c r="AE34" s="26"/>
      <c r="AF34" s="26"/>
      <c r="AG34" s="26"/>
    </row>
    <row r="35" spans="1:33">
      <c r="A35" s="117" t="s">
        <v>876</v>
      </c>
      <c r="B35" s="256">
        <v>19</v>
      </c>
      <c r="C35" s="256">
        <v>21</v>
      </c>
      <c r="D35" s="256">
        <v>29</v>
      </c>
      <c r="E35" s="256">
        <v>45</v>
      </c>
      <c r="F35" s="256">
        <v>59</v>
      </c>
      <c r="G35" s="256">
        <v>57</v>
      </c>
      <c r="H35" s="256">
        <v>59</v>
      </c>
      <c r="I35" s="256">
        <v>62</v>
      </c>
      <c r="J35" s="256">
        <v>70</v>
      </c>
      <c r="K35" s="256">
        <v>65</v>
      </c>
      <c r="L35" s="256">
        <v>110</v>
      </c>
      <c r="M35" s="256">
        <v>191</v>
      </c>
      <c r="N35" s="36"/>
      <c r="O35"/>
      <c r="P35"/>
      <c r="Z35" s="26"/>
      <c r="AA35" s="26"/>
      <c r="AB35" s="26"/>
      <c r="AC35" s="26"/>
      <c r="AD35" s="26"/>
      <c r="AE35" s="26"/>
      <c r="AF35" s="26"/>
      <c r="AG35" s="26"/>
    </row>
    <row r="36" spans="1:33">
      <c r="A36" s="117" t="s">
        <v>877</v>
      </c>
      <c r="B36" s="256">
        <f>B32-SUM(B33:B35)</f>
        <v>775</v>
      </c>
      <c r="C36" s="256">
        <f t="shared" ref="C36" si="10">C32-SUM(C33:C35)</f>
        <v>779</v>
      </c>
      <c r="D36" s="256">
        <f t="shared" ref="D36" si="11">D32-SUM(D33:D35)</f>
        <v>701</v>
      </c>
      <c r="E36" s="256">
        <f>E32-SUM(E33:E35)</f>
        <v>903</v>
      </c>
      <c r="F36" s="256">
        <f t="shared" ref="F36" si="12">F32-SUM(F33:F35)</f>
        <v>899</v>
      </c>
      <c r="G36" s="256">
        <f t="shared" ref="G36" si="13">G32-SUM(G33:G35)</f>
        <v>683</v>
      </c>
      <c r="H36" s="256">
        <f t="shared" ref="H36" si="14">H32-SUM(H33:H35)</f>
        <v>726</v>
      </c>
      <c r="I36" s="256">
        <f t="shared" ref="I36" si="15">I32-SUM(I33:I35)</f>
        <v>1219</v>
      </c>
      <c r="J36" s="256">
        <f t="shared" ref="J36" si="16">J32-SUM(J33:J35)</f>
        <v>721</v>
      </c>
      <c r="K36" s="256">
        <f t="shared" ref="K36" si="17">K32-SUM(K33:K35)</f>
        <v>629</v>
      </c>
      <c r="L36" s="256">
        <f t="shared" ref="L36" si="18">L32-SUM(L33:L35)</f>
        <v>571</v>
      </c>
      <c r="M36" s="256">
        <f t="shared" ref="M36" si="19">M32-SUM(M33:M35)</f>
        <v>853</v>
      </c>
      <c r="N36" s="36" t="s">
        <v>866</v>
      </c>
      <c r="O36" t="s">
        <v>638</v>
      </c>
      <c r="P36"/>
      <c r="Z36" s="26"/>
      <c r="AA36" s="26"/>
      <c r="AB36" s="26"/>
      <c r="AC36" s="26"/>
      <c r="AD36" s="26"/>
      <c r="AE36" s="26"/>
      <c r="AF36" s="26"/>
      <c r="AG36" s="26"/>
    </row>
    <row r="37" spans="1:33">
      <c r="A37" s="21" t="s">
        <v>639</v>
      </c>
      <c r="B37" s="276">
        <f>B31+B36</f>
        <v>2797</v>
      </c>
      <c r="C37" s="276">
        <f>C31+C36</f>
        <v>3493</v>
      </c>
      <c r="D37" s="276">
        <f t="shared" ref="D37:M37" si="20">D31+D36</f>
        <v>2577</v>
      </c>
      <c r="E37" s="276">
        <f t="shared" si="20"/>
        <v>2764</v>
      </c>
      <c r="F37" s="276">
        <f t="shared" si="20"/>
        <v>2705</v>
      </c>
      <c r="G37" s="276">
        <f t="shared" si="20"/>
        <v>2860</v>
      </c>
      <c r="H37" s="276">
        <f t="shared" si="20"/>
        <v>2675</v>
      </c>
      <c r="I37" s="276">
        <f t="shared" si="20"/>
        <v>3377</v>
      </c>
      <c r="J37" s="276">
        <f t="shared" si="20"/>
        <v>2672</v>
      </c>
      <c r="K37" s="276">
        <f t="shared" si="20"/>
        <v>2857</v>
      </c>
      <c r="L37" s="276">
        <f t="shared" si="20"/>
        <v>2598</v>
      </c>
      <c r="M37" s="276">
        <f t="shared" si="20"/>
        <v>1809</v>
      </c>
      <c r="N37" s="36" t="s">
        <v>866</v>
      </c>
      <c r="O37"/>
      <c r="P37"/>
      <c r="Z37" s="26"/>
      <c r="AA37" s="26"/>
      <c r="AB37" s="26"/>
      <c r="AC37" s="26"/>
      <c r="AD37" s="26"/>
      <c r="AE37" s="26"/>
      <c r="AF37" s="26"/>
      <c r="AG37" s="26"/>
    </row>
    <row r="38" spans="1:33" ht="15">
      <c r="A38" s="10" t="s">
        <v>42</v>
      </c>
      <c r="B38" s="255">
        <v>13893</v>
      </c>
      <c r="C38" s="255">
        <v>13678</v>
      </c>
      <c r="D38" s="255">
        <v>12897</v>
      </c>
      <c r="E38" s="255">
        <v>13692</v>
      </c>
      <c r="F38" s="255">
        <v>13661</v>
      </c>
      <c r="G38" s="255">
        <v>13479</v>
      </c>
      <c r="H38" s="255">
        <v>13106</v>
      </c>
      <c r="I38" s="255">
        <v>13270</v>
      </c>
      <c r="J38" s="255">
        <v>12747</v>
      </c>
      <c r="K38" s="255">
        <v>11639</v>
      </c>
      <c r="L38" s="255">
        <v>10430</v>
      </c>
      <c r="M38" s="255">
        <v>9805</v>
      </c>
      <c r="N38" s="36" t="s">
        <v>866</v>
      </c>
      <c r="O38" t="s">
        <v>42</v>
      </c>
      <c r="P38"/>
      <c r="Q38" s="21" t="s">
        <v>867</v>
      </c>
      <c r="R38" s="21" t="s">
        <v>878</v>
      </c>
      <c r="Z38" s="26">
        <v>15322</v>
      </c>
      <c r="AA38" s="26">
        <v>16090</v>
      </c>
      <c r="AB38" s="26">
        <f>16577</f>
        <v>16577</v>
      </c>
      <c r="AC38" s="26">
        <v>17075</v>
      </c>
      <c r="AD38" s="26">
        <v>16461</v>
      </c>
      <c r="AE38" s="26">
        <v>14395</v>
      </c>
      <c r="AF38" s="26">
        <v>12539</v>
      </c>
      <c r="AG38" s="26">
        <v>12386</v>
      </c>
    </row>
    <row r="39" spans="1:33">
      <c r="B39" s="276"/>
      <c r="C39" s="276"/>
      <c r="D39" s="276"/>
      <c r="E39" s="276"/>
      <c r="F39" s="276"/>
      <c r="G39" s="276"/>
      <c r="H39" s="276"/>
      <c r="I39" s="276"/>
      <c r="J39" s="276"/>
      <c r="K39" s="276"/>
      <c r="L39" s="276"/>
      <c r="M39" s="276"/>
      <c r="N39" s="36" t="s">
        <v>866</v>
      </c>
      <c r="O39"/>
      <c r="P39"/>
      <c r="Z39" s="23">
        <f t="shared" ref="Z39:AG39" si="21">Z40-SUM(Z30:Z38)</f>
        <v>14512</v>
      </c>
      <c r="AA39" s="23">
        <f t="shared" si="21"/>
        <v>15585</v>
      </c>
      <c r="AB39" s="23">
        <f t="shared" si="21"/>
        <v>15786</v>
      </c>
      <c r="AC39" s="23">
        <f t="shared" si="21"/>
        <v>15616</v>
      </c>
      <c r="AD39" s="23">
        <f t="shared" si="21"/>
        <v>17947</v>
      </c>
      <c r="AE39" s="23">
        <f t="shared" si="21"/>
        <v>18419</v>
      </c>
      <c r="AF39" s="23">
        <f t="shared" si="21"/>
        <v>9453</v>
      </c>
      <c r="AG39" s="23">
        <f t="shared" si="21"/>
        <v>9263</v>
      </c>
    </row>
    <row r="40" spans="1:33" ht="15">
      <c r="B40" s="314"/>
      <c r="C40" s="276"/>
      <c r="D40" s="276"/>
      <c r="E40" s="276"/>
      <c r="F40" s="276"/>
      <c r="G40" s="276"/>
      <c r="H40" s="276"/>
      <c r="I40" s="276"/>
      <c r="J40" s="276"/>
      <c r="K40" s="276"/>
      <c r="L40" s="276"/>
      <c r="M40" s="276"/>
      <c r="N40" s="36" t="s">
        <v>866</v>
      </c>
      <c r="O40"/>
      <c r="P40"/>
      <c r="Q40" s="21" t="s">
        <v>867</v>
      </c>
      <c r="R40" s="21" t="s">
        <v>879</v>
      </c>
      <c r="Z40" s="37">
        <v>74704</v>
      </c>
      <c r="AA40" s="37">
        <v>78342</v>
      </c>
      <c r="AB40" s="37">
        <v>84681</v>
      </c>
      <c r="AC40" s="37">
        <v>84896</v>
      </c>
      <c r="AD40" s="37">
        <v>89356</v>
      </c>
      <c r="AE40" s="37">
        <v>81446</v>
      </c>
      <c r="AF40" s="37">
        <v>64020</v>
      </c>
      <c r="AG40" s="37">
        <v>60038</v>
      </c>
    </row>
    <row r="41" spans="1:33" ht="15">
      <c r="A41" s="118" t="s">
        <v>880</v>
      </c>
      <c r="B41" s="255"/>
      <c r="C41" s="255"/>
      <c r="D41" s="255"/>
      <c r="E41" s="255"/>
      <c r="F41" s="255"/>
      <c r="G41" s="255"/>
      <c r="H41" s="255"/>
      <c r="I41" s="255"/>
      <c r="J41" s="255"/>
      <c r="K41" s="255"/>
      <c r="L41" s="255"/>
      <c r="M41" s="255"/>
      <c r="N41" s="36" t="s">
        <v>866</v>
      </c>
      <c r="O41"/>
      <c r="P41"/>
      <c r="Z41" s="28"/>
      <c r="AA41" s="28"/>
      <c r="AB41" s="28"/>
      <c r="AC41" s="28"/>
      <c r="AD41" s="28"/>
      <c r="AE41" s="28"/>
      <c r="AF41" s="28"/>
      <c r="AG41" s="28"/>
    </row>
    <row r="42" spans="1:33" ht="15">
      <c r="A42" s="10" t="s">
        <v>292</v>
      </c>
      <c r="B42" s="255">
        <v>1126</v>
      </c>
      <c r="C42" s="255">
        <v>1377</v>
      </c>
      <c r="D42" s="255">
        <v>1212</v>
      </c>
      <c r="E42" s="255">
        <v>1361</v>
      </c>
      <c r="F42" s="255">
        <v>1549</v>
      </c>
      <c r="G42" s="255">
        <v>1373</v>
      </c>
      <c r="H42" s="255">
        <v>1207</v>
      </c>
      <c r="I42" s="255">
        <v>1222</v>
      </c>
      <c r="J42" s="255">
        <v>1308</v>
      </c>
      <c r="K42" s="255">
        <v>1338</v>
      </c>
      <c r="L42" s="255">
        <v>1204</v>
      </c>
      <c r="M42" s="255">
        <v>1151</v>
      </c>
      <c r="N42" s="36" t="s">
        <v>866</v>
      </c>
      <c r="O42" t="s">
        <v>292</v>
      </c>
      <c r="P42"/>
      <c r="Z42" s="28"/>
      <c r="AA42" s="28"/>
      <c r="AB42" s="28"/>
      <c r="AC42" s="28"/>
      <c r="AD42" s="28"/>
      <c r="AE42" s="28"/>
      <c r="AF42" s="28"/>
      <c r="AG42" s="28"/>
    </row>
    <row r="43" spans="1:33" ht="15">
      <c r="A43" s="115" t="s">
        <v>881</v>
      </c>
      <c r="B43" s="256">
        <v>329</v>
      </c>
      <c r="C43" s="256">
        <v>341</v>
      </c>
      <c r="D43" s="256">
        <v>309</v>
      </c>
      <c r="E43" s="256">
        <v>351</v>
      </c>
      <c r="F43" s="256">
        <v>431</v>
      </c>
      <c r="G43" s="256">
        <v>409</v>
      </c>
      <c r="H43" s="256">
        <v>403</v>
      </c>
      <c r="I43" s="256">
        <v>451</v>
      </c>
      <c r="J43" s="256">
        <v>466</v>
      </c>
      <c r="K43" s="256">
        <v>495</v>
      </c>
      <c r="L43" s="256">
        <v>408</v>
      </c>
      <c r="M43" s="256">
        <v>400</v>
      </c>
      <c r="N43" s="36"/>
      <c r="O43"/>
      <c r="P43"/>
      <c r="Z43" s="35"/>
      <c r="AA43" s="35"/>
      <c r="AB43" s="35"/>
      <c r="AC43" s="35"/>
      <c r="AD43" s="35"/>
      <c r="AE43" s="34"/>
      <c r="AF43" s="34"/>
      <c r="AG43" s="34"/>
    </row>
    <row r="44" spans="1:33" s="10" customFormat="1" ht="15">
      <c r="A44" s="25" t="s">
        <v>641</v>
      </c>
      <c r="B44" s="256">
        <v>6</v>
      </c>
      <c r="C44" s="256">
        <v>5</v>
      </c>
      <c r="D44" s="256">
        <v>43</v>
      </c>
      <c r="E44" s="256">
        <v>10</v>
      </c>
      <c r="F44" s="256">
        <v>160</v>
      </c>
      <c r="G44" s="256">
        <v>11</v>
      </c>
      <c r="H44" s="256">
        <v>113</v>
      </c>
      <c r="I44" s="256">
        <v>5</v>
      </c>
      <c r="J44" s="256">
        <v>5</v>
      </c>
      <c r="K44" s="256">
        <v>6</v>
      </c>
      <c r="L44" s="256">
        <v>72</v>
      </c>
      <c r="M44" s="256">
        <v>0</v>
      </c>
      <c r="N44" s="36" t="s">
        <v>866</v>
      </c>
      <c r="O44" t="s">
        <v>882</v>
      </c>
      <c r="P44"/>
      <c r="Q44" s="21" t="s">
        <v>867</v>
      </c>
      <c r="R44" s="10" t="s">
        <v>883</v>
      </c>
      <c r="Z44" s="37">
        <v>26132</v>
      </c>
      <c r="AA44" s="37">
        <v>26242</v>
      </c>
      <c r="AB44" s="37">
        <v>27877</v>
      </c>
      <c r="AC44" s="37">
        <v>27297</v>
      </c>
      <c r="AD44" s="37">
        <v>29415</v>
      </c>
      <c r="AE44" s="37">
        <f>93+3895+8161+3386+2410+2691+298+1967+558+5102</f>
        <v>28561</v>
      </c>
      <c r="AF44" s="37">
        <f>204+3852+5856+2880+1670+1831+281+1521+495+3430</f>
        <v>22020</v>
      </c>
      <c r="AG44" s="37">
        <f>433+3650+2993+3351+797+1217+262+888+302+5399</f>
        <v>19292</v>
      </c>
    </row>
    <row r="45" spans="1:33" s="10" customFormat="1" ht="15">
      <c r="A45" s="25" t="s">
        <v>642</v>
      </c>
      <c r="B45" s="256">
        <v>0</v>
      </c>
      <c r="C45" s="256">
        <v>0</v>
      </c>
      <c r="D45" s="256">
        <v>0</v>
      </c>
      <c r="E45" s="256">
        <v>0</v>
      </c>
      <c r="F45" s="256">
        <v>0</v>
      </c>
      <c r="G45" s="256">
        <v>0</v>
      </c>
      <c r="H45" s="256">
        <v>0</v>
      </c>
      <c r="I45" s="256">
        <v>1</v>
      </c>
      <c r="J45" s="256">
        <v>1</v>
      </c>
      <c r="K45" s="256">
        <v>1</v>
      </c>
      <c r="L45" s="256">
        <v>1</v>
      </c>
      <c r="M45" s="256">
        <v>0</v>
      </c>
      <c r="N45" s="36"/>
      <c r="O45"/>
      <c r="P45"/>
      <c r="Q45" s="21"/>
      <c r="Z45" s="37"/>
      <c r="AA45" s="37"/>
      <c r="AB45" s="37"/>
      <c r="AC45" s="37"/>
      <c r="AD45" s="37"/>
      <c r="AE45" s="37"/>
      <c r="AF45" s="37"/>
      <c r="AG45" s="37"/>
    </row>
    <row r="46" spans="1:33">
      <c r="A46" s="115" t="s">
        <v>643</v>
      </c>
      <c r="B46" s="256">
        <f>B42-SUM(B43:B45)</f>
        <v>791</v>
      </c>
      <c r="C46" s="256">
        <f t="shared" ref="C46:M46" si="22">C42-SUM(C43:C45)</f>
        <v>1031</v>
      </c>
      <c r="D46" s="256">
        <f t="shared" si="22"/>
        <v>860</v>
      </c>
      <c r="E46" s="256">
        <f t="shared" si="22"/>
        <v>1000</v>
      </c>
      <c r="F46" s="256">
        <f>F42-SUM(F43:F45)</f>
        <v>958</v>
      </c>
      <c r="G46" s="256">
        <f t="shared" si="22"/>
        <v>953</v>
      </c>
      <c r="H46" s="256">
        <f t="shared" si="22"/>
        <v>691</v>
      </c>
      <c r="I46" s="256">
        <f t="shared" si="22"/>
        <v>765</v>
      </c>
      <c r="J46" s="256">
        <f t="shared" si="22"/>
        <v>836</v>
      </c>
      <c r="K46" s="256">
        <f t="shared" si="22"/>
        <v>836</v>
      </c>
      <c r="L46" s="256">
        <f t="shared" si="22"/>
        <v>723</v>
      </c>
      <c r="M46" s="256">
        <f t="shared" si="22"/>
        <v>751</v>
      </c>
      <c r="N46" s="36" t="s">
        <v>866</v>
      </c>
      <c r="O46"/>
      <c r="P46"/>
      <c r="R46" s="21" t="s">
        <v>884</v>
      </c>
      <c r="Z46" s="30">
        <v>7303</v>
      </c>
      <c r="AA46" s="30">
        <v>6967</v>
      </c>
      <c r="AB46" s="30">
        <v>4708</v>
      </c>
      <c r="AC46" s="30">
        <v>3679</v>
      </c>
      <c r="AD46" s="30">
        <v>5287</v>
      </c>
      <c r="AE46" s="30">
        <v>5660</v>
      </c>
      <c r="AF46" s="30">
        <v>3925</v>
      </c>
      <c r="AG46" s="30">
        <v>5701</v>
      </c>
    </row>
    <row r="47" spans="1:33" ht="15">
      <c r="A47" s="10" t="s">
        <v>644</v>
      </c>
      <c r="B47" s="255">
        <v>782</v>
      </c>
      <c r="C47" s="255">
        <v>761</v>
      </c>
      <c r="D47" s="255">
        <v>788</v>
      </c>
      <c r="E47" s="255">
        <v>926</v>
      </c>
      <c r="F47" s="255">
        <v>927</v>
      </c>
      <c r="G47" s="255">
        <v>905</v>
      </c>
      <c r="H47" s="255">
        <v>912</v>
      </c>
      <c r="I47" s="255">
        <v>908</v>
      </c>
      <c r="J47" s="255">
        <v>856</v>
      </c>
      <c r="K47" s="255">
        <v>793</v>
      </c>
      <c r="L47" s="255">
        <v>672</v>
      </c>
      <c r="M47" s="255">
        <v>600</v>
      </c>
      <c r="N47" s="36" t="s">
        <v>866</v>
      </c>
      <c r="O47" t="s">
        <v>885</v>
      </c>
      <c r="P47"/>
      <c r="Z47" s="30"/>
      <c r="AA47" s="30"/>
      <c r="AB47" s="30"/>
      <c r="AC47" s="30"/>
      <c r="AD47" s="30"/>
      <c r="AE47" s="30"/>
      <c r="AF47" s="30"/>
      <c r="AG47" s="30"/>
    </row>
    <row r="48" spans="1:33">
      <c r="A48" s="25" t="s">
        <v>645</v>
      </c>
      <c r="B48" s="256">
        <v>2</v>
      </c>
      <c r="C48" s="256">
        <v>2</v>
      </c>
      <c r="D48" s="256">
        <v>3</v>
      </c>
      <c r="E48" s="256">
        <v>20</v>
      </c>
      <c r="F48" s="256">
        <v>22</v>
      </c>
      <c r="G48" s="256">
        <v>26</v>
      </c>
      <c r="H48" s="256">
        <v>31</v>
      </c>
      <c r="I48" s="256">
        <v>34</v>
      </c>
      <c r="J48" s="256">
        <v>38</v>
      </c>
      <c r="K48" s="256">
        <v>44</v>
      </c>
      <c r="L48" s="256">
        <v>60</v>
      </c>
      <c r="M48" s="256">
        <v>73</v>
      </c>
      <c r="N48" s="36" t="s">
        <v>866</v>
      </c>
      <c r="O48" t="s">
        <v>886</v>
      </c>
      <c r="P48"/>
      <c r="Z48" s="23">
        <f t="shared" ref="Z48:AG48" si="23">Z44-Z46</f>
        <v>18829</v>
      </c>
      <c r="AA48" s="23">
        <f t="shared" si="23"/>
        <v>19275</v>
      </c>
      <c r="AB48" s="23">
        <f t="shared" si="23"/>
        <v>23169</v>
      </c>
      <c r="AC48" s="23">
        <f t="shared" si="23"/>
        <v>23618</v>
      </c>
      <c r="AD48" s="23">
        <f t="shared" si="23"/>
        <v>24128</v>
      </c>
      <c r="AE48" s="23">
        <f t="shared" si="23"/>
        <v>22901</v>
      </c>
      <c r="AF48" s="23">
        <f t="shared" si="23"/>
        <v>18095</v>
      </c>
      <c r="AG48" s="23">
        <f t="shared" si="23"/>
        <v>13591</v>
      </c>
    </row>
    <row r="49" spans="1:33" s="10" customFormat="1" ht="15">
      <c r="A49" s="25" t="s">
        <v>646</v>
      </c>
      <c r="B49" s="256">
        <v>0</v>
      </c>
      <c r="C49" s="256">
        <v>0</v>
      </c>
      <c r="D49" s="256">
        <v>0</v>
      </c>
      <c r="E49" s="256">
        <v>0</v>
      </c>
      <c r="F49" s="256">
        <v>0</v>
      </c>
      <c r="G49" s="256">
        <v>0</v>
      </c>
      <c r="H49" s="256">
        <v>0</v>
      </c>
      <c r="I49" s="256">
        <v>0</v>
      </c>
      <c r="J49" s="256">
        <v>0</v>
      </c>
      <c r="K49" s="256">
        <v>0</v>
      </c>
      <c r="L49" s="256">
        <v>0</v>
      </c>
      <c r="M49" s="256">
        <v>0</v>
      </c>
      <c r="N49" s="36"/>
      <c r="O49"/>
      <c r="P49"/>
      <c r="Q49" s="21" t="s">
        <v>867</v>
      </c>
      <c r="R49" s="10" t="s">
        <v>887</v>
      </c>
      <c r="Z49" s="37">
        <f>61491-Z44</f>
        <v>35359</v>
      </c>
      <c r="AA49" s="37">
        <f>63457-AA44</f>
        <v>37215</v>
      </c>
      <c r="AB49" s="37">
        <f>67855-AB44</f>
        <v>39978</v>
      </c>
      <c r="AC49" s="37">
        <v>36721</v>
      </c>
      <c r="AD49" s="37">
        <v>41973</v>
      </c>
      <c r="AE49" s="37">
        <f>8415+16529+10956+3583</f>
        <v>39483</v>
      </c>
      <c r="AF49" s="37">
        <f>4505+15932+7584+2654</f>
        <v>30675</v>
      </c>
      <c r="AG49" s="37">
        <f>5652+16195+7420+2179</f>
        <v>31446</v>
      </c>
    </row>
    <row r="50" spans="1:33">
      <c r="A50" s="115" t="s">
        <v>647</v>
      </c>
      <c r="B50" s="256">
        <f>B47-SUM(B48:B49)</f>
        <v>780</v>
      </c>
      <c r="C50" s="256">
        <f t="shared" ref="C50:M50" si="24">C47-SUM(C48:C49)</f>
        <v>759</v>
      </c>
      <c r="D50" s="256">
        <f t="shared" si="24"/>
        <v>785</v>
      </c>
      <c r="E50" s="256">
        <f t="shared" si="24"/>
        <v>906</v>
      </c>
      <c r="F50" s="256">
        <f t="shared" si="24"/>
        <v>905</v>
      </c>
      <c r="G50" s="256">
        <f t="shared" si="24"/>
        <v>879</v>
      </c>
      <c r="H50" s="256">
        <f t="shared" si="24"/>
        <v>881</v>
      </c>
      <c r="I50" s="256">
        <f t="shared" si="24"/>
        <v>874</v>
      </c>
      <c r="J50" s="256">
        <f t="shared" si="24"/>
        <v>818</v>
      </c>
      <c r="K50" s="256">
        <f>K47-SUM(K48:K49)</f>
        <v>749</v>
      </c>
      <c r="L50" s="256">
        <f t="shared" si="24"/>
        <v>612</v>
      </c>
      <c r="M50" s="256">
        <f t="shared" si="24"/>
        <v>527</v>
      </c>
      <c r="N50" s="36" t="s">
        <v>866</v>
      </c>
      <c r="O50" t="s">
        <v>888</v>
      </c>
      <c r="P50"/>
      <c r="R50" s="21" t="s">
        <v>889</v>
      </c>
      <c r="Z50" s="26">
        <v>22818</v>
      </c>
      <c r="AA50" s="26">
        <v>25169</v>
      </c>
      <c r="AB50" s="26">
        <v>27784</v>
      </c>
      <c r="AC50" s="26">
        <v>26719</v>
      </c>
      <c r="AD50" s="26">
        <v>27752</v>
      </c>
      <c r="AE50" s="26">
        <v>24944</v>
      </c>
      <c r="AF50" s="26">
        <v>20437</v>
      </c>
      <c r="AG50" s="26">
        <v>21847</v>
      </c>
    </row>
    <row r="51" spans="1:33" ht="15">
      <c r="A51" s="10" t="s">
        <v>48</v>
      </c>
      <c r="B51" s="255">
        <v>1908</v>
      </c>
      <c r="C51" s="255">
        <v>2138</v>
      </c>
      <c r="D51" s="255">
        <v>2000</v>
      </c>
      <c r="E51" s="255">
        <v>2287</v>
      </c>
      <c r="F51" s="255">
        <v>2476</v>
      </c>
      <c r="G51" s="255">
        <v>2278</v>
      </c>
      <c r="H51" s="255">
        <v>2119</v>
      </c>
      <c r="I51" s="255">
        <v>2130</v>
      </c>
      <c r="J51" s="255">
        <v>2164</v>
      </c>
      <c r="K51" s="255">
        <v>2131</v>
      </c>
      <c r="L51" s="255">
        <v>1876</v>
      </c>
      <c r="M51" s="255">
        <v>1751</v>
      </c>
      <c r="N51" s="36" t="s">
        <v>866</v>
      </c>
      <c r="O51" t="s">
        <v>48</v>
      </c>
      <c r="P51"/>
      <c r="Z51" s="26"/>
      <c r="AA51" s="26"/>
      <c r="AB51" s="26"/>
      <c r="AC51" s="26"/>
      <c r="AD51" s="26"/>
      <c r="AE51" s="26"/>
      <c r="AF51" s="26"/>
      <c r="AG51" s="26"/>
    </row>
    <row r="52" spans="1:33">
      <c r="B52" s="276"/>
      <c r="C52" s="276"/>
      <c r="D52" s="276"/>
      <c r="E52" s="276"/>
      <c r="F52" s="276"/>
      <c r="G52" s="276"/>
      <c r="H52" s="276"/>
      <c r="I52" s="276"/>
      <c r="J52" s="276"/>
      <c r="K52" s="276"/>
      <c r="L52" s="276"/>
      <c r="M52" s="276"/>
      <c r="N52" s="36" t="s">
        <v>866</v>
      </c>
      <c r="O52"/>
      <c r="P52"/>
      <c r="Z52" s="23">
        <f t="shared" ref="Z52:AG52" si="25">Z49-Z50</f>
        <v>12541</v>
      </c>
      <c r="AA52" s="23">
        <f t="shared" si="25"/>
        <v>12046</v>
      </c>
      <c r="AB52" s="23">
        <f t="shared" si="25"/>
        <v>12194</v>
      </c>
      <c r="AC52" s="23">
        <f t="shared" si="25"/>
        <v>10002</v>
      </c>
      <c r="AD52" s="23">
        <f t="shared" si="25"/>
        <v>14221</v>
      </c>
      <c r="AE52" s="23">
        <f t="shared" si="25"/>
        <v>14539</v>
      </c>
      <c r="AF52" s="23">
        <f t="shared" si="25"/>
        <v>10238</v>
      </c>
      <c r="AG52" s="23">
        <f t="shared" si="25"/>
        <v>9599</v>
      </c>
    </row>
    <row r="53" spans="1:33" s="10" customFormat="1" ht="15">
      <c r="A53" s="21"/>
      <c r="B53" s="276"/>
      <c r="C53" s="276"/>
      <c r="D53" s="276"/>
      <c r="E53" s="276"/>
      <c r="F53" s="276"/>
      <c r="G53" s="276"/>
      <c r="H53" s="276"/>
      <c r="I53" s="276"/>
      <c r="J53" s="276"/>
      <c r="K53" s="276"/>
      <c r="L53" s="276"/>
      <c r="M53" s="276"/>
      <c r="N53" s="36" t="s">
        <v>866</v>
      </c>
      <c r="O53"/>
      <c r="P53"/>
      <c r="Z53" s="34">
        <f>+Z49+Z44</f>
        <v>61491</v>
      </c>
      <c r="AA53" s="34">
        <f>+AA49+AA44</f>
        <v>63457</v>
      </c>
      <c r="AB53" s="34">
        <f>+AB49+AB44</f>
        <v>67855</v>
      </c>
      <c r="AC53" s="34">
        <f>AC44+AC49</f>
        <v>64018</v>
      </c>
      <c r="AD53" s="34">
        <f>AD49+AD44</f>
        <v>71388</v>
      </c>
      <c r="AE53" s="34">
        <f>AE49+AE44</f>
        <v>68044</v>
      </c>
      <c r="AF53" s="34">
        <f>AF49+AF44</f>
        <v>52695</v>
      </c>
      <c r="AG53" s="34">
        <f>AG49+AG44</f>
        <v>50738</v>
      </c>
    </row>
    <row r="54" spans="1:33" ht="15">
      <c r="A54" s="38" t="s">
        <v>649</v>
      </c>
      <c r="B54" s="280">
        <v>66</v>
      </c>
      <c r="C54" s="280">
        <v>65</v>
      </c>
      <c r="D54" s="280">
        <v>68</v>
      </c>
      <c r="E54" s="280">
        <v>88</v>
      </c>
      <c r="F54" s="280">
        <v>89</v>
      </c>
      <c r="G54" s="280">
        <v>88</v>
      </c>
      <c r="H54" s="280">
        <v>86</v>
      </c>
      <c r="I54" s="280">
        <v>102</v>
      </c>
      <c r="J54" s="280">
        <v>91</v>
      </c>
      <c r="K54" s="280">
        <v>66</v>
      </c>
      <c r="L54" s="280">
        <v>19</v>
      </c>
      <c r="M54" s="280">
        <v>17</v>
      </c>
      <c r="N54" s="36" t="s">
        <v>866</v>
      </c>
      <c r="O54" t="s">
        <v>649</v>
      </c>
      <c r="P54"/>
    </row>
    <row r="55" spans="1:33">
      <c r="B55" s="276"/>
      <c r="C55" s="276"/>
      <c r="D55" s="276"/>
      <c r="E55" s="276"/>
      <c r="F55" s="276"/>
      <c r="G55" s="276"/>
      <c r="H55" s="276"/>
      <c r="I55" s="276"/>
      <c r="J55" s="276"/>
      <c r="K55" s="276"/>
      <c r="L55" s="276"/>
      <c r="M55" s="276"/>
      <c r="N55" s="36" t="s">
        <v>866</v>
      </c>
      <c r="O55"/>
      <c r="P55"/>
    </row>
    <row r="56" spans="1:33" s="10" customFormat="1" ht="15">
      <c r="A56" s="10" t="s">
        <v>650</v>
      </c>
      <c r="B56" s="255">
        <f>B38-B51</f>
        <v>11985</v>
      </c>
      <c r="C56" s="255">
        <f t="shared" ref="C56:M56" si="26">C38-C51-C54</f>
        <v>11475</v>
      </c>
      <c r="D56" s="255">
        <f t="shared" si="26"/>
        <v>10829</v>
      </c>
      <c r="E56" s="255">
        <f>E38-E51-E54</f>
        <v>11317</v>
      </c>
      <c r="F56" s="255">
        <f t="shared" si="26"/>
        <v>11096</v>
      </c>
      <c r="G56" s="255">
        <f t="shared" si="26"/>
        <v>11113</v>
      </c>
      <c r="H56" s="255">
        <f t="shared" si="26"/>
        <v>10901</v>
      </c>
      <c r="I56" s="255">
        <f t="shared" si="26"/>
        <v>11038</v>
      </c>
      <c r="J56" s="255">
        <f>J38-J51-J54</f>
        <v>10492</v>
      </c>
      <c r="K56" s="255">
        <f>K38-K51-K54</f>
        <v>9442</v>
      </c>
      <c r="L56" s="255">
        <f t="shared" si="26"/>
        <v>8535</v>
      </c>
      <c r="M56" s="255">
        <f t="shared" si="26"/>
        <v>8037</v>
      </c>
      <c r="N56" s="36" t="s">
        <v>866</v>
      </c>
      <c r="O56"/>
      <c r="P56"/>
      <c r="Q56" s="21" t="s">
        <v>867</v>
      </c>
      <c r="R56" s="10" t="s">
        <v>890</v>
      </c>
    </row>
    <row r="57" spans="1:33" ht="15">
      <c r="A57" s="10"/>
      <c r="B57" s="346"/>
      <c r="C57" s="346"/>
      <c r="D57" s="346"/>
      <c r="E57" s="346"/>
      <c r="F57" s="346"/>
      <c r="G57" s="346"/>
      <c r="H57" s="346"/>
      <c r="I57" s="346"/>
      <c r="J57" s="346"/>
      <c r="K57" s="346"/>
      <c r="L57" s="346"/>
      <c r="M57" s="346"/>
      <c r="N57" s="36"/>
      <c r="O57"/>
      <c r="P57"/>
    </row>
    <row r="58" spans="1:33" ht="15">
      <c r="A58" s="49" t="s">
        <v>891</v>
      </c>
      <c r="B58" s="255"/>
      <c r="C58" s="255"/>
      <c r="D58" s="255"/>
      <c r="E58" s="255"/>
      <c r="F58" s="255"/>
      <c r="G58" s="255"/>
      <c r="H58" s="255"/>
      <c r="I58" s="255"/>
      <c r="J58" s="255"/>
      <c r="K58" s="255"/>
      <c r="L58" s="255"/>
      <c r="M58" s="255"/>
      <c r="N58" s="36"/>
      <c r="O58"/>
      <c r="P58"/>
    </row>
    <row r="59" spans="1:33" ht="15">
      <c r="A59" s="10" t="s">
        <v>129</v>
      </c>
      <c r="B59" s="255">
        <v>724</v>
      </c>
      <c r="C59" s="255">
        <v>1298</v>
      </c>
      <c r="D59" s="255">
        <v>819</v>
      </c>
      <c r="E59" s="255">
        <v>1224</v>
      </c>
      <c r="F59" s="255">
        <v>943</v>
      </c>
      <c r="G59" s="255">
        <v>1264</v>
      </c>
      <c r="H59" s="255">
        <v>1010</v>
      </c>
      <c r="I59" s="255">
        <v>1404</v>
      </c>
      <c r="J59" s="255">
        <v>1848</v>
      </c>
      <c r="K59" s="255">
        <v>1309</v>
      </c>
      <c r="L59" s="255">
        <v>999</v>
      </c>
      <c r="M59" s="255">
        <v>705</v>
      </c>
      <c r="N59" s="36"/>
      <c r="O59"/>
      <c r="P59"/>
    </row>
    <row r="60" spans="1:33">
      <c r="A60" s="25" t="s">
        <v>66</v>
      </c>
      <c r="B60" s="256">
        <f>B12</f>
        <v>807</v>
      </c>
      <c r="C60" s="256">
        <f t="shared" ref="C60:M60" si="27">C12</f>
        <v>765</v>
      </c>
      <c r="D60" s="256">
        <f t="shared" si="27"/>
        <v>-51</v>
      </c>
      <c r="E60" s="256">
        <f t="shared" si="27"/>
        <v>730</v>
      </c>
      <c r="F60" s="256">
        <f t="shared" si="27"/>
        <v>845</v>
      </c>
      <c r="G60" s="256">
        <f t="shared" si="27"/>
        <v>733</v>
      </c>
      <c r="H60" s="256">
        <f t="shared" si="27"/>
        <v>574</v>
      </c>
      <c r="I60" s="256">
        <f t="shared" si="27"/>
        <v>1089</v>
      </c>
      <c r="J60" s="256">
        <f t="shared" si="27"/>
        <v>1384</v>
      </c>
      <c r="K60" s="256">
        <f t="shared" si="27"/>
        <v>1921</v>
      </c>
      <c r="L60" s="256">
        <f t="shared" si="27"/>
        <v>1596</v>
      </c>
      <c r="M60" s="256">
        <f t="shared" si="27"/>
        <v>1269</v>
      </c>
      <c r="N60" s="36"/>
      <c r="O60"/>
      <c r="P60"/>
    </row>
    <row r="61" spans="1:33">
      <c r="A61" s="115" t="s">
        <v>58</v>
      </c>
      <c r="B61" s="256">
        <v>406</v>
      </c>
      <c r="C61" s="256">
        <v>437</v>
      </c>
      <c r="D61" s="256">
        <v>463</v>
      </c>
      <c r="E61" s="256">
        <v>481</v>
      </c>
      <c r="F61" s="256">
        <v>481</v>
      </c>
      <c r="G61" s="256">
        <v>476</v>
      </c>
      <c r="H61" s="256">
        <v>437</v>
      </c>
      <c r="I61" s="256">
        <v>401</v>
      </c>
      <c r="J61" s="256">
        <v>358</v>
      </c>
      <c r="K61" s="256">
        <v>304</v>
      </c>
      <c r="L61" s="256">
        <v>261</v>
      </c>
      <c r="M61" s="256">
        <v>229</v>
      </c>
      <c r="N61" s="36"/>
      <c r="O61"/>
      <c r="P61"/>
    </row>
    <row r="62" spans="1:33">
      <c r="A62" s="115" t="s">
        <v>892</v>
      </c>
      <c r="B62" s="256">
        <v>-568</v>
      </c>
      <c r="C62" s="256">
        <v>41</v>
      </c>
      <c r="D62" s="256">
        <v>504</v>
      </c>
      <c r="E62" s="256">
        <v>-19</v>
      </c>
      <c r="F62" s="256">
        <v>-427</v>
      </c>
      <c r="G62" s="256">
        <v>-48</v>
      </c>
      <c r="H62" s="256">
        <v>60</v>
      </c>
      <c r="I62" s="256">
        <v>-110</v>
      </c>
      <c r="J62" s="256">
        <v>149</v>
      </c>
      <c r="K62" s="256">
        <v>-1028</v>
      </c>
      <c r="L62" s="256">
        <v>-974</v>
      </c>
      <c r="M62" s="256">
        <v>-833</v>
      </c>
      <c r="N62" s="36">
        <v>-120</v>
      </c>
      <c r="O62"/>
      <c r="P62"/>
    </row>
    <row r="63" spans="1:33">
      <c r="A63" s="115" t="s">
        <v>893</v>
      </c>
      <c r="B63" s="256">
        <f>B59-B60-B61-B62</f>
        <v>79</v>
      </c>
      <c r="C63" s="256">
        <f t="shared" ref="C63" si="28">C59-C60-C61-C62</f>
        <v>55</v>
      </c>
      <c r="D63" s="256">
        <f>D59-D60-D61-D62</f>
        <v>-97</v>
      </c>
      <c r="E63" s="256">
        <f t="shared" ref="E63:M63" si="29">E59-E60-E61-E62</f>
        <v>32</v>
      </c>
      <c r="F63" s="256">
        <f t="shared" si="29"/>
        <v>44</v>
      </c>
      <c r="G63" s="256">
        <f t="shared" si="29"/>
        <v>103</v>
      </c>
      <c r="H63" s="256">
        <f t="shared" si="29"/>
        <v>-61</v>
      </c>
      <c r="I63" s="256">
        <f>I59-I60-I61-I62</f>
        <v>24</v>
      </c>
      <c r="J63" s="256">
        <f t="shared" si="29"/>
        <v>-43</v>
      </c>
      <c r="K63" s="256">
        <f t="shared" si="29"/>
        <v>112</v>
      </c>
      <c r="L63" s="256">
        <f t="shared" si="29"/>
        <v>116</v>
      </c>
      <c r="M63" s="256">
        <f t="shared" si="29"/>
        <v>40</v>
      </c>
      <c r="N63" s="36"/>
      <c r="O63"/>
      <c r="P63"/>
    </row>
    <row r="64" spans="1:33" ht="15">
      <c r="A64" s="10" t="s">
        <v>130</v>
      </c>
      <c r="B64" s="255">
        <v>-114</v>
      </c>
      <c r="C64" s="255">
        <v>-727</v>
      </c>
      <c r="D64" s="255">
        <v>-126</v>
      </c>
      <c r="E64" s="255">
        <v>-344</v>
      </c>
      <c r="F64" s="255">
        <v>-651</v>
      </c>
      <c r="G64" s="255">
        <v>-435</v>
      </c>
      <c r="H64" s="255">
        <v>-484</v>
      </c>
      <c r="I64" s="255">
        <v>-836</v>
      </c>
      <c r="J64" s="255">
        <v>-1122</v>
      </c>
      <c r="K64" s="255">
        <v>-1309</v>
      </c>
      <c r="L64" s="255">
        <v>-836</v>
      </c>
      <c r="M64" s="255">
        <v>-561</v>
      </c>
      <c r="N64" s="36"/>
      <c r="O64"/>
      <c r="P64"/>
    </row>
    <row r="65" spans="1:16">
      <c r="A65" s="115" t="s">
        <v>131</v>
      </c>
      <c r="B65" s="256">
        <v>-339</v>
      </c>
      <c r="C65" s="256">
        <v>-251</v>
      </c>
      <c r="D65" s="256">
        <v>-208</v>
      </c>
      <c r="E65" s="256">
        <v>-399</v>
      </c>
      <c r="F65" s="256">
        <v>-437</v>
      </c>
      <c r="G65" s="256">
        <v>-396</v>
      </c>
      <c r="H65" s="256">
        <v>-504</v>
      </c>
      <c r="I65" s="256">
        <v>-602</v>
      </c>
      <c r="J65" s="256">
        <v>-1040</v>
      </c>
      <c r="K65" s="256">
        <v>-574</v>
      </c>
      <c r="L65" s="256">
        <v>-438</v>
      </c>
      <c r="M65" s="256">
        <v>-365</v>
      </c>
      <c r="N65" s="36"/>
      <c r="O65"/>
      <c r="P65"/>
    </row>
    <row r="66" spans="1:16">
      <c r="A66" s="115" t="s">
        <v>132</v>
      </c>
      <c r="B66" s="256">
        <v>-1715</v>
      </c>
      <c r="C66" s="256">
        <v>-579</v>
      </c>
      <c r="D66" s="256">
        <v>-177</v>
      </c>
      <c r="E66" s="256">
        <v>-120</v>
      </c>
      <c r="F66" s="256">
        <v>-343</v>
      </c>
      <c r="G66" s="256">
        <v>-180</v>
      </c>
      <c r="H66" s="256">
        <v>-135</v>
      </c>
      <c r="I66" s="256">
        <v>-394</v>
      </c>
      <c r="J66" s="256">
        <v>-350</v>
      </c>
      <c r="K66" s="256">
        <v>-339</v>
      </c>
      <c r="L66" s="256">
        <v>-238</v>
      </c>
      <c r="M66" s="256">
        <v>-281</v>
      </c>
      <c r="N66" s="36"/>
      <c r="O66"/>
      <c r="P66"/>
    </row>
    <row r="67" spans="1:16">
      <c r="A67" s="115" t="s">
        <v>894</v>
      </c>
      <c r="B67" s="256">
        <f>B64-B65-B66</f>
        <v>1940</v>
      </c>
      <c r="C67" s="256">
        <f>C64-C65-C66</f>
        <v>103</v>
      </c>
      <c r="D67" s="256">
        <f>D64-D65-D66</f>
        <v>259</v>
      </c>
      <c r="E67" s="256">
        <f t="shared" ref="E67:M67" si="30">E64-E65-E66</f>
        <v>175</v>
      </c>
      <c r="F67" s="256">
        <f t="shared" si="30"/>
        <v>129</v>
      </c>
      <c r="G67" s="256">
        <f t="shared" si="30"/>
        <v>141</v>
      </c>
      <c r="H67" s="256">
        <f t="shared" si="30"/>
        <v>155</v>
      </c>
      <c r="I67" s="256">
        <f t="shared" si="30"/>
        <v>160</v>
      </c>
      <c r="J67" s="256">
        <f t="shared" si="30"/>
        <v>268</v>
      </c>
      <c r="K67" s="256">
        <f t="shared" si="30"/>
        <v>-396</v>
      </c>
      <c r="L67" s="256">
        <f t="shared" si="30"/>
        <v>-160</v>
      </c>
      <c r="M67" s="256">
        <f t="shared" si="30"/>
        <v>85</v>
      </c>
      <c r="N67" s="36"/>
      <c r="O67"/>
      <c r="P67"/>
    </row>
    <row r="68" spans="1:16" ht="15">
      <c r="A68" s="10" t="s">
        <v>133</v>
      </c>
      <c r="B68" s="255">
        <v>-300</v>
      </c>
      <c r="C68" s="255">
        <v>-234</v>
      </c>
      <c r="D68" s="255">
        <v>-251</v>
      </c>
      <c r="E68" s="255">
        <v>-615</v>
      </c>
      <c r="F68" s="255">
        <v>-659</v>
      </c>
      <c r="G68" s="255">
        <v>-677</v>
      </c>
      <c r="H68" s="255">
        <v>-666</v>
      </c>
      <c r="I68" s="255">
        <v>-452</v>
      </c>
      <c r="J68" s="255">
        <v>-456</v>
      </c>
      <c r="K68" s="255">
        <v>-598</v>
      </c>
      <c r="L68" s="255">
        <v>-255</v>
      </c>
      <c r="M68" s="255">
        <v>-350</v>
      </c>
      <c r="N68" s="36"/>
      <c r="O68"/>
      <c r="P68"/>
    </row>
    <row r="69" spans="1:16">
      <c r="A69" s="115" t="s">
        <v>895</v>
      </c>
      <c r="B69" s="256" t="s">
        <v>22</v>
      </c>
      <c r="C69" s="256" t="s">
        <v>22</v>
      </c>
      <c r="D69" s="256" t="s">
        <v>22</v>
      </c>
      <c r="E69" s="256" t="s">
        <v>22</v>
      </c>
      <c r="F69" s="256" t="s">
        <v>22</v>
      </c>
      <c r="G69" s="256" t="s">
        <v>22</v>
      </c>
      <c r="H69" s="256" t="s">
        <v>22</v>
      </c>
      <c r="I69" s="256" t="s">
        <v>22</v>
      </c>
      <c r="J69" s="256" t="s">
        <v>22</v>
      </c>
      <c r="K69" s="256" t="s">
        <v>22</v>
      </c>
      <c r="L69" s="256" t="s">
        <v>22</v>
      </c>
      <c r="M69" s="256" t="s">
        <v>22</v>
      </c>
      <c r="N69" s="36"/>
      <c r="O69"/>
      <c r="P69"/>
    </row>
    <row r="70" spans="1:16">
      <c r="A70" s="115" t="s">
        <v>896</v>
      </c>
      <c r="B70" s="256" t="s">
        <v>22</v>
      </c>
      <c r="C70" s="256" t="s">
        <v>22</v>
      </c>
      <c r="D70" s="256" t="s">
        <v>22</v>
      </c>
      <c r="E70" s="256" t="s">
        <v>22</v>
      </c>
      <c r="F70" s="256" t="s">
        <v>22</v>
      </c>
      <c r="G70" s="256" t="s">
        <v>22</v>
      </c>
      <c r="H70" s="256" t="s">
        <v>22</v>
      </c>
      <c r="I70" s="256" t="s">
        <v>22</v>
      </c>
      <c r="J70" s="256" t="s">
        <v>22</v>
      </c>
      <c r="K70" s="256" t="s">
        <v>22</v>
      </c>
      <c r="L70" s="256" t="s">
        <v>22</v>
      </c>
      <c r="M70" s="256" t="s">
        <v>22</v>
      </c>
      <c r="N70" s="36"/>
      <c r="O70"/>
      <c r="P70"/>
    </row>
    <row r="71" spans="1:16">
      <c r="A71" s="115" t="s">
        <v>897</v>
      </c>
      <c r="B71" s="256">
        <v>1</v>
      </c>
      <c r="C71" s="256">
        <v>-37</v>
      </c>
      <c r="D71" s="256">
        <v>20</v>
      </c>
      <c r="E71" s="256">
        <v>-151</v>
      </c>
      <c r="F71" s="256">
        <v>144</v>
      </c>
      <c r="G71" s="256">
        <v>-100</v>
      </c>
      <c r="H71" s="256">
        <v>103</v>
      </c>
      <c r="I71" s="256">
        <v>-4</v>
      </c>
      <c r="J71" s="256">
        <v>-6</v>
      </c>
      <c r="K71" s="256">
        <v>-348</v>
      </c>
      <c r="L71" s="256">
        <v>55</v>
      </c>
      <c r="M71" s="256">
        <v>-23</v>
      </c>
      <c r="N71" s="36"/>
      <c r="O71"/>
      <c r="P71"/>
    </row>
    <row r="72" spans="1:16">
      <c r="A72" s="115" t="s">
        <v>898</v>
      </c>
      <c r="B72" s="256" t="s">
        <v>22</v>
      </c>
      <c r="C72" s="256" t="s">
        <v>22</v>
      </c>
      <c r="D72" s="256" t="s">
        <v>22</v>
      </c>
      <c r="E72" s="256" t="s">
        <v>22</v>
      </c>
      <c r="F72" s="256" t="s">
        <v>22</v>
      </c>
      <c r="G72" s="256" t="s">
        <v>22</v>
      </c>
      <c r="H72" s="256" t="s">
        <v>22</v>
      </c>
      <c r="I72" s="256" t="s">
        <v>22</v>
      </c>
      <c r="J72" s="256" t="s">
        <v>22</v>
      </c>
      <c r="K72" s="256" t="s">
        <v>22</v>
      </c>
      <c r="L72" s="256" t="s">
        <v>22</v>
      </c>
      <c r="M72" s="256" t="s">
        <v>22</v>
      </c>
      <c r="N72" s="36"/>
      <c r="O72"/>
      <c r="P72"/>
    </row>
    <row r="73" spans="1:16">
      <c r="A73" s="115" t="s">
        <v>899</v>
      </c>
      <c r="B73" s="256" t="s">
        <v>22</v>
      </c>
      <c r="C73" s="256" t="s">
        <v>22</v>
      </c>
      <c r="D73" s="256" t="s">
        <v>22</v>
      </c>
      <c r="E73" s="256" t="s">
        <v>22</v>
      </c>
      <c r="F73" s="256" t="s">
        <v>22</v>
      </c>
      <c r="G73" s="256" t="s">
        <v>22</v>
      </c>
      <c r="H73" s="256" t="s">
        <v>22</v>
      </c>
      <c r="I73" s="256" t="s">
        <v>22</v>
      </c>
      <c r="J73" s="256" t="s">
        <v>22</v>
      </c>
      <c r="K73" s="256" t="s">
        <v>22</v>
      </c>
      <c r="L73" s="256" t="s">
        <v>22</v>
      </c>
      <c r="M73" s="256" t="s">
        <v>22</v>
      </c>
      <c r="N73" s="36"/>
      <c r="O73"/>
      <c r="P73"/>
    </row>
    <row r="74" spans="1:16" ht="12" customHeight="1">
      <c r="A74" s="115" t="s">
        <v>134</v>
      </c>
      <c r="B74" s="256">
        <v>-300</v>
      </c>
      <c r="C74" s="256">
        <v>-196</v>
      </c>
      <c r="D74" s="256">
        <v>-295</v>
      </c>
      <c r="E74" s="256">
        <v>-430</v>
      </c>
      <c r="F74" s="256">
        <v>-413</v>
      </c>
      <c r="G74" s="256">
        <v>-374</v>
      </c>
      <c r="H74" s="273">
        <v>-439</v>
      </c>
      <c r="I74" s="256">
        <v>-431</v>
      </c>
      <c r="J74" s="273">
        <v>-421</v>
      </c>
      <c r="K74" s="256">
        <v>-371</v>
      </c>
      <c r="L74" s="256">
        <v>-316</v>
      </c>
      <c r="M74" s="256">
        <v>-270</v>
      </c>
      <c r="N74" s="33" t="s">
        <v>900</v>
      </c>
      <c r="O74" t="s">
        <v>901</v>
      </c>
      <c r="P74"/>
    </row>
    <row r="75" spans="1:16">
      <c r="A75" s="115" t="s">
        <v>631</v>
      </c>
      <c r="B75" s="256">
        <v>-2</v>
      </c>
      <c r="C75" s="256">
        <v>-12</v>
      </c>
      <c r="D75" s="256">
        <v>0</v>
      </c>
      <c r="E75" s="256">
        <v>-35</v>
      </c>
      <c r="F75" s="256">
        <v>-391</v>
      </c>
      <c r="G75" s="256">
        <v>-204</v>
      </c>
      <c r="H75" s="273">
        <v>-332</v>
      </c>
      <c r="I75" s="256">
        <v>-29</v>
      </c>
      <c r="J75" s="273">
        <v>-107</v>
      </c>
      <c r="K75" s="256">
        <v>-2</v>
      </c>
      <c r="L75" s="256">
        <v>-2</v>
      </c>
      <c r="M75" s="256">
        <v>-54</v>
      </c>
      <c r="N75" s="33" t="s">
        <v>900</v>
      </c>
      <c r="O75" t="str">
        <f>+A75</f>
        <v>Share buyback</v>
      </c>
      <c r="P75"/>
    </row>
    <row r="76" spans="1:16">
      <c r="A76" s="115" t="s">
        <v>894</v>
      </c>
      <c r="B76" s="256">
        <f t="shared" ref="B76:M76" si="31">B68-B74-B75-B71</f>
        <v>1</v>
      </c>
      <c r="C76" s="256">
        <f t="shared" si="31"/>
        <v>11</v>
      </c>
      <c r="D76" s="256">
        <f t="shared" si="31"/>
        <v>24</v>
      </c>
      <c r="E76" s="256">
        <f t="shared" si="31"/>
        <v>1</v>
      </c>
      <c r="F76" s="256">
        <f t="shared" si="31"/>
        <v>1</v>
      </c>
      <c r="G76" s="256">
        <f t="shared" si="31"/>
        <v>1</v>
      </c>
      <c r="H76" s="256">
        <f t="shared" si="31"/>
        <v>2</v>
      </c>
      <c r="I76" s="256">
        <f t="shared" si="31"/>
        <v>12</v>
      </c>
      <c r="J76" s="256">
        <f t="shared" si="31"/>
        <v>78</v>
      </c>
      <c r="K76" s="256">
        <f t="shared" si="31"/>
        <v>123</v>
      </c>
      <c r="L76" s="256">
        <f t="shared" si="31"/>
        <v>8</v>
      </c>
      <c r="M76" s="256">
        <f t="shared" si="31"/>
        <v>-3</v>
      </c>
      <c r="N76" s="36"/>
      <c r="O76"/>
      <c r="P76"/>
    </row>
    <row r="77" spans="1:16" ht="15">
      <c r="A77" s="10" t="s">
        <v>137</v>
      </c>
      <c r="B77" s="255">
        <v>-21</v>
      </c>
      <c r="C77" s="255">
        <v>10</v>
      </c>
      <c r="D77" s="255">
        <v>-50</v>
      </c>
      <c r="E77" s="255">
        <v>-19</v>
      </c>
      <c r="F77" s="255">
        <v>-22</v>
      </c>
      <c r="G77" s="255">
        <v>3</v>
      </c>
      <c r="H77" s="255">
        <v>-4</v>
      </c>
      <c r="I77" s="255">
        <v>-38</v>
      </c>
      <c r="J77" s="255">
        <v>24</v>
      </c>
      <c r="K77" s="255">
        <v>-14</v>
      </c>
      <c r="L77" s="255">
        <v>-4</v>
      </c>
      <c r="M77" s="255">
        <v>-3</v>
      </c>
      <c r="N77" s="36"/>
      <c r="O77"/>
      <c r="P77"/>
    </row>
    <row r="78" spans="1:16" ht="15">
      <c r="A78" s="10" t="s">
        <v>665</v>
      </c>
      <c r="B78" s="255">
        <f t="shared" ref="B78:M78" si="32">B59+B64+B68+B77</f>
        <v>289</v>
      </c>
      <c r="C78" s="255">
        <f t="shared" si="32"/>
        <v>347</v>
      </c>
      <c r="D78" s="255">
        <f t="shared" si="32"/>
        <v>392</v>
      </c>
      <c r="E78" s="255">
        <f t="shared" si="32"/>
        <v>246</v>
      </c>
      <c r="F78" s="255">
        <f t="shared" si="32"/>
        <v>-389</v>
      </c>
      <c r="G78" s="255">
        <f t="shared" si="32"/>
        <v>155</v>
      </c>
      <c r="H78" s="255">
        <f t="shared" si="32"/>
        <v>-144</v>
      </c>
      <c r="I78" s="255">
        <f t="shared" si="32"/>
        <v>78</v>
      </c>
      <c r="J78" s="255">
        <f t="shared" si="32"/>
        <v>294</v>
      </c>
      <c r="K78" s="255">
        <f t="shared" si="32"/>
        <v>-612</v>
      </c>
      <c r="L78" s="255">
        <f t="shared" si="32"/>
        <v>-96</v>
      </c>
      <c r="M78" s="255">
        <f t="shared" si="32"/>
        <v>-209</v>
      </c>
      <c r="N78" s="36"/>
      <c r="O78"/>
      <c r="P78"/>
    </row>
    <row r="79" spans="1:16">
      <c r="M79" s="23"/>
      <c r="N79"/>
      <c r="O79" t="s">
        <v>902</v>
      </c>
      <c r="P79"/>
    </row>
    <row r="80" spans="1:16" ht="15">
      <c r="A80" s="49" t="s">
        <v>903</v>
      </c>
      <c r="B80" s="49"/>
      <c r="C80" s="49"/>
      <c r="D80" s="49"/>
      <c r="E80" s="1553" t="s">
        <v>658</v>
      </c>
      <c r="F80" s="1553"/>
      <c r="G80" s="1553"/>
      <c r="H80" s="1553" t="s">
        <v>904</v>
      </c>
      <c r="I80" s="1553"/>
      <c r="J80" s="49" t="s">
        <v>660</v>
      </c>
      <c r="K80" s="49" t="s">
        <v>661</v>
      </c>
      <c r="L80" s="49" t="s">
        <v>662</v>
      </c>
      <c r="M80" s="34"/>
      <c r="N80"/>
      <c r="O80"/>
      <c r="P80"/>
    </row>
    <row r="81" spans="1:16">
      <c r="A81" s="25" t="s">
        <v>905</v>
      </c>
      <c r="B81" s="26">
        <v>32061</v>
      </c>
      <c r="C81" s="39" t="s">
        <v>906</v>
      </c>
      <c r="D81" s="23"/>
      <c r="E81" s="1554"/>
      <c r="F81" s="1554"/>
      <c r="G81" s="1554"/>
      <c r="H81" s="1555"/>
      <c r="I81" s="1555"/>
      <c r="J81" s="77"/>
      <c r="K81" s="76"/>
      <c r="L81" s="76"/>
      <c r="M81" s="23"/>
      <c r="N81" s="39" t="s">
        <v>907</v>
      </c>
      <c r="O81"/>
      <c r="P81"/>
    </row>
    <row r="82" spans="1:16">
      <c r="A82" s="25" t="s">
        <v>908</v>
      </c>
      <c r="B82" s="26">
        <v>2871</v>
      </c>
      <c r="C82" s="39" t="s">
        <v>909</v>
      </c>
      <c r="D82" s="23"/>
      <c r="E82" s="1554"/>
      <c r="F82" s="1554"/>
      <c r="G82" s="1554"/>
      <c r="H82" s="1555"/>
      <c r="I82" s="1555"/>
      <c r="J82" s="77"/>
      <c r="K82" s="76"/>
      <c r="L82" s="76"/>
      <c r="M82" s="23"/>
      <c r="N82" s="39" t="s">
        <v>907</v>
      </c>
      <c r="O82"/>
      <c r="P82"/>
    </row>
    <row r="83" spans="1:16">
      <c r="A83" s="25" t="s">
        <v>46</v>
      </c>
      <c r="B83" s="70">
        <f>OP!M20</f>
        <v>0.26341139004014247</v>
      </c>
      <c r="C83" s="39" t="s">
        <v>909</v>
      </c>
      <c r="D83" s="78"/>
      <c r="E83" s="1554"/>
      <c r="F83" s="1554"/>
      <c r="G83" s="1554"/>
      <c r="H83" s="1555"/>
      <c r="I83" s="1555"/>
      <c r="J83" s="77"/>
      <c r="K83" s="76"/>
      <c r="L83" s="76"/>
      <c r="M83" s="80"/>
      <c r="N83" s="39" t="s">
        <v>907</v>
      </c>
      <c r="O83"/>
      <c r="P83"/>
    </row>
    <row r="84" spans="1:16">
      <c r="A84" s="25" t="s">
        <v>51</v>
      </c>
      <c r="B84" s="72">
        <f>OP!M21</f>
        <v>0.53239999999999998</v>
      </c>
      <c r="C84" s="39" t="s">
        <v>909</v>
      </c>
      <c r="D84" s="79"/>
      <c r="E84" s="1554"/>
      <c r="F84" s="1554"/>
      <c r="G84" s="1554"/>
      <c r="H84" s="1555"/>
      <c r="I84" s="1555"/>
      <c r="J84" s="77"/>
      <c r="K84" s="76"/>
      <c r="L84" s="76"/>
      <c r="M84" s="80"/>
      <c r="N84" s="39" t="s">
        <v>907</v>
      </c>
      <c r="O84"/>
      <c r="P84"/>
    </row>
    <row r="85" spans="1:16">
      <c r="A85" s="25" t="s">
        <v>654</v>
      </c>
      <c r="B85" s="26" t="str">
        <f>OP!M23</f>
        <v>N/A</v>
      </c>
      <c r="C85" s="39" t="s">
        <v>906</v>
      </c>
      <c r="D85" s="23"/>
      <c r="E85" s="1554"/>
      <c r="F85" s="1554"/>
      <c r="G85" s="1554"/>
      <c r="H85" s="1555"/>
      <c r="I85" s="1555"/>
      <c r="J85" s="77"/>
      <c r="K85" s="76"/>
      <c r="L85" s="76"/>
      <c r="M85" s="23"/>
      <c r="N85" s="39" t="s">
        <v>907</v>
      </c>
      <c r="O85"/>
      <c r="P85"/>
    </row>
    <row r="86" spans="1:16">
      <c r="A86" s="25" t="s">
        <v>655</v>
      </c>
      <c r="B86" s="73">
        <f>OP!M32</f>
        <v>2.5670689548948872E-2</v>
      </c>
      <c r="C86" s="39" t="s">
        <v>909</v>
      </c>
      <c r="D86" s="23"/>
      <c r="E86" s="1554"/>
      <c r="F86" s="1554"/>
      <c r="G86" s="1554"/>
      <c r="H86" s="1555"/>
      <c r="I86" s="1555"/>
      <c r="J86" s="76"/>
      <c r="K86" s="76"/>
      <c r="L86" s="76"/>
      <c r="M86" s="23"/>
      <c r="N86" s="39" t="s">
        <v>907</v>
      </c>
      <c r="O86"/>
    </row>
    <row r="87" spans="1:16">
      <c r="A87" s="25" t="s">
        <v>656</v>
      </c>
      <c r="B87" s="74">
        <f>(26080*15.71)/1000000</f>
        <v>0.40971680000000005</v>
      </c>
      <c r="C87" s="39" t="s">
        <v>910</v>
      </c>
      <c r="D87" s="23"/>
      <c r="E87" s="1554"/>
      <c r="F87" s="1554"/>
      <c r="G87" s="1554"/>
      <c r="H87" s="1555"/>
      <c r="I87" s="1555"/>
      <c r="J87" s="76"/>
      <c r="K87" s="76"/>
      <c r="L87" s="76"/>
      <c r="M87" s="23"/>
      <c r="N87" s="39" t="s">
        <v>907</v>
      </c>
    </row>
    <row r="88" spans="1:16" ht="15">
      <c r="B88" s="49">
        <v>2020</v>
      </c>
      <c r="C88" s="49">
        <f>B88+1</f>
        <v>2021</v>
      </c>
      <c r="D88" s="49">
        <f>C88+1</f>
        <v>2022</v>
      </c>
      <c r="E88" s="40"/>
      <c r="G88" s="40"/>
      <c r="H88" s="40"/>
      <c r="I88" s="40"/>
      <c r="J88" s="40"/>
      <c r="K88" s="40"/>
      <c r="L88" s="40"/>
      <c r="M88" s="40"/>
      <c r="N88"/>
    </row>
    <row r="89" spans="1:16">
      <c r="A89" s="25" t="s">
        <v>657</v>
      </c>
      <c r="B89" s="71"/>
      <c r="C89" s="71"/>
      <c r="D89" s="71"/>
      <c r="E89" s="39" t="s">
        <v>910</v>
      </c>
      <c r="K89" s="21"/>
      <c r="L89" s="21"/>
      <c r="O89"/>
      <c r="P89"/>
    </row>
    <row r="90" spans="1:16" ht="15">
      <c r="A90" s="25" t="s">
        <v>71</v>
      </c>
      <c r="B90" s="74"/>
      <c r="C90" s="75"/>
      <c r="D90" s="75"/>
      <c r="E90" s="39" t="s">
        <v>910</v>
      </c>
      <c r="K90" s="21"/>
      <c r="L90" s="21"/>
      <c r="O90" s="49"/>
    </row>
    <row r="91" spans="1:16" ht="15">
      <c r="M91"/>
      <c r="N91" s="113"/>
      <c r="O91" s="49"/>
    </row>
    <row r="92" spans="1:16">
      <c r="J92" s="23"/>
      <c r="L92"/>
      <c r="M92"/>
      <c r="N92"/>
    </row>
    <row r="93" spans="1:16">
      <c r="J93" s="23"/>
      <c r="L93"/>
      <c r="M93"/>
      <c r="N93"/>
    </row>
    <row r="94" spans="1:16">
      <c r="J94" s="23"/>
      <c r="L94"/>
      <c r="M94"/>
      <c r="N94"/>
    </row>
    <row r="95" spans="1:16">
      <c r="J95" s="23"/>
      <c r="L95"/>
      <c r="M95"/>
      <c r="N95"/>
    </row>
    <row r="96" spans="1:16">
      <c r="A96" s="348"/>
      <c r="B96" s="348"/>
      <c r="C96" s="348"/>
      <c r="D96" s="348"/>
      <c r="E96" s="348"/>
      <c r="F96" s="348"/>
      <c r="G96" s="348"/>
      <c r="H96" s="348"/>
      <c r="I96" s="348"/>
      <c r="J96" s="348"/>
      <c r="K96" s="348"/>
      <c r="L96" s="348"/>
      <c r="M96"/>
      <c r="N96"/>
    </row>
    <row r="97" spans="1:15">
      <c r="A97" s="348"/>
      <c r="B97" s="348"/>
      <c r="C97" s="348"/>
      <c r="D97" s="348"/>
      <c r="E97" s="348"/>
      <c r="F97" s="348"/>
      <c r="G97" s="348"/>
      <c r="H97" s="348"/>
      <c r="I97" s="348"/>
      <c r="J97" s="348"/>
      <c r="K97" s="348"/>
      <c r="L97" s="348"/>
      <c r="M97"/>
      <c r="N97"/>
      <c r="O97"/>
    </row>
    <row r="98" spans="1:15">
      <c r="A98" s="349"/>
      <c r="B98" s="349"/>
      <c r="C98" s="349"/>
      <c r="D98" s="349"/>
      <c r="E98" s="349"/>
      <c r="F98" s="349"/>
      <c r="G98" s="349"/>
      <c r="H98" s="349"/>
      <c r="I98" s="349"/>
      <c r="J98" s="23"/>
      <c r="L98" s="350"/>
      <c r="M98"/>
      <c r="N98"/>
    </row>
    <row r="99" spans="1:15">
      <c r="G99"/>
      <c r="M99"/>
      <c r="N99"/>
    </row>
    <row r="100" spans="1:15">
      <c r="A100"/>
      <c r="B100"/>
      <c r="C100"/>
      <c r="D100"/>
      <c r="E100"/>
      <c r="F100"/>
      <c r="G100"/>
    </row>
    <row r="101" spans="1:15">
      <c r="A101" s="346"/>
      <c r="B101" s="346"/>
      <c r="C101" s="346"/>
      <c r="D101" s="346"/>
      <c r="E101" s="346"/>
      <c r="F101" s="346"/>
      <c r="G101" s="346"/>
      <c r="H101" s="346"/>
      <c r="I101" s="346"/>
      <c r="J101" s="346"/>
      <c r="K101" s="346"/>
      <c r="L101" s="346"/>
    </row>
    <row r="102" spans="1:15">
      <c r="A102" s="346"/>
      <c r="B102" s="346"/>
      <c r="C102" s="346"/>
      <c r="D102" s="346"/>
      <c r="E102" s="346"/>
      <c r="F102" s="346"/>
      <c r="G102" s="346"/>
      <c r="H102" s="346"/>
      <c r="I102" s="346"/>
      <c r="J102" s="346"/>
      <c r="K102" s="346"/>
      <c r="L102" s="346"/>
    </row>
    <row r="103" spans="1:15">
      <c r="A103" s="346"/>
      <c r="B103" s="346"/>
      <c r="C103" s="346"/>
      <c r="D103" s="346"/>
      <c r="E103" s="346"/>
      <c r="F103" s="346"/>
      <c r="G103" s="346"/>
      <c r="H103" s="346"/>
      <c r="I103" s="346"/>
      <c r="J103" s="346"/>
      <c r="K103" s="346"/>
      <c r="L103" s="346"/>
    </row>
    <row r="104" spans="1:15">
      <c r="A104" s="347"/>
      <c r="B104" s="347"/>
      <c r="C104" s="347"/>
      <c r="D104" s="347"/>
      <c r="E104" s="346"/>
      <c r="F104" s="346"/>
      <c r="G104" s="346"/>
      <c r="H104" s="346"/>
      <c r="I104" s="346"/>
      <c r="J104" s="346"/>
      <c r="K104" s="346"/>
      <c r="L104" s="346"/>
    </row>
    <row r="105" spans="1:15">
      <c r="A105" s="347"/>
      <c r="B105" s="347"/>
      <c r="C105" s="347"/>
      <c r="D105" s="347"/>
      <c r="E105" s="346"/>
      <c r="F105" s="346"/>
      <c r="G105" s="346"/>
      <c r="H105" s="346"/>
      <c r="I105" s="346"/>
      <c r="J105" s="346"/>
      <c r="K105" s="346"/>
      <c r="L105" s="346"/>
    </row>
    <row r="106" spans="1:15">
      <c r="A106" s="351"/>
      <c r="B106" s="351"/>
      <c r="C106" s="351"/>
      <c r="D106" s="351"/>
      <c r="E106" s="351"/>
      <c r="F106" s="351"/>
      <c r="G106" s="351"/>
      <c r="H106" s="351"/>
      <c r="I106" s="351"/>
      <c r="J106" s="351"/>
    </row>
    <row r="108" spans="1:15">
      <c r="A108" s="346"/>
      <c r="B108" s="346"/>
      <c r="C108" s="346"/>
      <c r="D108" s="346"/>
      <c r="E108" s="346"/>
      <c r="F108" s="346"/>
      <c r="G108" s="346"/>
      <c r="H108" s="346"/>
      <c r="I108" s="346"/>
      <c r="J108" s="346"/>
      <c r="K108" s="346"/>
      <c r="L108" s="346"/>
    </row>
    <row r="109" spans="1:15">
      <c r="A109" s="346"/>
      <c r="B109" s="346"/>
      <c r="C109" s="346"/>
      <c r="D109" s="346"/>
      <c r="E109" s="346"/>
      <c r="F109" s="346"/>
      <c r="G109" s="346"/>
      <c r="H109" s="346"/>
      <c r="I109" s="346"/>
      <c r="J109" s="346"/>
      <c r="K109" s="346"/>
      <c r="L109" s="346"/>
    </row>
    <row r="110" spans="1:15">
      <c r="A110" s="346"/>
      <c r="B110" s="346"/>
      <c r="C110" s="346"/>
      <c r="D110" s="346"/>
      <c r="E110" s="346"/>
      <c r="F110" s="346"/>
      <c r="G110" s="346"/>
      <c r="H110" s="346"/>
      <c r="I110" s="346"/>
      <c r="J110" s="346"/>
      <c r="K110" s="346"/>
      <c r="L110" s="346"/>
    </row>
    <row r="111" spans="1:15">
      <c r="A111" s="346"/>
      <c r="B111" s="346"/>
      <c r="C111" s="346"/>
      <c r="D111" s="346"/>
      <c r="E111" s="346"/>
      <c r="F111" s="346"/>
      <c r="G111" s="346"/>
      <c r="H111" s="346"/>
      <c r="I111" s="346"/>
      <c r="J111" s="346"/>
      <c r="K111" s="346"/>
      <c r="L111" s="346"/>
    </row>
    <row r="112" spans="1:15">
      <c r="A112" s="351"/>
      <c r="B112" s="351"/>
      <c r="C112" s="351"/>
      <c r="D112" s="351"/>
      <c r="E112" s="351"/>
      <c r="F112" s="351"/>
      <c r="G112" s="351"/>
      <c r="H112" s="351"/>
      <c r="I112" s="351"/>
      <c r="J112" s="351"/>
    </row>
    <row r="115" spans="1:12">
      <c r="A115" s="276"/>
      <c r="B115" s="276"/>
      <c r="C115" s="276"/>
      <c r="D115" s="276"/>
      <c r="E115" s="276"/>
      <c r="F115" s="276"/>
      <c r="G115" s="352"/>
      <c r="H115" s="276"/>
      <c r="I115" s="276"/>
      <c r="J115" s="276"/>
      <c r="K115" s="276"/>
      <c r="L115" s="276"/>
    </row>
    <row r="116" spans="1:12">
      <c r="A116" s="347"/>
      <c r="B116" s="347"/>
      <c r="C116" s="347"/>
      <c r="D116" s="347"/>
      <c r="E116" s="347"/>
      <c r="F116" s="347"/>
      <c r="G116" s="347"/>
      <c r="H116" s="347"/>
      <c r="I116" s="347"/>
      <c r="J116" s="347"/>
      <c r="K116" s="347"/>
      <c r="L116" s="347"/>
    </row>
    <row r="117" spans="1:12">
      <c r="A117" s="351"/>
      <c r="B117" s="351"/>
      <c r="C117" s="351"/>
      <c r="D117" s="351"/>
      <c r="E117" s="351"/>
      <c r="F117" s="351"/>
      <c r="G117" s="351"/>
      <c r="H117" s="351"/>
      <c r="I117" s="351"/>
      <c r="J117" s="351"/>
      <c r="K117" s="351"/>
      <c r="L117" s="351"/>
    </row>
    <row r="125" spans="1:12">
      <c r="A125" s="347"/>
      <c r="B125" s="347"/>
      <c r="C125" s="347"/>
      <c r="D125" s="347"/>
      <c r="E125" s="347"/>
      <c r="F125" s="347"/>
      <c r="G125" s="347"/>
      <c r="H125" s="347"/>
      <c r="I125" s="347"/>
      <c r="J125" s="347"/>
      <c r="K125" s="347"/>
      <c r="L125" s="347"/>
    </row>
    <row r="126" spans="1:12">
      <c r="A126" s="347"/>
      <c r="B126" s="347"/>
      <c r="C126" s="347"/>
      <c r="D126" s="347"/>
      <c r="E126" s="347"/>
      <c r="F126" s="347"/>
      <c r="G126" s="347"/>
      <c r="H126" s="347"/>
      <c r="I126" s="347"/>
      <c r="J126" s="347"/>
      <c r="K126" s="347"/>
      <c r="L126" s="347"/>
    </row>
    <row r="127" spans="1:12">
      <c r="A127" s="347">
        <v>-285</v>
      </c>
      <c r="B127" s="347">
        <v>-181</v>
      </c>
      <c r="C127" s="347">
        <v>-284</v>
      </c>
      <c r="D127" s="347">
        <v>-413</v>
      </c>
      <c r="E127" s="347">
        <v>-394</v>
      </c>
      <c r="F127" s="347">
        <v>-357</v>
      </c>
      <c r="G127" s="347">
        <v>-403</v>
      </c>
      <c r="H127" s="347">
        <v>-407</v>
      </c>
      <c r="I127" s="347">
        <v>-407</v>
      </c>
      <c r="J127" s="347">
        <v>-366</v>
      </c>
      <c r="K127" s="347">
        <v>-310</v>
      </c>
      <c r="L127" s="347">
        <v>-270</v>
      </c>
    </row>
    <row r="128" spans="1:12">
      <c r="A128" s="347">
        <v>-15</v>
      </c>
      <c r="B128" s="347">
        <v>-15</v>
      </c>
      <c r="C128" s="347">
        <v>-11</v>
      </c>
      <c r="D128" s="347">
        <v>-17</v>
      </c>
      <c r="E128" s="347">
        <v>-19</v>
      </c>
      <c r="F128" s="347">
        <v>-17</v>
      </c>
      <c r="G128" s="347">
        <v>-36</v>
      </c>
      <c r="H128" s="347">
        <v>-24</v>
      </c>
      <c r="I128" s="347">
        <v>-14</v>
      </c>
      <c r="J128" s="347">
        <v>-5</v>
      </c>
      <c r="K128" s="347">
        <v>-6</v>
      </c>
      <c r="L128" s="347" t="s">
        <v>482</v>
      </c>
    </row>
    <row r="129" spans="1:12">
      <c r="A129" s="347" t="s">
        <v>482</v>
      </c>
      <c r="B129" s="347" t="s">
        <v>482</v>
      </c>
      <c r="C129" s="347" t="s">
        <v>482</v>
      </c>
      <c r="D129" s="347" t="s">
        <v>482</v>
      </c>
      <c r="E129" s="347" t="s">
        <v>482</v>
      </c>
      <c r="F129" s="347" t="s">
        <v>482</v>
      </c>
      <c r="G129" s="347" t="s">
        <v>482</v>
      </c>
      <c r="H129" s="347" t="s">
        <v>482</v>
      </c>
      <c r="I129" s="347" t="s">
        <v>482</v>
      </c>
      <c r="J129" s="347" t="s">
        <v>482</v>
      </c>
      <c r="K129" s="347" t="s">
        <v>482</v>
      </c>
      <c r="L129" s="347">
        <v>-4</v>
      </c>
    </row>
    <row r="130" spans="1:12">
      <c r="A130" s="347">
        <f t="shared" ref="A130:L130" si="33">SUM(A127:A129)</f>
        <v>-300</v>
      </c>
      <c r="B130" s="347">
        <f t="shared" si="33"/>
        <v>-196</v>
      </c>
      <c r="C130" s="347">
        <f t="shared" si="33"/>
        <v>-295</v>
      </c>
      <c r="D130" s="347">
        <f t="shared" si="33"/>
        <v>-430</v>
      </c>
      <c r="E130" s="347">
        <f t="shared" si="33"/>
        <v>-413</v>
      </c>
      <c r="F130" s="347">
        <f t="shared" si="33"/>
        <v>-374</v>
      </c>
      <c r="G130" s="347">
        <f t="shared" si="33"/>
        <v>-439</v>
      </c>
      <c r="H130" s="347">
        <f t="shared" si="33"/>
        <v>-431</v>
      </c>
      <c r="I130" s="347">
        <f t="shared" si="33"/>
        <v>-421</v>
      </c>
      <c r="J130" s="347">
        <f t="shared" si="33"/>
        <v>-371</v>
      </c>
      <c r="K130" s="347">
        <f t="shared" si="33"/>
        <v>-316</v>
      </c>
      <c r="L130" s="347">
        <f t="shared" si="33"/>
        <v>-274</v>
      </c>
    </row>
    <row r="131" spans="1:12">
      <c r="A131" s="347"/>
      <c r="B131" s="347"/>
      <c r="C131" s="347"/>
      <c r="D131" s="347"/>
      <c r="E131" s="347"/>
      <c r="F131" s="347"/>
      <c r="G131" s="347"/>
      <c r="H131" s="347"/>
      <c r="I131" s="347"/>
      <c r="J131" s="347"/>
      <c r="K131" s="347"/>
      <c r="L131" s="347"/>
    </row>
    <row r="132" spans="1:12">
      <c r="A132" s="347"/>
      <c r="B132" s="347"/>
      <c r="C132" s="347"/>
      <c r="D132" s="347"/>
      <c r="E132" s="347"/>
      <c r="F132" s="347"/>
      <c r="G132" s="347"/>
      <c r="H132" s="347"/>
      <c r="I132" s="347"/>
      <c r="J132" s="347"/>
      <c r="K132" s="347"/>
      <c r="L132" s="347"/>
    </row>
    <row r="133" spans="1:12">
      <c r="A133" s="347"/>
      <c r="B133" s="347"/>
      <c r="C133" s="347"/>
      <c r="D133" s="347"/>
      <c r="E133" s="347"/>
      <c r="F133" s="347"/>
      <c r="G133" s="347"/>
      <c r="H133" s="347"/>
      <c r="I133" s="347"/>
      <c r="J133" s="347"/>
      <c r="K133" s="347"/>
      <c r="L133" s="347"/>
    </row>
    <row r="134" spans="1:12">
      <c r="A134" s="347"/>
      <c r="B134" s="347"/>
      <c r="C134" s="347"/>
      <c r="D134" s="347"/>
      <c r="E134" s="347"/>
      <c r="F134" s="347"/>
      <c r="G134" s="347"/>
      <c r="H134" s="347"/>
      <c r="I134" s="347"/>
      <c r="J134" s="347"/>
      <c r="K134" s="347"/>
      <c r="L134" s="347"/>
    </row>
    <row r="135" spans="1:12">
      <c r="A135" s="347"/>
      <c r="B135" s="347"/>
      <c r="C135" s="347"/>
      <c r="D135" s="347"/>
      <c r="E135" s="347"/>
      <c r="F135" s="347"/>
      <c r="G135" s="347"/>
      <c r="H135" s="347"/>
      <c r="I135" s="347"/>
      <c r="J135" s="347"/>
      <c r="K135" s="347"/>
      <c r="L135" s="347"/>
    </row>
    <row r="136" spans="1:12">
      <c r="A136" s="347"/>
      <c r="B136" s="347"/>
      <c r="C136" s="347"/>
      <c r="D136" s="347"/>
      <c r="E136" s="347"/>
      <c r="F136" s="347"/>
      <c r="G136" s="347"/>
      <c r="H136" s="347"/>
      <c r="I136" s="347"/>
      <c r="J136" s="347"/>
      <c r="K136" s="347"/>
      <c r="L136" s="347"/>
    </row>
    <row r="137" spans="1:12">
      <c r="A137" s="347"/>
      <c r="B137" s="347"/>
      <c r="C137" s="347"/>
      <c r="D137" s="347"/>
      <c r="E137" s="347"/>
      <c r="F137" s="347"/>
      <c r="G137" s="347"/>
      <c r="H137" s="347"/>
      <c r="I137" s="347"/>
      <c r="J137" s="347"/>
      <c r="K137" s="347"/>
      <c r="L137" s="347"/>
    </row>
    <row r="138" spans="1:12">
      <c r="A138" s="347"/>
      <c r="B138" s="347"/>
      <c r="C138" s="347"/>
      <c r="D138" s="347"/>
      <c r="E138" s="347"/>
      <c r="F138" s="347"/>
      <c r="G138" s="347"/>
      <c r="H138" s="347"/>
      <c r="I138" s="347"/>
      <c r="J138" s="347"/>
      <c r="K138" s="347"/>
      <c r="L138" s="347"/>
    </row>
    <row r="139" spans="1:12">
      <c r="A139" s="347"/>
      <c r="B139" s="347"/>
      <c r="C139" s="347"/>
      <c r="D139" s="347"/>
      <c r="E139" s="347"/>
      <c r="F139" s="347"/>
      <c r="G139" s="347"/>
      <c r="H139" s="347"/>
      <c r="I139" s="347"/>
      <c r="J139" s="347"/>
      <c r="K139" s="347"/>
      <c r="L139" s="347"/>
    </row>
    <row r="140" spans="1:12">
      <c r="A140" s="353"/>
      <c r="B140" s="353"/>
      <c r="C140" s="353"/>
      <c r="D140" s="353"/>
      <c r="E140" s="353"/>
      <c r="F140" s="353"/>
      <c r="G140" s="353"/>
      <c r="H140" s="353"/>
      <c r="I140" s="353"/>
      <c r="J140" s="353"/>
    </row>
    <row r="172" spans="3:14">
      <c r="C172" s="276"/>
      <c r="D172" s="276"/>
      <c r="E172" s="276"/>
      <c r="F172" s="276"/>
      <c r="G172" s="276"/>
      <c r="H172" s="276"/>
      <c r="I172" s="354"/>
      <c r="J172" s="355"/>
      <c r="K172" s="355"/>
      <c r="L172" s="355"/>
      <c r="M172" s="355"/>
      <c r="N172" s="355"/>
    </row>
    <row r="173" spans="3:14">
      <c r="C173" s="276"/>
      <c r="D173" s="276"/>
      <c r="E173" s="276"/>
      <c r="F173" s="276"/>
      <c r="G173" s="276"/>
      <c r="H173" s="276"/>
      <c r="I173" s="276"/>
      <c r="J173" s="276"/>
      <c r="K173" s="276"/>
      <c r="L173" s="276"/>
      <c r="M173" s="276"/>
      <c r="N173" s="276"/>
    </row>
    <row r="174" spans="3:14">
      <c r="C174" s="276"/>
      <c r="D174" s="276"/>
      <c r="E174" s="276"/>
      <c r="F174" s="276"/>
      <c r="G174" s="276"/>
      <c r="H174" s="276"/>
      <c r="I174" s="354"/>
      <c r="J174" s="355"/>
      <c r="K174" s="276"/>
      <c r="L174" s="276"/>
      <c r="M174" s="276"/>
      <c r="N174" s="276"/>
    </row>
    <row r="175" spans="3:14">
      <c r="C175" s="276"/>
      <c r="D175" s="276"/>
      <c r="E175" s="276"/>
      <c r="F175" s="276"/>
      <c r="G175" s="276"/>
      <c r="H175" s="276"/>
      <c r="I175" s="354"/>
      <c r="J175" s="355"/>
      <c r="K175" s="276"/>
      <c r="L175" s="276"/>
      <c r="M175" s="276"/>
      <c r="N175" s="276"/>
    </row>
    <row r="176" spans="3:14">
      <c r="C176" s="276"/>
      <c r="D176" s="276"/>
      <c r="E176" s="276"/>
      <c r="F176" s="276"/>
      <c r="G176" s="276"/>
      <c r="H176" s="276"/>
      <c r="I176" s="352"/>
      <c r="J176" s="276"/>
      <c r="K176" s="276"/>
      <c r="L176" s="276"/>
      <c r="M176" s="276"/>
      <c r="N176" s="276"/>
    </row>
    <row r="178" spans="3:14">
      <c r="C178" s="28"/>
      <c r="D178" s="28"/>
      <c r="E178" s="28"/>
      <c r="F178" s="28"/>
      <c r="G178" s="28"/>
      <c r="H178" s="28"/>
      <c r="I178" s="28"/>
      <c r="J178" s="28"/>
      <c r="K178" s="28"/>
      <c r="L178" s="28"/>
      <c r="M178" s="28"/>
      <c r="N178" s="28"/>
    </row>
    <row r="179" spans="3:14">
      <c r="C179" s="356"/>
      <c r="D179" s="356"/>
      <c r="E179" s="356"/>
      <c r="F179" s="356"/>
      <c r="G179" s="356"/>
      <c r="H179" s="356"/>
      <c r="I179" s="356"/>
      <c r="J179" s="356"/>
      <c r="K179" s="356"/>
      <c r="L179" s="356"/>
      <c r="M179" s="356"/>
      <c r="N179" s="356"/>
    </row>
  </sheetData>
  <mergeCells count="19">
    <mergeCell ref="E86:G86"/>
    <mergeCell ref="E87:G87"/>
    <mergeCell ref="H81:I81"/>
    <mergeCell ref="H82:I82"/>
    <mergeCell ref="H83:I83"/>
    <mergeCell ref="H84:I84"/>
    <mergeCell ref="H85:I85"/>
    <mergeCell ref="H86:I86"/>
    <mergeCell ref="H87:I87"/>
    <mergeCell ref="E81:G81"/>
    <mergeCell ref="E82:G82"/>
    <mergeCell ref="E83:G83"/>
    <mergeCell ref="E84:G84"/>
    <mergeCell ref="E85:G85"/>
    <mergeCell ref="G2:J2"/>
    <mergeCell ref="D4:M4"/>
    <mergeCell ref="R5:S5"/>
    <mergeCell ref="H80:I80"/>
    <mergeCell ref="E80:G80"/>
  </mergeCells>
  <pageMargins left="0.75" right="0.75" top="1" bottom="1" header="0" footer="0"/>
  <pageSetup orientation="portrait" horizontalDpi="4294967292"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78"/>
  <sheetViews>
    <sheetView topLeftCell="A3" workbookViewId="0">
      <selection activeCell="J11" sqref="J11"/>
    </sheetView>
  </sheetViews>
  <sheetFormatPr defaultRowHeight="12.75"/>
  <cols>
    <col min="1" max="1" width="26" bestFit="1" customWidth="1"/>
    <col min="2" max="2" width="15" bestFit="1" customWidth="1"/>
    <col min="3" max="3" width="14.5703125" bestFit="1" customWidth="1"/>
    <col min="4" max="4" width="20.28515625" bestFit="1" customWidth="1"/>
    <col min="5" max="5" width="19" bestFit="1" customWidth="1"/>
    <col min="6" max="6" width="18" bestFit="1" customWidth="1"/>
    <col min="8" max="8" width="19.140625" bestFit="1" customWidth="1"/>
    <col min="9" max="9" width="9.140625" style="262"/>
  </cols>
  <sheetData>
    <row r="1" spans="1:11">
      <c r="A1" s="418" t="s">
        <v>911</v>
      </c>
      <c r="B1" s="419" t="s">
        <v>912</v>
      </c>
      <c r="C1" s="420" t="s">
        <v>913</v>
      </c>
      <c r="D1" s="420" t="s">
        <v>914</v>
      </c>
      <c r="E1" s="421" t="s">
        <v>915</v>
      </c>
      <c r="F1" s="420" t="s">
        <v>916</v>
      </c>
    </row>
    <row r="2" spans="1:11">
      <c r="A2" s="422" t="s">
        <v>917</v>
      </c>
      <c r="B2" s="423" t="s">
        <v>918</v>
      </c>
      <c r="C2" s="424">
        <v>5.3E-3</v>
      </c>
      <c r="D2" s="424">
        <v>7.4999999999999997E-3</v>
      </c>
      <c r="E2" s="425">
        <v>5.7500000000000002E-2</v>
      </c>
      <c r="F2" s="424">
        <v>0.15</v>
      </c>
      <c r="H2" s="14" t="s">
        <v>494</v>
      </c>
      <c r="I2" s="579">
        <f>_xlfn.XLOOKUP(H2,$A$2:$A$178,$E$2:$E$178,"",0)</f>
        <v>6.0699999999999997E-2</v>
      </c>
    </row>
    <row r="3" spans="1:11" ht="15">
      <c r="A3" s="422" t="s">
        <v>919</v>
      </c>
      <c r="B3" s="423" t="s">
        <v>920</v>
      </c>
      <c r="C3" s="424">
        <v>4.82E-2</v>
      </c>
      <c r="D3" s="424">
        <v>6.83E-2</v>
      </c>
      <c r="E3" s="425">
        <v>0.1183</v>
      </c>
      <c r="F3" s="424">
        <v>0.15</v>
      </c>
      <c r="H3" s="14" t="s">
        <v>921</v>
      </c>
      <c r="I3" s="579">
        <f>AVERAGE(I4:I12)</f>
        <v>6.3122222222222218E-2</v>
      </c>
      <c r="K3" s="429" t="s">
        <v>922</v>
      </c>
    </row>
    <row r="4" spans="1:11">
      <c r="A4" s="422" t="s">
        <v>923</v>
      </c>
      <c r="B4" s="423" t="s">
        <v>924</v>
      </c>
      <c r="C4" s="424">
        <v>3.85E-2</v>
      </c>
      <c r="D4" s="424">
        <v>5.4600000000000003E-2</v>
      </c>
      <c r="E4" s="425">
        <v>0.1046</v>
      </c>
      <c r="F4" s="424">
        <v>0.26</v>
      </c>
      <c r="H4" t="s">
        <v>925</v>
      </c>
      <c r="I4" s="262">
        <f>_xlfn.XLOOKUP(H4,$A$2:$A$178,$E$2:$E$178,"",0)</f>
        <v>8.3299999999999999E-2</v>
      </c>
    </row>
    <row r="5" spans="1:11">
      <c r="A5" s="422" t="s">
        <v>926</v>
      </c>
      <c r="B5" s="423" t="s">
        <v>927</v>
      </c>
      <c r="C5" s="424">
        <v>2.0400000000000001E-2</v>
      </c>
      <c r="D5" s="424">
        <v>2.8899999999999999E-2</v>
      </c>
      <c r="E5" s="425">
        <v>7.8899999999999998E-2</v>
      </c>
      <c r="F5" s="424">
        <v>0.1898</v>
      </c>
      <c r="H5" t="s">
        <v>928</v>
      </c>
      <c r="I5" s="262">
        <f>_xlfn.XLOOKUP(H5,$A$2:$A$178,$E$2:$E$178,"",0)</f>
        <v>5.7500000000000002E-2</v>
      </c>
    </row>
    <row r="6" spans="1:11">
      <c r="A6" s="422" t="s">
        <v>929</v>
      </c>
      <c r="B6" s="423" t="s">
        <v>930</v>
      </c>
      <c r="C6" s="424">
        <v>6.9500000000000006E-2</v>
      </c>
      <c r="D6" s="424">
        <v>9.8599999999999993E-2</v>
      </c>
      <c r="E6" s="425">
        <v>0.14860000000000001</v>
      </c>
      <c r="F6" s="424">
        <v>0.25</v>
      </c>
      <c r="H6" t="s">
        <v>931</v>
      </c>
      <c r="I6" s="262">
        <f t="shared" ref="I6:I20" si="0">_xlfn.XLOOKUP(H6,$A$2:$A$178,$E$2:$E$178,"",0)</f>
        <v>5.7500000000000002E-2</v>
      </c>
    </row>
    <row r="7" spans="1:11">
      <c r="A7" s="422" t="s">
        <v>932</v>
      </c>
      <c r="B7" s="423" t="s">
        <v>933</v>
      </c>
      <c r="C7" s="424">
        <v>0.12839999999999999</v>
      </c>
      <c r="D7" s="424">
        <v>0.18210000000000001</v>
      </c>
      <c r="E7" s="425">
        <v>0.2321</v>
      </c>
      <c r="F7" s="424">
        <v>0.35</v>
      </c>
      <c r="H7" t="s">
        <v>934</v>
      </c>
      <c r="I7" s="262">
        <f t="shared" si="0"/>
        <v>5.91E-2</v>
      </c>
    </row>
    <row r="8" spans="1:11">
      <c r="A8" s="422" t="s">
        <v>935</v>
      </c>
      <c r="B8" s="423" t="s">
        <v>936</v>
      </c>
      <c r="C8" s="424">
        <v>3.85E-2</v>
      </c>
      <c r="D8" s="424">
        <v>5.4600000000000003E-2</v>
      </c>
      <c r="E8" s="425">
        <v>0.1046</v>
      </c>
      <c r="F8" s="424">
        <v>0.18</v>
      </c>
      <c r="H8" t="s">
        <v>937</v>
      </c>
      <c r="I8" s="262">
        <f t="shared" si="0"/>
        <v>5.91E-2</v>
      </c>
    </row>
    <row r="9" spans="1:11">
      <c r="A9" s="426" t="s">
        <v>938</v>
      </c>
      <c r="B9" s="427" t="s">
        <v>927</v>
      </c>
      <c r="C9" s="428">
        <v>2.0400000000000001E-2</v>
      </c>
      <c r="D9" s="428">
        <v>2.8899999999999999E-2</v>
      </c>
      <c r="E9" s="425">
        <v>7.8899999999999998E-2</v>
      </c>
      <c r="F9" s="428">
        <v>0.25</v>
      </c>
      <c r="H9" t="s">
        <v>939</v>
      </c>
      <c r="I9" s="262">
        <f t="shared" si="0"/>
        <v>5.91E-2</v>
      </c>
    </row>
    <row r="10" spans="1:11">
      <c r="A10" s="422" t="s">
        <v>940</v>
      </c>
      <c r="B10" s="423" t="s">
        <v>941</v>
      </c>
      <c r="C10" s="424">
        <v>0</v>
      </c>
      <c r="D10" s="424">
        <v>0</v>
      </c>
      <c r="E10" s="425">
        <v>0.05</v>
      </c>
      <c r="F10" s="424">
        <v>0.3</v>
      </c>
      <c r="H10" t="s">
        <v>942</v>
      </c>
      <c r="I10" s="262">
        <f t="shared" si="0"/>
        <v>7.4300000000000005E-2</v>
      </c>
    </row>
    <row r="11" spans="1:11">
      <c r="A11" s="422" t="s">
        <v>943</v>
      </c>
      <c r="B11" s="423" t="s">
        <v>944</v>
      </c>
      <c r="C11" s="424">
        <v>4.3E-3</v>
      </c>
      <c r="D11" s="424">
        <v>6.1000000000000004E-3</v>
      </c>
      <c r="E11" s="425">
        <v>5.6099999999999997E-2</v>
      </c>
      <c r="F11" s="424">
        <v>0.24</v>
      </c>
      <c r="H11" t="s">
        <v>945</v>
      </c>
      <c r="I11" s="262">
        <f t="shared" si="0"/>
        <v>0.05</v>
      </c>
    </row>
    <row r="12" spans="1:11">
      <c r="A12" s="422" t="s">
        <v>946</v>
      </c>
      <c r="B12" s="423" t="s">
        <v>947</v>
      </c>
      <c r="C12" s="424">
        <v>2.6800000000000001E-2</v>
      </c>
      <c r="D12" s="424">
        <v>3.7999999999999999E-2</v>
      </c>
      <c r="E12" s="425">
        <v>8.7999999999999995E-2</v>
      </c>
      <c r="F12" s="424">
        <v>0.2</v>
      </c>
      <c r="H12" t="s">
        <v>948</v>
      </c>
      <c r="I12" s="262">
        <f t="shared" si="0"/>
        <v>6.8199999999999997E-2</v>
      </c>
    </row>
    <row r="13" spans="1:11">
      <c r="A13" s="422" t="s">
        <v>949</v>
      </c>
      <c r="B13" s="423" t="s">
        <v>920</v>
      </c>
      <c r="C13" s="424">
        <v>4.82E-2</v>
      </c>
      <c r="D13" s="424">
        <v>6.83E-2</v>
      </c>
      <c r="E13" s="425">
        <v>0.1183</v>
      </c>
      <c r="F13" s="424">
        <v>0</v>
      </c>
      <c r="H13" s="14" t="s">
        <v>950</v>
      </c>
      <c r="I13" s="579">
        <f>AVERAGE(I14:I27)</f>
        <v>5.7735714285714293E-2</v>
      </c>
    </row>
    <row r="14" spans="1:11">
      <c r="A14" s="422" t="s">
        <v>951</v>
      </c>
      <c r="B14" s="423" t="s">
        <v>952</v>
      </c>
      <c r="C14" s="424">
        <v>5.8799999999999998E-2</v>
      </c>
      <c r="D14" s="424">
        <v>8.3500000000000005E-2</v>
      </c>
      <c r="E14" s="425">
        <v>0.13350000000000001</v>
      </c>
      <c r="F14" s="424">
        <v>0</v>
      </c>
      <c r="H14" t="s">
        <v>953</v>
      </c>
      <c r="I14" s="262">
        <f t="shared" si="0"/>
        <v>5.91E-2</v>
      </c>
    </row>
    <row r="15" spans="1:11">
      <c r="A15" s="422" t="s">
        <v>954</v>
      </c>
      <c r="B15" s="423" t="s">
        <v>920</v>
      </c>
      <c r="C15" s="424">
        <v>4.82E-2</v>
      </c>
      <c r="D15" s="424">
        <v>6.83E-2</v>
      </c>
      <c r="E15" s="425">
        <v>0.1183</v>
      </c>
      <c r="F15" s="424">
        <v>0.32500000000000001</v>
      </c>
      <c r="H15" t="s">
        <v>955</v>
      </c>
      <c r="I15" s="262">
        <f t="shared" si="0"/>
        <v>7.4300000000000005E-2</v>
      </c>
    </row>
    <row r="16" spans="1:11">
      <c r="A16" s="422" t="s">
        <v>956</v>
      </c>
      <c r="B16" s="423" t="s">
        <v>957</v>
      </c>
      <c r="C16" s="424">
        <v>8.0199999999999994E-2</v>
      </c>
      <c r="D16" s="424">
        <v>0.1138</v>
      </c>
      <c r="E16" s="425">
        <v>0.1638</v>
      </c>
      <c r="F16" s="424">
        <v>5.5E-2</v>
      </c>
      <c r="H16" t="s">
        <v>958</v>
      </c>
      <c r="I16" s="262">
        <f t="shared" si="0"/>
        <v>5.7500000000000002E-2</v>
      </c>
    </row>
    <row r="17" spans="1:9">
      <c r="A17" s="426" t="s">
        <v>959</v>
      </c>
      <c r="B17" s="427" t="s">
        <v>960</v>
      </c>
      <c r="C17" s="428">
        <v>0.17499999999999999</v>
      </c>
      <c r="D17" s="428">
        <v>0.2482</v>
      </c>
      <c r="E17" s="425">
        <v>0.29820000000000002</v>
      </c>
      <c r="F17" s="428">
        <v>0.18</v>
      </c>
      <c r="H17" t="s">
        <v>961</v>
      </c>
      <c r="I17" s="262">
        <f t="shared" si="0"/>
        <v>0.05</v>
      </c>
    </row>
    <row r="18" spans="1:9">
      <c r="A18" s="422" t="s">
        <v>962</v>
      </c>
      <c r="B18" s="423" t="s">
        <v>963</v>
      </c>
      <c r="C18" s="424">
        <v>6.4000000000000003E-3</v>
      </c>
      <c r="D18" s="424">
        <v>9.1000000000000004E-3</v>
      </c>
      <c r="E18" s="425">
        <v>5.91E-2</v>
      </c>
      <c r="F18" s="424">
        <v>0.25</v>
      </c>
      <c r="H18" t="s">
        <v>964</v>
      </c>
      <c r="I18" s="262">
        <f t="shared" si="0"/>
        <v>0.05</v>
      </c>
    </row>
    <row r="19" spans="1:9">
      <c r="A19" s="422" t="s">
        <v>965</v>
      </c>
      <c r="B19" s="423" t="s">
        <v>966</v>
      </c>
      <c r="C19" s="424">
        <v>9.6299999999999997E-2</v>
      </c>
      <c r="D19" s="424">
        <v>0.1366</v>
      </c>
      <c r="E19" s="425">
        <v>0.18659999999999999</v>
      </c>
      <c r="F19" s="424">
        <v>0.27179999999999999</v>
      </c>
      <c r="H19" t="s">
        <v>962</v>
      </c>
      <c r="I19" s="262">
        <f t="shared" si="0"/>
        <v>5.91E-2</v>
      </c>
    </row>
    <row r="20" spans="1:9">
      <c r="A20" s="422" t="s">
        <v>967</v>
      </c>
      <c r="B20" s="423" t="s">
        <v>920</v>
      </c>
      <c r="C20" s="424">
        <v>4.82E-2</v>
      </c>
      <c r="D20" s="424">
        <v>6.83E-2</v>
      </c>
      <c r="E20" s="425">
        <v>0.1183</v>
      </c>
      <c r="F20" s="424">
        <v>0.3</v>
      </c>
      <c r="H20" t="s">
        <v>968</v>
      </c>
      <c r="I20" s="262">
        <f t="shared" si="0"/>
        <v>0.05</v>
      </c>
    </row>
    <row r="21" spans="1:9">
      <c r="A21" s="422" t="s">
        <v>969</v>
      </c>
      <c r="B21" s="423" t="s">
        <v>970</v>
      </c>
      <c r="C21" s="424">
        <v>9.1000000000000004E-3</v>
      </c>
      <c r="D21" s="424">
        <v>1.2800000000000001E-2</v>
      </c>
      <c r="E21" s="425">
        <v>6.2799999999999995E-2</v>
      </c>
      <c r="F21" s="424">
        <v>0</v>
      </c>
      <c r="H21" t="s">
        <v>971</v>
      </c>
      <c r="I21" s="262">
        <f t="shared" ref="I21:I29" si="1">_xlfn.XLOOKUP(H21,$A$2:$A$178,$E$2:$E$178,"",0)</f>
        <v>8.3299999999999999E-2</v>
      </c>
    </row>
    <row r="22" spans="1:9">
      <c r="A22" s="422" t="s">
        <v>972</v>
      </c>
      <c r="B22" s="423" t="s">
        <v>957</v>
      </c>
      <c r="C22" s="424">
        <v>8.0199999999999994E-2</v>
      </c>
      <c r="D22" s="424">
        <v>0.1138</v>
      </c>
      <c r="E22" s="425">
        <v>0.1638</v>
      </c>
      <c r="F22" s="424">
        <v>0.25</v>
      </c>
      <c r="H22" t="s">
        <v>973</v>
      </c>
      <c r="I22" s="262">
        <f t="shared" si="1"/>
        <v>0.05</v>
      </c>
    </row>
    <row r="23" spans="1:9">
      <c r="A23" s="426" t="s">
        <v>974</v>
      </c>
      <c r="B23" s="427" t="s">
        <v>930</v>
      </c>
      <c r="C23" s="428">
        <v>6.9500000000000006E-2</v>
      </c>
      <c r="D23" s="428">
        <v>9.8599999999999993E-2</v>
      </c>
      <c r="E23" s="425">
        <v>0.14860000000000001</v>
      </c>
      <c r="F23" s="428">
        <v>0.1</v>
      </c>
      <c r="H23" t="s">
        <v>975</v>
      </c>
      <c r="I23" s="262">
        <f t="shared" si="1"/>
        <v>0.05</v>
      </c>
    </row>
    <row r="24" spans="1:9">
      <c r="A24" s="426" t="s">
        <v>976</v>
      </c>
      <c r="B24" s="427" t="s">
        <v>977</v>
      </c>
      <c r="C24" s="428">
        <v>1.2800000000000001E-2</v>
      </c>
      <c r="D24" s="428">
        <v>1.8200000000000001E-2</v>
      </c>
      <c r="E24" s="425">
        <v>6.8199999999999997E-2</v>
      </c>
      <c r="F24" s="428">
        <v>0.22</v>
      </c>
      <c r="H24" t="s">
        <v>978</v>
      </c>
      <c r="I24" s="262">
        <f t="shared" si="1"/>
        <v>5.6099999999999997E-2</v>
      </c>
    </row>
    <row r="25" spans="1:9">
      <c r="A25" s="426" t="s">
        <v>979</v>
      </c>
      <c r="B25" s="427" t="s">
        <v>980</v>
      </c>
      <c r="C25" s="428">
        <v>3.2199999999999999E-2</v>
      </c>
      <c r="D25" s="428">
        <v>4.5699999999999998E-2</v>
      </c>
      <c r="E25" s="425">
        <v>9.5699999999999993E-2</v>
      </c>
      <c r="F25" s="428">
        <v>0.34</v>
      </c>
      <c r="H25" t="s">
        <v>981</v>
      </c>
      <c r="I25" s="262">
        <f t="shared" si="1"/>
        <v>0.05</v>
      </c>
    </row>
    <row r="26" spans="1:9">
      <c r="A26" s="422" t="s">
        <v>982</v>
      </c>
      <c r="B26" s="423" t="s">
        <v>924</v>
      </c>
      <c r="C26" s="424">
        <v>6.4000000000000003E-3</v>
      </c>
      <c r="D26" s="424">
        <v>9.1000000000000004E-3</v>
      </c>
      <c r="E26" s="425">
        <v>5.91E-2</v>
      </c>
      <c r="F26" s="424">
        <v>0.185</v>
      </c>
      <c r="H26" t="s">
        <v>943</v>
      </c>
      <c r="I26" s="262">
        <f t="shared" si="1"/>
        <v>5.6099999999999997E-2</v>
      </c>
    </row>
    <row r="27" spans="1:9">
      <c r="A27" s="422" t="s">
        <v>983</v>
      </c>
      <c r="B27" s="423" t="s">
        <v>984</v>
      </c>
      <c r="C27" s="424">
        <v>1.7100000000000001E-2</v>
      </c>
      <c r="D27" s="424">
        <v>2.4299999999999999E-2</v>
      </c>
      <c r="E27" s="425">
        <v>7.4300000000000005E-2</v>
      </c>
      <c r="F27" s="424">
        <v>0.1</v>
      </c>
      <c r="H27" t="s">
        <v>985</v>
      </c>
      <c r="I27" s="262">
        <f t="shared" si="1"/>
        <v>6.2799999999999995E-2</v>
      </c>
    </row>
    <row r="28" spans="1:9">
      <c r="A28" s="422" t="s">
        <v>986</v>
      </c>
      <c r="B28" s="423" t="s">
        <v>957</v>
      </c>
      <c r="C28" s="424">
        <v>8.0199999999999994E-2</v>
      </c>
      <c r="D28" s="424">
        <v>0.1138</v>
      </c>
      <c r="E28" s="425">
        <v>0.1638</v>
      </c>
      <c r="F28" s="424">
        <v>0.28000000000000003</v>
      </c>
      <c r="H28" s="14" t="s">
        <v>178</v>
      </c>
      <c r="I28" s="579">
        <f t="shared" si="1"/>
        <v>0.05</v>
      </c>
    </row>
    <row r="29" spans="1:9">
      <c r="A29" s="422" t="s">
        <v>987</v>
      </c>
      <c r="B29" s="423" t="s">
        <v>952</v>
      </c>
      <c r="C29" s="424">
        <v>5.8799999999999998E-2</v>
      </c>
      <c r="D29" s="424">
        <v>8.3500000000000005E-2</v>
      </c>
      <c r="E29" s="425">
        <v>0.13350000000000001</v>
      </c>
      <c r="F29" s="424">
        <v>0.2</v>
      </c>
      <c r="H29" s="14" t="s">
        <v>988</v>
      </c>
      <c r="I29" s="579">
        <f t="shared" si="1"/>
        <v>0.05</v>
      </c>
    </row>
    <row r="30" spans="1:9">
      <c r="A30" s="422" t="s">
        <v>989</v>
      </c>
      <c r="B30" s="423" t="s">
        <v>952</v>
      </c>
      <c r="C30" s="424">
        <v>5.8799999999999998E-2</v>
      </c>
      <c r="D30" s="424">
        <v>8.3500000000000005E-2</v>
      </c>
      <c r="E30" s="425">
        <v>0.13350000000000001</v>
      </c>
      <c r="F30" s="424">
        <v>0.33</v>
      </c>
    </row>
    <row r="31" spans="1:9">
      <c r="A31" s="422" t="s">
        <v>990</v>
      </c>
      <c r="B31" s="423" t="s">
        <v>941</v>
      </c>
      <c r="C31" s="424">
        <v>0</v>
      </c>
      <c r="D31" s="424">
        <v>0</v>
      </c>
      <c r="E31" s="425">
        <v>0.05</v>
      </c>
      <c r="F31" s="424">
        <v>0.25</v>
      </c>
    </row>
    <row r="32" spans="1:9">
      <c r="A32" s="422" t="s">
        <v>991</v>
      </c>
      <c r="B32" s="423" t="s">
        <v>930</v>
      </c>
      <c r="C32" s="424">
        <v>6.9500000000000006E-2</v>
      </c>
      <c r="D32" s="424">
        <v>9.8599999999999993E-2</v>
      </c>
      <c r="E32" s="425">
        <v>0.14860000000000001</v>
      </c>
      <c r="F32" s="424">
        <v>0</v>
      </c>
    </row>
    <row r="33" spans="1:6">
      <c r="A33" s="422" t="s">
        <v>992</v>
      </c>
      <c r="B33" s="423" t="s">
        <v>963</v>
      </c>
      <c r="C33" s="424">
        <v>6.4000000000000003E-3</v>
      </c>
      <c r="D33" s="424">
        <v>9.1000000000000004E-3</v>
      </c>
      <c r="E33" s="425">
        <v>5.91E-2</v>
      </c>
      <c r="F33" s="424">
        <v>0</v>
      </c>
    </row>
    <row r="34" spans="1:6">
      <c r="A34" s="422" t="s">
        <v>993</v>
      </c>
      <c r="B34" s="423" t="s">
        <v>970</v>
      </c>
      <c r="C34" s="424">
        <v>9.1000000000000004E-3</v>
      </c>
      <c r="D34" s="424">
        <v>1.2800000000000001E-2</v>
      </c>
      <c r="E34" s="425">
        <v>6.2799999999999995E-2</v>
      </c>
      <c r="F34" s="424">
        <v>0.27</v>
      </c>
    </row>
    <row r="35" spans="1:6">
      <c r="A35" s="422" t="s">
        <v>494</v>
      </c>
      <c r="B35" s="423" t="s">
        <v>994</v>
      </c>
      <c r="C35" s="424">
        <v>7.4999999999999997E-3</v>
      </c>
      <c r="D35" s="424">
        <v>1.0699999999999999E-2</v>
      </c>
      <c r="E35" s="425">
        <v>6.0699999999999997E-2</v>
      </c>
      <c r="F35" s="424">
        <v>0.25</v>
      </c>
    </row>
    <row r="36" spans="1:6">
      <c r="A36" s="422" t="s">
        <v>995</v>
      </c>
      <c r="B36" s="423" t="s">
        <v>927</v>
      </c>
      <c r="C36" s="424">
        <v>2.0400000000000001E-2</v>
      </c>
      <c r="D36" s="424">
        <v>2.8899999999999999E-2</v>
      </c>
      <c r="E36" s="425">
        <v>7.8899999999999998E-2</v>
      </c>
      <c r="F36" s="424">
        <v>0.35</v>
      </c>
    </row>
    <row r="37" spans="1:6">
      <c r="A37" s="422" t="s">
        <v>996</v>
      </c>
      <c r="B37" s="423" t="s">
        <v>930</v>
      </c>
      <c r="C37" s="424">
        <v>6.9500000000000006E-2</v>
      </c>
      <c r="D37" s="424">
        <v>9.8599999999999993E-2</v>
      </c>
      <c r="E37" s="425">
        <v>0.14860000000000001</v>
      </c>
      <c r="F37" s="424">
        <v>0.3</v>
      </c>
    </row>
    <row r="38" spans="1:6">
      <c r="A38" s="422" t="s">
        <v>997</v>
      </c>
      <c r="B38" s="423" t="s">
        <v>966</v>
      </c>
      <c r="C38" s="424">
        <v>9.6299999999999997E-2</v>
      </c>
      <c r="D38" s="424">
        <v>0.1366</v>
      </c>
      <c r="E38" s="425">
        <v>0.18659999999999999</v>
      </c>
      <c r="F38" s="424">
        <v>0.28000000000000003</v>
      </c>
    </row>
    <row r="39" spans="1:6">
      <c r="A39" s="422" t="s">
        <v>998</v>
      </c>
      <c r="B39" s="423" t="s">
        <v>952</v>
      </c>
      <c r="C39" s="424">
        <v>5.8799999999999998E-2</v>
      </c>
      <c r="D39" s="424">
        <v>8.3500000000000005E-2</v>
      </c>
      <c r="E39" s="425">
        <v>0.13350000000000001</v>
      </c>
      <c r="F39" s="424">
        <v>0.2843</v>
      </c>
    </row>
    <row r="40" spans="1:6">
      <c r="A40" s="422" t="s">
        <v>999</v>
      </c>
      <c r="B40" s="423" t="s">
        <v>952</v>
      </c>
      <c r="C40" s="424">
        <v>5.8799999999999998E-2</v>
      </c>
      <c r="D40" s="424">
        <v>8.3500000000000005E-2</v>
      </c>
      <c r="E40" s="425">
        <v>0.13350000000000001</v>
      </c>
      <c r="F40" s="424">
        <v>0.3</v>
      </c>
    </row>
    <row r="41" spans="1:6">
      <c r="A41" s="422" t="s">
        <v>1000</v>
      </c>
      <c r="B41" s="423" t="s">
        <v>936</v>
      </c>
      <c r="C41" s="424">
        <v>3.85E-2</v>
      </c>
      <c r="D41" s="424">
        <v>5.4600000000000003E-2</v>
      </c>
      <c r="E41" s="425">
        <v>0.1046</v>
      </c>
      <c r="F41" s="424">
        <v>0.25</v>
      </c>
    </row>
    <row r="42" spans="1:6">
      <c r="A42" s="422" t="s">
        <v>1001</v>
      </c>
      <c r="B42" s="423" t="s">
        <v>927</v>
      </c>
      <c r="C42" s="424">
        <v>2.0400000000000001E-2</v>
      </c>
      <c r="D42" s="424">
        <v>2.8899999999999999E-2</v>
      </c>
      <c r="E42" s="425">
        <v>7.8899999999999998E-2</v>
      </c>
      <c r="F42" s="424">
        <v>0.18</v>
      </c>
    </row>
    <row r="43" spans="1:6">
      <c r="A43" s="422" t="s">
        <v>1002</v>
      </c>
      <c r="B43" s="423" t="s">
        <v>933</v>
      </c>
      <c r="C43" s="424">
        <v>0.12839999999999999</v>
      </c>
      <c r="D43" s="424">
        <v>0.18210000000000001</v>
      </c>
      <c r="E43" s="425">
        <v>0.2321</v>
      </c>
      <c r="F43" s="424">
        <v>0.27179999999999999</v>
      </c>
    </row>
    <row r="44" spans="1:6">
      <c r="A44" s="422" t="s">
        <v>1003</v>
      </c>
      <c r="B44" s="423" t="s">
        <v>927</v>
      </c>
      <c r="C44" s="424">
        <v>2.0400000000000001E-2</v>
      </c>
      <c r="D44" s="424">
        <v>2.8899999999999999E-2</v>
      </c>
      <c r="E44" s="425">
        <v>7.8899999999999998E-2</v>
      </c>
      <c r="F44" s="424">
        <v>0.22</v>
      </c>
    </row>
    <row r="45" spans="1:6">
      <c r="A45" s="422" t="s">
        <v>1004</v>
      </c>
      <c r="B45" s="423" t="s">
        <v>947</v>
      </c>
      <c r="C45" s="424">
        <v>2.6800000000000001E-2</v>
      </c>
      <c r="D45" s="424">
        <v>3.7999999999999999E-2</v>
      </c>
      <c r="E45" s="425">
        <v>8.7999999999999995E-2</v>
      </c>
      <c r="F45" s="424">
        <v>0.125</v>
      </c>
    </row>
    <row r="46" spans="1:6">
      <c r="A46" s="422" t="s">
        <v>1005</v>
      </c>
      <c r="B46" s="423" t="s">
        <v>963</v>
      </c>
      <c r="C46" s="424">
        <v>6.4000000000000003E-3</v>
      </c>
      <c r="D46" s="424">
        <v>9.1000000000000004E-3</v>
      </c>
      <c r="E46" s="425">
        <v>5.91E-2</v>
      </c>
      <c r="F46" s="424">
        <v>0.19</v>
      </c>
    </row>
    <row r="47" spans="1:6">
      <c r="A47" s="422" t="s">
        <v>981</v>
      </c>
      <c r="B47" s="423" t="s">
        <v>941</v>
      </c>
      <c r="C47" s="424">
        <v>0</v>
      </c>
      <c r="D47" s="424">
        <v>0</v>
      </c>
      <c r="E47" s="425">
        <v>0.05</v>
      </c>
      <c r="F47" s="424">
        <v>0.22</v>
      </c>
    </row>
    <row r="48" spans="1:6">
      <c r="A48" s="426" t="s">
        <v>1006</v>
      </c>
      <c r="B48" s="427" t="s">
        <v>936</v>
      </c>
      <c r="C48" s="428">
        <v>3.85E-2</v>
      </c>
      <c r="D48" s="428">
        <v>5.4600000000000003E-2</v>
      </c>
      <c r="E48" s="425">
        <v>0.1046</v>
      </c>
      <c r="F48" s="428">
        <v>0.27</v>
      </c>
    </row>
    <row r="49" spans="1:6">
      <c r="A49" s="422" t="s">
        <v>1007</v>
      </c>
      <c r="B49" s="423" t="s">
        <v>1008</v>
      </c>
      <c r="C49" s="424">
        <v>0.107</v>
      </c>
      <c r="D49" s="424">
        <v>0.15179999999999999</v>
      </c>
      <c r="E49" s="425">
        <v>0.20180000000000001</v>
      </c>
      <c r="F49" s="424">
        <v>0.25</v>
      </c>
    </row>
    <row r="50" spans="1:6">
      <c r="A50" s="422" t="s">
        <v>1009</v>
      </c>
      <c r="B50" s="423" t="s">
        <v>930</v>
      </c>
      <c r="C50" s="424">
        <v>6.9500000000000006E-2</v>
      </c>
      <c r="D50" s="424">
        <v>9.8599999999999993E-2</v>
      </c>
      <c r="E50" s="425">
        <v>0.14860000000000001</v>
      </c>
      <c r="F50" s="424">
        <v>0.22500000000000001</v>
      </c>
    </row>
    <row r="51" spans="1:6">
      <c r="A51" s="422" t="s">
        <v>1010</v>
      </c>
      <c r="B51" s="423" t="s">
        <v>1008</v>
      </c>
      <c r="C51" s="424">
        <v>0.107</v>
      </c>
      <c r="D51" s="424">
        <v>0.15179999999999999</v>
      </c>
      <c r="E51" s="425">
        <v>0.20180000000000001</v>
      </c>
      <c r="F51" s="424">
        <v>0.3</v>
      </c>
    </row>
    <row r="52" spans="1:6">
      <c r="A52" s="422" t="s">
        <v>1011</v>
      </c>
      <c r="B52" s="423" t="s">
        <v>994</v>
      </c>
      <c r="C52" s="424">
        <v>7.4999999999999997E-3</v>
      </c>
      <c r="D52" s="424">
        <v>1.0699999999999999E-2</v>
      </c>
      <c r="E52" s="425">
        <v>6.0699999999999997E-2</v>
      </c>
      <c r="F52" s="424">
        <v>0.2</v>
      </c>
    </row>
    <row r="53" spans="1:6">
      <c r="A53" s="422" t="s">
        <v>1012</v>
      </c>
      <c r="B53" s="423" t="s">
        <v>966</v>
      </c>
      <c r="C53" s="424">
        <v>9.6299999999999997E-2</v>
      </c>
      <c r="D53" s="424">
        <v>0.1366</v>
      </c>
      <c r="E53" s="425">
        <v>0.18659999999999999</v>
      </c>
      <c r="F53" s="424">
        <v>0.3</v>
      </c>
    </row>
    <row r="54" spans="1:6">
      <c r="A54" s="422" t="s">
        <v>1013</v>
      </c>
      <c r="B54" s="423" t="s">
        <v>920</v>
      </c>
      <c r="C54" s="424">
        <v>4.82E-2</v>
      </c>
      <c r="D54" s="424">
        <v>6.83E-2</v>
      </c>
      <c r="E54" s="425">
        <v>0.1183</v>
      </c>
      <c r="F54" s="424">
        <v>0.2</v>
      </c>
    </row>
    <row r="55" spans="1:6">
      <c r="A55" s="422" t="s">
        <v>978</v>
      </c>
      <c r="B55" s="423" t="s">
        <v>944</v>
      </c>
      <c r="C55" s="424">
        <v>4.3E-3</v>
      </c>
      <c r="D55" s="424">
        <v>6.1000000000000004E-3</v>
      </c>
      <c r="E55" s="425">
        <v>5.6099999999999997E-2</v>
      </c>
      <c r="F55" s="424">
        <v>0.2</v>
      </c>
    </row>
    <row r="56" spans="1:6">
      <c r="A56" s="422" t="s">
        <v>958</v>
      </c>
      <c r="B56" s="423" t="s">
        <v>918</v>
      </c>
      <c r="C56" s="424">
        <v>5.3E-3</v>
      </c>
      <c r="D56" s="424">
        <v>7.4999999999999997E-3</v>
      </c>
      <c r="E56" s="425">
        <v>5.7500000000000002E-2</v>
      </c>
      <c r="F56" s="424">
        <v>0.25</v>
      </c>
    </row>
    <row r="57" spans="1:6">
      <c r="A57" s="422" t="s">
        <v>1014</v>
      </c>
      <c r="B57" s="423" t="s">
        <v>957</v>
      </c>
      <c r="C57" s="424">
        <v>8.0199999999999994E-2</v>
      </c>
      <c r="D57" s="424">
        <v>0.1138</v>
      </c>
      <c r="E57" s="425">
        <v>0.1638</v>
      </c>
      <c r="F57" s="424">
        <v>0.3</v>
      </c>
    </row>
    <row r="58" spans="1:6">
      <c r="A58" s="422" t="s">
        <v>1015</v>
      </c>
      <c r="B58" s="423" t="s">
        <v>924</v>
      </c>
      <c r="C58" s="424">
        <v>5.8799999999999998E-2</v>
      </c>
      <c r="D58" s="424">
        <v>8.3500000000000005E-2</v>
      </c>
      <c r="E58" s="425">
        <v>0.13350000000000001</v>
      </c>
      <c r="F58" s="424">
        <v>0.31</v>
      </c>
    </row>
    <row r="59" spans="1:6">
      <c r="A59" s="422" t="s">
        <v>1016</v>
      </c>
      <c r="B59" s="423" t="s">
        <v>980</v>
      </c>
      <c r="C59" s="424">
        <v>3.2199999999999999E-2</v>
      </c>
      <c r="D59" s="424">
        <v>4.5699999999999998E-2</v>
      </c>
      <c r="E59" s="425">
        <v>9.5699999999999993E-2</v>
      </c>
      <c r="F59" s="424">
        <v>0.15</v>
      </c>
    </row>
    <row r="60" spans="1:6">
      <c r="A60" s="422" t="s">
        <v>961</v>
      </c>
      <c r="B60" s="423" t="s">
        <v>941</v>
      </c>
      <c r="C60" s="424">
        <v>0</v>
      </c>
      <c r="D60" s="424">
        <v>0</v>
      </c>
      <c r="E60" s="425">
        <v>0.05</v>
      </c>
      <c r="F60" s="424">
        <v>0.3</v>
      </c>
    </row>
    <row r="61" spans="1:6">
      <c r="A61" s="422" t="s">
        <v>1017</v>
      </c>
      <c r="B61" s="423" t="s">
        <v>933</v>
      </c>
      <c r="C61" s="424">
        <v>0.12839999999999999</v>
      </c>
      <c r="D61" s="424">
        <v>0.18210000000000001</v>
      </c>
      <c r="E61" s="425">
        <v>0.2321</v>
      </c>
      <c r="F61" s="424">
        <v>0.25</v>
      </c>
    </row>
    <row r="62" spans="1:6">
      <c r="A62" s="426" t="s">
        <v>1018</v>
      </c>
      <c r="B62" s="427" t="s">
        <v>936</v>
      </c>
      <c r="C62" s="428">
        <v>3.85E-2</v>
      </c>
      <c r="D62" s="428">
        <v>5.4600000000000003E-2</v>
      </c>
      <c r="E62" s="425">
        <v>0.1046</v>
      </c>
      <c r="F62" s="428">
        <v>0.22</v>
      </c>
    </row>
    <row r="63" spans="1:6">
      <c r="A63" s="422" t="s">
        <v>1019</v>
      </c>
      <c r="B63" s="423" t="s">
        <v>947</v>
      </c>
      <c r="C63" s="424">
        <v>2.6800000000000001E-2</v>
      </c>
      <c r="D63" s="424">
        <v>3.7999999999999999E-2</v>
      </c>
      <c r="E63" s="425">
        <v>8.7999999999999995E-2</v>
      </c>
      <c r="F63" s="424">
        <v>0.25</v>
      </c>
    </row>
    <row r="64" spans="1:6">
      <c r="A64" s="422" t="s">
        <v>1020</v>
      </c>
      <c r="B64" s="423" t="s">
        <v>918</v>
      </c>
      <c r="C64" s="424">
        <v>5.3E-3</v>
      </c>
      <c r="D64" s="424">
        <v>7.4999999999999997E-3</v>
      </c>
      <c r="E64" s="425">
        <v>5.7500000000000002E-2</v>
      </c>
      <c r="F64" s="424">
        <v>0</v>
      </c>
    </row>
    <row r="65" spans="1:6">
      <c r="A65" s="422" t="s">
        <v>1021</v>
      </c>
      <c r="B65" s="423" t="s">
        <v>924</v>
      </c>
      <c r="C65" s="424">
        <v>9.6299999999999997E-2</v>
      </c>
      <c r="D65" s="424">
        <v>0.1366</v>
      </c>
      <c r="E65" s="425">
        <v>0.18659999999999999</v>
      </c>
      <c r="F65" s="424">
        <v>0.29149999999999998</v>
      </c>
    </row>
    <row r="66" spans="1:6">
      <c r="A66" s="422" t="s">
        <v>1022</v>
      </c>
      <c r="B66" s="423" t="s">
        <v>924</v>
      </c>
      <c r="C66" s="424">
        <v>5.8799999999999998E-2</v>
      </c>
      <c r="D66" s="424">
        <v>8.3500000000000005E-2</v>
      </c>
      <c r="E66" s="425">
        <v>0.13350000000000001</v>
      </c>
      <c r="F66" s="424">
        <v>0.29149999999999998</v>
      </c>
    </row>
    <row r="67" spans="1:6">
      <c r="A67" s="422" t="s">
        <v>1023</v>
      </c>
      <c r="B67" s="423" t="s">
        <v>924</v>
      </c>
      <c r="C67" s="424">
        <v>1.7100000000000001E-2</v>
      </c>
      <c r="D67" s="424">
        <v>2.4299999999999999E-2</v>
      </c>
      <c r="E67" s="425">
        <v>7.4300000000000005E-2</v>
      </c>
      <c r="F67" s="424">
        <v>0.18640000000000001</v>
      </c>
    </row>
    <row r="68" spans="1:6">
      <c r="A68" s="422" t="s">
        <v>1024</v>
      </c>
      <c r="B68" s="423" t="s">
        <v>924</v>
      </c>
      <c r="C68" s="424">
        <v>0.12839999999999999</v>
      </c>
      <c r="D68" s="424">
        <v>0.18210000000000001</v>
      </c>
      <c r="E68" s="425">
        <v>0.2321</v>
      </c>
      <c r="F68" s="424">
        <v>0.18640000000000001</v>
      </c>
    </row>
    <row r="69" spans="1:6">
      <c r="A69" s="422" t="s">
        <v>1025</v>
      </c>
      <c r="B69" s="423" t="s">
        <v>920</v>
      </c>
      <c r="C69" s="424">
        <v>4.82E-2</v>
      </c>
      <c r="D69" s="424">
        <v>6.83E-2</v>
      </c>
      <c r="E69" s="425">
        <v>0.1183</v>
      </c>
      <c r="F69" s="424">
        <v>0.25</v>
      </c>
    </row>
    <row r="70" spans="1:6">
      <c r="A70" s="422" t="s">
        <v>1026</v>
      </c>
      <c r="B70" s="423" t="s">
        <v>963</v>
      </c>
      <c r="C70" s="424">
        <v>6.4000000000000003E-3</v>
      </c>
      <c r="D70" s="424">
        <v>9.1000000000000004E-3</v>
      </c>
      <c r="E70" s="425">
        <v>5.91E-2</v>
      </c>
      <c r="F70" s="424">
        <v>0.16500000000000001</v>
      </c>
    </row>
    <row r="71" spans="1:6">
      <c r="A71" s="426" t="s">
        <v>1027</v>
      </c>
      <c r="B71" s="427" t="s">
        <v>927</v>
      </c>
      <c r="C71" s="428">
        <v>2.0400000000000001E-2</v>
      </c>
      <c r="D71" s="428">
        <v>2.8899999999999999E-2</v>
      </c>
      <c r="E71" s="425">
        <v>7.8899999999999998E-2</v>
      </c>
      <c r="F71" s="428">
        <v>0.09</v>
      </c>
    </row>
    <row r="72" spans="1:6">
      <c r="A72" s="422" t="s">
        <v>1028</v>
      </c>
      <c r="B72" s="423" t="s">
        <v>970</v>
      </c>
      <c r="C72" s="424">
        <v>9.1000000000000004E-3</v>
      </c>
      <c r="D72" s="424">
        <v>1.2800000000000001E-2</v>
      </c>
      <c r="E72" s="425">
        <v>6.2799999999999995E-2</v>
      </c>
      <c r="F72" s="424">
        <v>0.2</v>
      </c>
    </row>
    <row r="73" spans="1:6">
      <c r="A73" s="422" t="s">
        <v>925</v>
      </c>
      <c r="B73" s="423" t="s">
        <v>1029</v>
      </c>
      <c r="C73" s="424">
        <v>2.35E-2</v>
      </c>
      <c r="D73" s="424">
        <v>3.3300000000000003E-2</v>
      </c>
      <c r="E73" s="425">
        <v>8.3299999999999999E-2</v>
      </c>
      <c r="F73" s="424">
        <v>0.3</v>
      </c>
    </row>
    <row r="74" spans="1:6">
      <c r="A74" s="422" t="s">
        <v>1030</v>
      </c>
      <c r="B74" s="423" t="s">
        <v>927</v>
      </c>
      <c r="C74" s="424">
        <v>2.0400000000000001E-2</v>
      </c>
      <c r="D74" s="424">
        <v>2.8899999999999999E-2</v>
      </c>
      <c r="E74" s="425">
        <v>7.8899999999999998E-2</v>
      </c>
      <c r="F74" s="424">
        <v>0.22</v>
      </c>
    </row>
    <row r="75" spans="1:6">
      <c r="A75" s="422" t="s">
        <v>1031</v>
      </c>
      <c r="B75" s="423" t="s">
        <v>924</v>
      </c>
      <c r="C75" s="424">
        <v>6.9500000000000006E-2</v>
      </c>
      <c r="D75" s="424">
        <v>9.8599999999999993E-2</v>
      </c>
      <c r="E75" s="425">
        <v>0.14860000000000001</v>
      </c>
      <c r="F75" s="424">
        <v>0.20230000000000001</v>
      </c>
    </row>
    <row r="76" spans="1:6">
      <c r="A76" s="422" t="s">
        <v>1032</v>
      </c>
      <c r="B76" s="423" t="s">
        <v>957</v>
      </c>
      <c r="C76" s="424">
        <v>8.0199999999999994E-2</v>
      </c>
      <c r="D76" s="424">
        <v>0.1138</v>
      </c>
      <c r="E76" s="425">
        <v>0.1638</v>
      </c>
      <c r="F76" s="424">
        <v>0.15</v>
      </c>
    </row>
    <row r="77" spans="1:6">
      <c r="A77" s="422" t="s">
        <v>1033</v>
      </c>
      <c r="B77" s="423" t="s">
        <v>963</v>
      </c>
      <c r="C77" s="424">
        <v>6.4000000000000003E-3</v>
      </c>
      <c r="D77" s="424">
        <v>9.1000000000000004E-3</v>
      </c>
      <c r="E77" s="425">
        <v>5.91E-2</v>
      </c>
      <c r="F77" s="424">
        <v>0.125</v>
      </c>
    </row>
    <row r="78" spans="1:6">
      <c r="A78" s="422" t="s">
        <v>1034</v>
      </c>
      <c r="B78" s="423" t="s">
        <v>963</v>
      </c>
      <c r="C78" s="424">
        <v>6.4000000000000003E-3</v>
      </c>
      <c r="D78" s="424">
        <v>9.1000000000000004E-3</v>
      </c>
      <c r="E78" s="425">
        <v>5.91E-2</v>
      </c>
      <c r="F78" s="424">
        <v>0</v>
      </c>
    </row>
    <row r="79" spans="1:6">
      <c r="A79" s="422" t="s">
        <v>1035</v>
      </c>
      <c r="B79" s="423" t="s">
        <v>994</v>
      </c>
      <c r="C79" s="424">
        <v>7.4999999999999997E-3</v>
      </c>
      <c r="D79" s="424">
        <v>1.0699999999999999E-2</v>
      </c>
      <c r="E79" s="425">
        <v>6.0699999999999997E-2</v>
      </c>
      <c r="F79" s="424">
        <v>0.23</v>
      </c>
    </row>
    <row r="80" spans="1:6">
      <c r="A80" s="426" t="s">
        <v>971</v>
      </c>
      <c r="B80" s="427" t="s">
        <v>1029</v>
      </c>
      <c r="C80" s="428">
        <v>2.35E-2</v>
      </c>
      <c r="D80" s="428">
        <v>3.3300000000000003E-2</v>
      </c>
      <c r="E80" s="425">
        <v>8.3299999999999999E-2</v>
      </c>
      <c r="F80" s="428">
        <v>0.24</v>
      </c>
    </row>
    <row r="81" spans="1:6">
      <c r="A81" s="426" t="s">
        <v>1036</v>
      </c>
      <c r="B81" s="427" t="s">
        <v>952</v>
      </c>
      <c r="C81" s="428">
        <v>5.8799999999999998E-2</v>
      </c>
      <c r="D81" s="428">
        <v>8.3500000000000005E-2</v>
      </c>
      <c r="E81" s="425">
        <v>0.13350000000000001</v>
      </c>
      <c r="F81" s="428">
        <v>0.25</v>
      </c>
    </row>
    <row r="82" spans="1:6">
      <c r="A82" s="422" t="s">
        <v>1037</v>
      </c>
      <c r="B82" s="423" t="s">
        <v>994</v>
      </c>
      <c r="C82" s="424">
        <v>7.4999999999999997E-3</v>
      </c>
      <c r="D82" s="424">
        <v>1.0699999999999999E-2</v>
      </c>
      <c r="E82" s="425">
        <v>6.0699999999999997E-2</v>
      </c>
      <c r="F82" s="424">
        <v>0.23200000000000001</v>
      </c>
    </row>
    <row r="83" spans="1:6">
      <c r="A83" s="422" t="s">
        <v>1038</v>
      </c>
      <c r="B83" s="423" t="s">
        <v>963</v>
      </c>
      <c r="C83" s="424">
        <v>6.4000000000000003E-3</v>
      </c>
      <c r="D83" s="424">
        <v>9.1000000000000004E-3</v>
      </c>
      <c r="E83" s="425">
        <v>5.91E-2</v>
      </c>
      <c r="F83" s="424">
        <v>0</v>
      </c>
    </row>
    <row r="84" spans="1:6">
      <c r="A84" s="422" t="s">
        <v>1039</v>
      </c>
      <c r="B84" s="423" t="s">
        <v>920</v>
      </c>
      <c r="C84" s="424">
        <v>4.82E-2</v>
      </c>
      <c r="D84" s="424">
        <v>6.83E-2</v>
      </c>
      <c r="E84" s="425">
        <v>0.1183</v>
      </c>
      <c r="F84" s="424">
        <v>0.2</v>
      </c>
    </row>
    <row r="85" spans="1:6">
      <c r="A85" s="426" t="s">
        <v>1040</v>
      </c>
      <c r="B85" s="427" t="s">
        <v>927</v>
      </c>
      <c r="C85" s="428">
        <v>2.0400000000000001E-2</v>
      </c>
      <c r="D85" s="428">
        <v>2.8899999999999999E-2</v>
      </c>
      <c r="E85" s="425">
        <v>7.8899999999999998E-2</v>
      </c>
      <c r="F85" s="428">
        <v>0.2</v>
      </c>
    </row>
    <row r="86" spans="1:6">
      <c r="A86" s="422" t="s">
        <v>1041</v>
      </c>
      <c r="B86" s="423" t="s">
        <v>930</v>
      </c>
      <c r="C86" s="424">
        <v>6.9500000000000006E-2</v>
      </c>
      <c r="D86" s="424">
        <v>9.8599999999999993E-2</v>
      </c>
      <c r="E86" s="425">
        <v>0.14860000000000001</v>
      </c>
      <c r="F86" s="424">
        <v>0.3</v>
      </c>
    </row>
    <row r="87" spans="1:6">
      <c r="A87" s="422" t="s">
        <v>931</v>
      </c>
      <c r="B87" s="423" t="s">
        <v>918</v>
      </c>
      <c r="C87" s="424">
        <v>5.3E-3</v>
      </c>
      <c r="D87" s="424">
        <v>7.4999999999999997E-3</v>
      </c>
      <c r="E87" s="425">
        <v>5.7500000000000002E-2</v>
      </c>
      <c r="F87" s="424">
        <v>0.25</v>
      </c>
    </row>
    <row r="88" spans="1:6">
      <c r="A88" s="422" t="s">
        <v>1042</v>
      </c>
      <c r="B88" s="423" t="s">
        <v>924</v>
      </c>
      <c r="C88" s="424">
        <v>0.12839999999999999</v>
      </c>
      <c r="D88" s="424">
        <v>0.18210000000000001</v>
      </c>
      <c r="E88" s="425">
        <v>0.2321</v>
      </c>
      <c r="F88" s="424">
        <v>0.23100000000000001</v>
      </c>
    </row>
    <row r="89" spans="1:6">
      <c r="A89" s="422" t="s">
        <v>1043</v>
      </c>
      <c r="B89" s="423" t="s">
        <v>994</v>
      </c>
      <c r="C89" s="424">
        <v>7.4999999999999997E-3</v>
      </c>
      <c r="D89" s="424">
        <v>1.0699999999999999E-2</v>
      </c>
      <c r="E89" s="425">
        <v>6.0699999999999997E-2</v>
      </c>
      <c r="F89" s="424">
        <v>0.15</v>
      </c>
    </row>
    <row r="90" spans="1:6">
      <c r="A90" s="422" t="s">
        <v>1044</v>
      </c>
      <c r="B90" s="423" t="s">
        <v>930</v>
      </c>
      <c r="C90" s="424">
        <v>6.9500000000000006E-2</v>
      </c>
      <c r="D90" s="424">
        <v>9.8599999999999993E-2</v>
      </c>
      <c r="E90" s="425">
        <v>0.14860000000000001</v>
      </c>
      <c r="F90" s="424">
        <v>0.1</v>
      </c>
    </row>
    <row r="91" spans="1:6">
      <c r="A91" s="422" t="s">
        <v>1045</v>
      </c>
      <c r="B91" s="423" t="s">
        <v>1008</v>
      </c>
      <c r="C91" s="424">
        <v>0.107</v>
      </c>
      <c r="D91" s="424">
        <v>0.15179999999999999</v>
      </c>
      <c r="E91" s="425">
        <v>0.20180000000000001</v>
      </c>
      <c r="F91" s="424">
        <v>0.2281</v>
      </c>
    </row>
    <row r="92" spans="1:6">
      <c r="A92" s="422" t="s">
        <v>1046</v>
      </c>
      <c r="B92" s="423" t="s">
        <v>977</v>
      </c>
      <c r="C92" s="424">
        <v>1.2800000000000001E-2</v>
      </c>
      <c r="D92" s="424">
        <v>1.8200000000000001E-2</v>
      </c>
      <c r="E92" s="425">
        <v>6.8199999999999997E-2</v>
      </c>
      <c r="F92" s="424">
        <v>0.2</v>
      </c>
    </row>
    <row r="93" spans="1:6">
      <c r="A93" s="422" t="s">
        <v>1047</v>
      </c>
      <c r="B93" s="423" t="s">
        <v>960</v>
      </c>
      <c r="C93" s="424">
        <v>0.17499999999999999</v>
      </c>
      <c r="D93" s="424">
        <v>0.2482</v>
      </c>
      <c r="E93" s="425">
        <v>0.29820000000000002</v>
      </c>
      <c r="F93" s="424">
        <v>0.17</v>
      </c>
    </row>
    <row r="94" spans="1:6">
      <c r="A94" s="422" t="s">
        <v>1048</v>
      </c>
      <c r="B94" s="423" t="s">
        <v>924</v>
      </c>
      <c r="C94" s="424">
        <v>0.107</v>
      </c>
      <c r="D94" s="424">
        <v>0.15179999999999999</v>
      </c>
      <c r="E94" s="425">
        <v>0.20180000000000001</v>
      </c>
      <c r="F94" s="424">
        <v>0.29149999999999998</v>
      </c>
    </row>
    <row r="95" spans="1:6">
      <c r="A95" s="422" t="s">
        <v>1049</v>
      </c>
      <c r="B95" s="423" t="s">
        <v>924</v>
      </c>
      <c r="C95" s="424">
        <v>2.0400000000000001E-2</v>
      </c>
      <c r="D95" s="424">
        <v>2.8899999999999999E-2</v>
      </c>
      <c r="E95" s="425">
        <v>7.8899999999999998E-2</v>
      </c>
      <c r="F95" s="424">
        <v>0.2</v>
      </c>
    </row>
    <row r="96" spans="1:6">
      <c r="A96" s="422" t="s">
        <v>1050</v>
      </c>
      <c r="B96" s="423" t="s">
        <v>941</v>
      </c>
      <c r="C96" s="424">
        <v>0</v>
      </c>
      <c r="D96" s="424">
        <v>0</v>
      </c>
      <c r="E96" s="425">
        <v>0.05</v>
      </c>
      <c r="F96" s="424">
        <v>0.125</v>
      </c>
    </row>
    <row r="97" spans="1:6">
      <c r="A97" s="422" t="s">
        <v>1051</v>
      </c>
      <c r="B97" s="423" t="s">
        <v>970</v>
      </c>
      <c r="C97" s="424">
        <v>9.1000000000000004E-3</v>
      </c>
      <c r="D97" s="424">
        <v>1.2800000000000001E-2</v>
      </c>
      <c r="E97" s="425">
        <v>6.2799999999999995E-2</v>
      </c>
      <c r="F97" s="424">
        <v>0.15</v>
      </c>
    </row>
    <row r="98" spans="1:6">
      <c r="A98" s="422" t="s">
        <v>964</v>
      </c>
      <c r="B98" s="423" t="s">
        <v>941</v>
      </c>
      <c r="C98" s="424">
        <v>0</v>
      </c>
      <c r="D98" s="424">
        <v>0</v>
      </c>
      <c r="E98" s="425">
        <v>0.05</v>
      </c>
      <c r="F98" s="424">
        <v>0.24940000000000001</v>
      </c>
    </row>
    <row r="99" spans="1:6">
      <c r="A99" s="422" t="s">
        <v>1052</v>
      </c>
      <c r="B99" s="423" t="s">
        <v>963</v>
      </c>
      <c r="C99" s="424">
        <v>6.4000000000000003E-3</v>
      </c>
      <c r="D99" s="424">
        <v>9.1000000000000004E-3</v>
      </c>
      <c r="E99" s="425">
        <v>5.91E-2</v>
      </c>
      <c r="F99" s="424">
        <v>0.2281</v>
      </c>
    </row>
    <row r="100" spans="1:6">
      <c r="A100" s="422" t="s">
        <v>1053</v>
      </c>
      <c r="B100" s="423" t="s">
        <v>936</v>
      </c>
      <c r="C100" s="424">
        <v>3.85E-2</v>
      </c>
      <c r="D100" s="424">
        <v>5.4600000000000003E-2</v>
      </c>
      <c r="E100" s="425">
        <v>0.1046</v>
      </c>
      <c r="F100" s="424">
        <v>0.1</v>
      </c>
    </row>
    <row r="101" spans="1:6">
      <c r="A101" s="422" t="s">
        <v>1054</v>
      </c>
      <c r="B101" s="423" t="s">
        <v>924</v>
      </c>
      <c r="C101" s="424">
        <v>6.9500000000000006E-2</v>
      </c>
      <c r="D101" s="424">
        <v>9.8599999999999993E-2</v>
      </c>
      <c r="E101" s="425">
        <v>0.14860000000000001</v>
      </c>
      <c r="F101" s="424">
        <v>0.2</v>
      </c>
    </row>
    <row r="102" spans="1:6">
      <c r="A102" s="422" t="s">
        <v>1055</v>
      </c>
      <c r="B102" s="423" t="s">
        <v>924</v>
      </c>
      <c r="C102" s="424">
        <v>0.12839999999999999</v>
      </c>
      <c r="D102" s="424">
        <v>0.18210000000000001</v>
      </c>
      <c r="E102" s="425">
        <v>0.2321</v>
      </c>
      <c r="F102" s="424">
        <v>0.3</v>
      </c>
    </row>
    <row r="103" spans="1:6">
      <c r="A103" s="422" t="s">
        <v>1056</v>
      </c>
      <c r="B103" s="423" t="s">
        <v>977</v>
      </c>
      <c r="C103" s="424">
        <v>1.2800000000000001E-2</v>
      </c>
      <c r="D103" s="424">
        <v>1.8200000000000001E-2</v>
      </c>
      <c r="E103" s="425">
        <v>6.8199999999999997E-2</v>
      </c>
      <c r="F103" s="424">
        <v>0.24</v>
      </c>
    </row>
    <row r="104" spans="1:6">
      <c r="A104" s="422" t="s">
        <v>1057</v>
      </c>
      <c r="B104" s="423" t="s">
        <v>957</v>
      </c>
      <c r="C104" s="424">
        <v>8.0199999999999994E-2</v>
      </c>
      <c r="D104" s="424">
        <v>0.1138</v>
      </c>
      <c r="E104" s="425">
        <v>0.1638</v>
      </c>
      <c r="F104" s="424">
        <v>0.2281</v>
      </c>
    </row>
    <row r="105" spans="1:6">
      <c r="A105" s="422" t="s">
        <v>1058</v>
      </c>
      <c r="B105" s="423" t="s">
        <v>966</v>
      </c>
      <c r="C105" s="424">
        <v>9.6299999999999997E-2</v>
      </c>
      <c r="D105" s="424">
        <v>0.1366</v>
      </c>
      <c r="E105" s="425">
        <v>0.18659999999999999</v>
      </c>
      <c r="F105" s="424">
        <v>0.2281</v>
      </c>
    </row>
    <row r="106" spans="1:6">
      <c r="A106" s="422" t="s">
        <v>1059</v>
      </c>
      <c r="B106" s="423" t="s">
        <v>970</v>
      </c>
      <c r="C106" s="424">
        <v>9.1000000000000004E-3</v>
      </c>
      <c r="D106" s="424">
        <v>1.2800000000000001E-2</v>
      </c>
      <c r="E106" s="425">
        <v>6.2799999999999995E-2</v>
      </c>
      <c r="F106" s="424">
        <v>0.35</v>
      </c>
    </row>
    <row r="107" spans="1:6">
      <c r="A107" s="422" t="s">
        <v>1060</v>
      </c>
      <c r="B107" s="423" t="s">
        <v>1029</v>
      </c>
      <c r="C107" s="424">
        <v>2.35E-2</v>
      </c>
      <c r="D107" s="424">
        <v>3.3300000000000003E-2</v>
      </c>
      <c r="E107" s="425">
        <v>8.3299999999999999E-2</v>
      </c>
      <c r="F107" s="424">
        <v>0.15</v>
      </c>
    </row>
    <row r="108" spans="1:6">
      <c r="A108" s="422" t="s">
        <v>1061</v>
      </c>
      <c r="B108" s="423" t="s">
        <v>927</v>
      </c>
      <c r="C108" s="424">
        <v>2.0400000000000001E-2</v>
      </c>
      <c r="D108" s="424">
        <v>2.8899999999999999E-2</v>
      </c>
      <c r="E108" s="425">
        <v>7.8899999999999998E-2</v>
      </c>
      <c r="F108" s="424">
        <v>0.3</v>
      </c>
    </row>
    <row r="109" spans="1:6">
      <c r="A109" s="422" t="s">
        <v>1062</v>
      </c>
      <c r="B109" s="423" t="s">
        <v>930</v>
      </c>
      <c r="C109" s="424">
        <v>6.9500000000000006E-2</v>
      </c>
      <c r="D109" s="424">
        <v>9.8599999999999993E-2</v>
      </c>
      <c r="E109" s="425">
        <v>0.14860000000000001</v>
      </c>
      <c r="F109" s="424">
        <v>0.12</v>
      </c>
    </row>
    <row r="110" spans="1:6">
      <c r="A110" s="422" t="s">
        <v>1063</v>
      </c>
      <c r="B110" s="423" t="s">
        <v>930</v>
      </c>
      <c r="C110" s="424">
        <v>6.9500000000000006E-2</v>
      </c>
      <c r="D110" s="424">
        <v>9.8599999999999993E-2</v>
      </c>
      <c r="E110" s="425">
        <v>0.14860000000000001</v>
      </c>
      <c r="F110" s="424">
        <v>0.25</v>
      </c>
    </row>
    <row r="111" spans="1:6">
      <c r="A111" s="422" t="s">
        <v>1064</v>
      </c>
      <c r="B111" s="423" t="s">
        <v>920</v>
      </c>
      <c r="C111" s="424">
        <v>4.82E-2</v>
      </c>
      <c r="D111" s="424">
        <v>6.83E-2</v>
      </c>
      <c r="E111" s="425">
        <v>0.1183</v>
      </c>
      <c r="F111" s="424">
        <v>0.15</v>
      </c>
    </row>
    <row r="112" spans="1:6">
      <c r="A112" s="426" t="s">
        <v>1065</v>
      </c>
      <c r="B112" s="427" t="s">
        <v>1029</v>
      </c>
      <c r="C112" s="428">
        <v>2.35E-2</v>
      </c>
      <c r="D112" s="428">
        <v>3.3300000000000003E-2</v>
      </c>
      <c r="E112" s="425">
        <v>8.3299999999999999E-2</v>
      </c>
      <c r="F112" s="428">
        <v>0.27179999999999999</v>
      </c>
    </row>
    <row r="113" spans="1:6">
      <c r="A113" s="422" t="s">
        <v>1066</v>
      </c>
      <c r="B113" s="423" t="s">
        <v>947</v>
      </c>
      <c r="C113" s="424">
        <v>2.6800000000000001E-2</v>
      </c>
      <c r="D113" s="424">
        <v>3.7999999999999999E-2</v>
      </c>
      <c r="E113" s="425">
        <v>8.7999999999999995E-2</v>
      </c>
      <c r="F113" s="424">
        <v>0.31</v>
      </c>
    </row>
    <row r="114" spans="1:6">
      <c r="A114" s="422" t="s">
        <v>1067</v>
      </c>
      <c r="B114" s="423" t="s">
        <v>966</v>
      </c>
      <c r="C114" s="424">
        <v>9.6299999999999997E-2</v>
      </c>
      <c r="D114" s="424">
        <v>0.1366</v>
      </c>
      <c r="E114" s="425">
        <v>0.18659999999999999</v>
      </c>
      <c r="F114" s="424">
        <v>0.32</v>
      </c>
    </row>
    <row r="115" spans="1:6">
      <c r="A115" s="422" t="s">
        <v>1068</v>
      </c>
      <c r="B115" s="423" t="s">
        <v>924</v>
      </c>
      <c r="C115" s="424">
        <v>0.107</v>
      </c>
      <c r="D115" s="424">
        <v>0.15179999999999999</v>
      </c>
      <c r="E115" s="425">
        <v>0.20180000000000001</v>
      </c>
      <c r="F115" s="424">
        <v>0.25</v>
      </c>
    </row>
    <row r="116" spans="1:6">
      <c r="A116" s="422" t="s">
        <v>1069</v>
      </c>
      <c r="B116" s="423" t="s">
        <v>920</v>
      </c>
      <c r="C116" s="424">
        <v>4.82E-2</v>
      </c>
      <c r="D116" s="424">
        <v>6.83E-2</v>
      </c>
      <c r="E116" s="425">
        <v>0.1183</v>
      </c>
      <c r="F116" s="424">
        <v>0.32</v>
      </c>
    </row>
    <row r="117" spans="1:6">
      <c r="A117" s="422" t="s">
        <v>968</v>
      </c>
      <c r="B117" s="423" t="s">
        <v>941</v>
      </c>
      <c r="C117" s="424">
        <v>0</v>
      </c>
      <c r="D117" s="424">
        <v>0</v>
      </c>
      <c r="E117" s="425">
        <v>0.05</v>
      </c>
      <c r="F117" s="424">
        <v>0.25800000000000001</v>
      </c>
    </row>
    <row r="118" spans="1:6">
      <c r="A118" s="422" t="s">
        <v>1070</v>
      </c>
      <c r="B118" s="423" t="s">
        <v>941</v>
      </c>
      <c r="C118" s="424">
        <v>0</v>
      </c>
      <c r="D118" s="424">
        <v>0</v>
      </c>
      <c r="E118" s="425">
        <v>0.05</v>
      </c>
      <c r="F118" s="424">
        <v>0.28000000000000003</v>
      </c>
    </row>
    <row r="119" spans="1:6">
      <c r="A119" s="422" t="s">
        <v>1071</v>
      </c>
      <c r="B119" s="423" t="s">
        <v>930</v>
      </c>
      <c r="C119" s="424">
        <v>6.9500000000000006E-2</v>
      </c>
      <c r="D119" s="424">
        <v>9.8599999999999993E-2</v>
      </c>
      <c r="E119" s="425">
        <v>0.14860000000000001</v>
      </c>
      <c r="F119" s="424">
        <v>0.3</v>
      </c>
    </row>
    <row r="120" spans="1:6">
      <c r="A120" s="422" t="s">
        <v>1072</v>
      </c>
      <c r="B120" s="423" t="s">
        <v>930</v>
      </c>
      <c r="C120" s="424">
        <v>6.9500000000000006E-2</v>
      </c>
      <c r="D120" s="424">
        <v>9.8599999999999993E-2</v>
      </c>
      <c r="E120" s="425">
        <v>0.14860000000000001</v>
      </c>
      <c r="F120" s="424">
        <v>0.2281</v>
      </c>
    </row>
    <row r="121" spans="1:6">
      <c r="A121" s="422" t="s">
        <v>1073</v>
      </c>
      <c r="B121" s="423" t="s">
        <v>957</v>
      </c>
      <c r="C121" s="424">
        <v>8.0199999999999994E-2</v>
      </c>
      <c r="D121" s="424">
        <v>0.1138</v>
      </c>
      <c r="E121" s="425">
        <v>0.1638</v>
      </c>
      <c r="F121" s="424">
        <v>0.3</v>
      </c>
    </row>
    <row r="122" spans="1:6">
      <c r="A122" s="426" t="s">
        <v>973</v>
      </c>
      <c r="B122" s="427" t="s">
        <v>941</v>
      </c>
      <c r="C122" s="428">
        <v>0</v>
      </c>
      <c r="D122" s="428">
        <v>0</v>
      </c>
      <c r="E122" s="425">
        <v>0.05</v>
      </c>
      <c r="F122" s="428">
        <v>0.22</v>
      </c>
    </row>
    <row r="123" spans="1:6">
      <c r="A123" s="422" t="s">
        <v>1074</v>
      </c>
      <c r="B123" s="423" t="s">
        <v>980</v>
      </c>
      <c r="C123" s="424">
        <v>3.2199999999999999E-2</v>
      </c>
      <c r="D123" s="424">
        <v>4.5699999999999998E-2</v>
      </c>
      <c r="E123" s="425">
        <v>9.5699999999999993E-2</v>
      </c>
      <c r="F123" s="424">
        <v>0.15</v>
      </c>
    </row>
    <row r="124" spans="1:6">
      <c r="A124" s="422" t="s">
        <v>1075</v>
      </c>
      <c r="B124" s="423" t="s">
        <v>1008</v>
      </c>
      <c r="C124" s="424">
        <v>0.107</v>
      </c>
      <c r="D124" s="424">
        <v>0.15179999999999999</v>
      </c>
      <c r="E124" s="425">
        <v>0.20180000000000001</v>
      </c>
      <c r="F124" s="424">
        <v>0.28999999999999998</v>
      </c>
    </row>
    <row r="125" spans="1:6">
      <c r="A125" s="422" t="s">
        <v>1076</v>
      </c>
      <c r="B125" s="423" t="s">
        <v>927</v>
      </c>
      <c r="C125" s="424">
        <v>2.0400000000000001E-2</v>
      </c>
      <c r="D125" s="424">
        <v>2.8899999999999999E-2</v>
      </c>
      <c r="E125" s="425">
        <v>7.8899999999999998E-2</v>
      </c>
      <c r="F125" s="424">
        <v>0.25</v>
      </c>
    </row>
    <row r="126" spans="1:6">
      <c r="A126" s="422" t="s">
        <v>1077</v>
      </c>
      <c r="B126" s="423" t="s">
        <v>952</v>
      </c>
      <c r="C126" s="424">
        <v>5.8799999999999998E-2</v>
      </c>
      <c r="D126" s="424">
        <v>8.3500000000000005E-2</v>
      </c>
      <c r="E126" s="425">
        <v>0.13350000000000001</v>
      </c>
      <c r="F126" s="424">
        <v>0.3</v>
      </c>
    </row>
    <row r="127" spans="1:6">
      <c r="A127" s="422" t="s">
        <v>1078</v>
      </c>
      <c r="B127" s="423" t="s">
        <v>947</v>
      </c>
      <c r="C127" s="424">
        <v>2.6800000000000001E-2</v>
      </c>
      <c r="D127" s="424">
        <v>3.7999999999999999E-2</v>
      </c>
      <c r="E127" s="425">
        <v>8.7999999999999995E-2</v>
      </c>
      <c r="F127" s="424">
        <v>0.1</v>
      </c>
    </row>
    <row r="128" spans="1:6">
      <c r="A128" s="422" t="s">
        <v>1079</v>
      </c>
      <c r="B128" s="423" t="s">
        <v>984</v>
      </c>
      <c r="C128" s="424">
        <v>1.7100000000000001E-2</v>
      </c>
      <c r="D128" s="424">
        <v>2.4299999999999999E-2</v>
      </c>
      <c r="E128" s="425">
        <v>7.4300000000000005E-2</v>
      </c>
      <c r="F128" s="424">
        <v>0.29499999999999998</v>
      </c>
    </row>
    <row r="129" spans="1:6">
      <c r="A129" s="422" t="s">
        <v>1080</v>
      </c>
      <c r="B129" s="423" t="s">
        <v>927</v>
      </c>
      <c r="C129" s="424">
        <v>2.0400000000000001E-2</v>
      </c>
      <c r="D129" s="424">
        <v>2.8899999999999999E-2</v>
      </c>
      <c r="E129" s="425">
        <v>7.8899999999999998E-2</v>
      </c>
      <c r="F129" s="424">
        <v>0.25</v>
      </c>
    </row>
    <row r="130" spans="1:6">
      <c r="A130" s="422" t="s">
        <v>985</v>
      </c>
      <c r="B130" s="423" t="s">
        <v>970</v>
      </c>
      <c r="C130" s="424">
        <v>9.1000000000000004E-3</v>
      </c>
      <c r="D130" s="424">
        <v>1.2800000000000001E-2</v>
      </c>
      <c r="E130" s="425">
        <v>6.2799999999999995E-2</v>
      </c>
      <c r="F130" s="424">
        <v>0.19</v>
      </c>
    </row>
    <row r="131" spans="1:6">
      <c r="A131" s="422" t="s">
        <v>1081</v>
      </c>
      <c r="B131" s="423" t="s">
        <v>927</v>
      </c>
      <c r="C131" s="424">
        <v>2.0400000000000001E-2</v>
      </c>
      <c r="D131" s="424">
        <v>2.8899999999999999E-2</v>
      </c>
      <c r="E131" s="425">
        <v>7.8899999999999998E-2</v>
      </c>
      <c r="F131" s="424">
        <v>0.21</v>
      </c>
    </row>
    <row r="132" spans="1:6">
      <c r="A132" s="422" t="s">
        <v>1082</v>
      </c>
      <c r="B132" s="423" t="s">
        <v>963</v>
      </c>
      <c r="C132" s="424">
        <v>6.4000000000000003E-3</v>
      </c>
      <c r="D132" s="424">
        <v>9.1000000000000004E-3</v>
      </c>
      <c r="E132" s="425">
        <v>5.91E-2</v>
      </c>
      <c r="F132" s="424">
        <v>0.1</v>
      </c>
    </row>
    <row r="133" spans="1:6">
      <c r="A133" s="422" t="s">
        <v>1083</v>
      </c>
      <c r="B133" s="423" t="s">
        <v>977</v>
      </c>
      <c r="C133" s="424">
        <v>1.2800000000000001E-2</v>
      </c>
      <c r="D133" s="424">
        <v>1.8200000000000001E-2</v>
      </c>
      <c r="E133" s="425">
        <v>6.8199999999999997E-2</v>
      </c>
      <c r="F133" s="424">
        <v>0</v>
      </c>
    </row>
    <row r="134" spans="1:6">
      <c r="A134" s="422" t="s">
        <v>1084</v>
      </c>
      <c r="B134" s="423" t="s">
        <v>1029</v>
      </c>
      <c r="C134" s="424">
        <v>2.35E-2</v>
      </c>
      <c r="D134" s="424">
        <v>3.3300000000000003E-2</v>
      </c>
      <c r="E134" s="425">
        <v>8.3299999999999999E-2</v>
      </c>
      <c r="F134" s="424">
        <v>0.16</v>
      </c>
    </row>
    <row r="135" spans="1:6">
      <c r="A135" s="422" t="s">
        <v>1085</v>
      </c>
      <c r="B135" s="423" t="s">
        <v>933</v>
      </c>
      <c r="C135" s="424">
        <v>0.12839999999999999</v>
      </c>
      <c r="D135" s="424">
        <v>0.18210000000000001</v>
      </c>
      <c r="E135" s="425">
        <v>0.2321</v>
      </c>
      <c r="F135" s="424">
        <v>0.2</v>
      </c>
    </row>
    <row r="136" spans="1:6">
      <c r="A136" s="422" t="s">
        <v>1086</v>
      </c>
      <c r="B136" s="423" t="s">
        <v>952</v>
      </c>
      <c r="C136" s="424">
        <v>5.8799999999999998E-2</v>
      </c>
      <c r="D136" s="424">
        <v>8.3500000000000005E-2</v>
      </c>
      <c r="E136" s="425">
        <v>0.13350000000000001</v>
      </c>
      <c r="F136" s="424">
        <v>0.3</v>
      </c>
    </row>
    <row r="137" spans="1:6">
      <c r="A137" s="422" t="s">
        <v>1087</v>
      </c>
      <c r="B137" s="423" t="s">
        <v>994</v>
      </c>
      <c r="C137" s="424">
        <v>7.4999999999999997E-3</v>
      </c>
      <c r="D137" s="424">
        <v>1.0699999999999999E-2</v>
      </c>
      <c r="E137" s="425">
        <v>6.0699999999999997E-2</v>
      </c>
      <c r="F137" s="424">
        <v>0.2</v>
      </c>
    </row>
    <row r="138" spans="1:6">
      <c r="A138" s="422" t="s">
        <v>1088</v>
      </c>
      <c r="B138" s="423" t="s">
        <v>936</v>
      </c>
      <c r="C138" s="424">
        <v>3.85E-2</v>
      </c>
      <c r="D138" s="424">
        <v>5.4600000000000003E-2</v>
      </c>
      <c r="E138" s="425">
        <v>0.1046</v>
      </c>
      <c r="F138" s="424">
        <v>0.3</v>
      </c>
    </row>
    <row r="139" spans="1:6">
      <c r="A139" s="422" t="s">
        <v>1089</v>
      </c>
      <c r="B139" s="423" t="s">
        <v>980</v>
      </c>
      <c r="C139" s="424">
        <v>3.2199999999999999E-2</v>
      </c>
      <c r="D139" s="424">
        <v>4.5699999999999998E-2</v>
      </c>
      <c r="E139" s="425">
        <v>9.5699999999999993E-2</v>
      </c>
      <c r="F139" s="424">
        <v>0.15</v>
      </c>
    </row>
    <row r="140" spans="1:6">
      <c r="A140" s="422" t="s">
        <v>1090</v>
      </c>
      <c r="B140" s="423" t="s">
        <v>947</v>
      </c>
      <c r="C140" s="424">
        <v>2.6800000000000001E-2</v>
      </c>
      <c r="D140" s="424">
        <v>3.7999999999999999E-2</v>
      </c>
      <c r="E140" s="425">
        <v>8.7999999999999995E-2</v>
      </c>
      <c r="F140" s="424">
        <v>0</v>
      </c>
    </row>
    <row r="141" spans="1:6">
      <c r="A141" s="422" t="s">
        <v>1091</v>
      </c>
      <c r="B141" s="423" t="s">
        <v>924</v>
      </c>
      <c r="C141" s="424">
        <v>0.12839999999999999</v>
      </c>
      <c r="D141" s="424">
        <v>0.18210000000000001</v>
      </c>
      <c r="E141" s="425">
        <v>0.2321</v>
      </c>
      <c r="F141" s="424">
        <v>0.3</v>
      </c>
    </row>
    <row r="142" spans="1:6">
      <c r="A142" s="422" t="s">
        <v>1092</v>
      </c>
      <c r="B142" s="423" t="s">
        <v>941</v>
      </c>
      <c r="C142" s="424">
        <v>0</v>
      </c>
      <c r="D142" s="424">
        <v>0</v>
      </c>
      <c r="E142" s="425">
        <v>0.05</v>
      </c>
      <c r="F142" s="424">
        <v>0.17</v>
      </c>
    </row>
    <row r="143" spans="1:6">
      <c r="A143" s="422" t="s">
        <v>1093</v>
      </c>
      <c r="B143" s="423" t="s">
        <v>970</v>
      </c>
      <c r="C143" s="424">
        <v>9.1000000000000004E-3</v>
      </c>
      <c r="D143" s="424">
        <v>1.2800000000000001E-2</v>
      </c>
      <c r="E143" s="425">
        <v>6.2799999999999995E-2</v>
      </c>
      <c r="F143" s="424">
        <v>0.21</v>
      </c>
    </row>
    <row r="144" spans="1:6">
      <c r="A144" s="422" t="s">
        <v>1094</v>
      </c>
      <c r="B144" s="423" t="s">
        <v>977</v>
      </c>
      <c r="C144" s="424">
        <v>1.2800000000000001E-2</v>
      </c>
      <c r="D144" s="424">
        <v>1.8200000000000001E-2</v>
      </c>
      <c r="E144" s="425">
        <v>6.8199999999999997E-2</v>
      </c>
      <c r="F144" s="424">
        <v>0.19</v>
      </c>
    </row>
    <row r="145" spans="1:6">
      <c r="A145" s="422" t="s">
        <v>1095</v>
      </c>
      <c r="B145" s="423" t="s">
        <v>957</v>
      </c>
      <c r="C145" s="424">
        <v>8.0199999999999994E-2</v>
      </c>
      <c r="D145" s="424">
        <v>0.1138</v>
      </c>
      <c r="E145" s="425">
        <v>0.1638</v>
      </c>
      <c r="F145" s="424">
        <v>0.3</v>
      </c>
    </row>
    <row r="146" spans="1:6">
      <c r="A146" s="422" t="s">
        <v>1096</v>
      </c>
      <c r="B146" s="423" t="s">
        <v>924</v>
      </c>
      <c r="C146" s="424">
        <v>0.12839999999999999</v>
      </c>
      <c r="D146" s="424">
        <v>0.18210000000000001</v>
      </c>
      <c r="E146" s="425">
        <v>0.2321</v>
      </c>
      <c r="F146" s="424">
        <v>0.29149999999999998</v>
      </c>
    </row>
    <row r="147" spans="1:6">
      <c r="A147" s="422" t="s">
        <v>1097</v>
      </c>
      <c r="B147" s="423" t="s">
        <v>980</v>
      </c>
      <c r="C147" s="424">
        <v>3.2199999999999999E-2</v>
      </c>
      <c r="D147" s="424">
        <v>4.5699999999999998E-2</v>
      </c>
      <c r="E147" s="425">
        <v>9.5699999999999993E-2</v>
      </c>
      <c r="F147" s="424">
        <v>0.27</v>
      </c>
    </row>
    <row r="148" spans="1:6">
      <c r="A148" s="422" t="s">
        <v>955</v>
      </c>
      <c r="B148" s="423" t="s">
        <v>984</v>
      </c>
      <c r="C148" s="424">
        <v>1.7100000000000001E-2</v>
      </c>
      <c r="D148" s="424">
        <v>2.4299999999999999E-2</v>
      </c>
      <c r="E148" s="425">
        <v>7.4300000000000005E-2</v>
      </c>
      <c r="F148" s="424">
        <v>0.25</v>
      </c>
    </row>
    <row r="149" spans="1:6">
      <c r="A149" s="422" t="s">
        <v>1098</v>
      </c>
      <c r="B149" s="423" t="s">
        <v>933</v>
      </c>
      <c r="C149" s="424">
        <v>0.12839999999999999</v>
      </c>
      <c r="D149" s="424">
        <v>0.18210000000000001</v>
      </c>
      <c r="E149" s="425">
        <v>0.2321</v>
      </c>
      <c r="F149" s="424">
        <v>0.24</v>
      </c>
    </row>
    <row r="150" spans="1:6">
      <c r="A150" s="426" t="s">
        <v>1099</v>
      </c>
      <c r="B150" s="427" t="s">
        <v>980</v>
      </c>
      <c r="C150" s="428">
        <v>3.2199999999999999E-2</v>
      </c>
      <c r="D150" s="428">
        <v>4.5699999999999998E-2</v>
      </c>
      <c r="E150" s="425">
        <v>9.5699999999999993E-2</v>
      </c>
      <c r="F150" s="428">
        <v>0.27179999999999999</v>
      </c>
    </row>
    <row r="151" spans="1:6">
      <c r="A151" s="422" t="s">
        <v>1100</v>
      </c>
      <c r="B151" s="423" t="s">
        <v>930</v>
      </c>
      <c r="C151" s="424">
        <v>6.9500000000000006E-2</v>
      </c>
      <c r="D151" s="424">
        <v>9.8599999999999993E-2</v>
      </c>
      <c r="E151" s="425">
        <v>0.14860000000000001</v>
      </c>
      <c r="F151" s="424">
        <v>0.27179999999999999</v>
      </c>
    </row>
    <row r="152" spans="1:6">
      <c r="A152" s="422" t="s">
        <v>1101</v>
      </c>
      <c r="B152" s="423" t="s">
        <v>924</v>
      </c>
      <c r="C152" s="424">
        <v>0.17499999999999999</v>
      </c>
      <c r="D152" s="424">
        <v>0.2482</v>
      </c>
      <c r="E152" s="425">
        <v>0.29820000000000002</v>
      </c>
      <c r="F152" s="424">
        <v>0.35</v>
      </c>
    </row>
    <row r="153" spans="1:6">
      <c r="A153" s="426" t="s">
        <v>1102</v>
      </c>
      <c r="B153" s="427" t="s">
        <v>1008</v>
      </c>
      <c r="C153" s="428">
        <v>0.107</v>
      </c>
      <c r="D153" s="428">
        <v>0.15179999999999999</v>
      </c>
      <c r="E153" s="425">
        <v>0.20180000000000001</v>
      </c>
      <c r="F153" s="428">
        <v>0.36</v>
      </c>
    </row>
    <row r="154" spans="1:6">
      <c r="A154" s="426" t="s">
        <v>1103</v>
      </c>
      <c r="B154" s="427" t="s">
        <v>930</v>
      </c>
      <c r="C154" s="428">
        <v>6.9500000000000006E-2</v>
      </c>
      <c r="D154" s="428">
        <v>9.8599999999999993E-2</v>
      </c>
      <c r="E154" s="425">
        <v>0.14860000000000001</v>
      </c>
      <c r="F154" s="428">
        <v>0.27500000000000002</v>
      </c>
    </row>
    <row r="155" spans="1:6">
      <c r="A155" s="422" t="s">
        <v>975</v>
      </c>
      <c r="B155" s="423" t="s">
        <v>941</v>
      </c>
      <c r="C155" s="424">
        <v>0</v>
      </c>
      <c r="D155" s="424">
        <v>0</v>
      </c>
      <c r="E155" s="425">
        <v>0.05</v>
      </c>
      <c r="F155" s="424">
        <v>0.20599999999999999</v>
      </c>
    </row>
    <row r="156" spans="1:6">
      <c r="A156" s="422" t="s">
        <v>178</v>
      </c>
      <c r="B156" s="423" t="s">
        <v>941</v>
      </c>
      <c r="C156" s="424">
        <v>0</v>
      </c>
      <c r="D156" s="424">
        <v>0</v>
      </c>
      <c r="E156" s="425">
        <v>0.05</v>
      </c>
      <c r="F156" s="424">
        <v>0.18</v>
      </c>
    </row>
    <row r="157" spans="1:6">
      <c r="A157" s="426" t="s">
        <v>1104</v>
      </c>
      <c r="B157" s="427" t="s">
        <v>924</v>
      </c>
      <c r="C157" s="428">
        <v>0.17499999999999999</v>
      </c>
      <c r="D157" s="428">
        <v>0.2482</v>
      </c>
      <c r="E157" s="425">
        <v>0.29820000000000002</v>
      </c>
      <c r="F157" s="428">
        <v>0.28000000000000003</v>
      </c>
    </row>
    <row r="158" spans="1:6">
      <c r="A158" s="422" t="s">
        <v>1105</v>
      </c>
      <c r="B158" s="423" t="s">
        <v>963</v>
      </c>
      <c r="C158" s="424">
        <v>6.4000000000000003E-3</v>
      </c>
      <c r="D158" s="424">
        <v>9.1000000000000004E-3</v>
      </c>
      <c r="E158" s="425">
        <v>5.91E-2</v>
      </c>
      <c r="F158" s="424">
        <v>0.2</v>
      </c>
    </row>
    <row r="159" spans="1:6">
      <c r="A159" s="426" t="s">
        <v>1106</v>
      </c>
      <c r="B159" s="427" t="s">
        <v>930</v>
      </c>
      <c r="C159" s="428">
        <v>6.9500000000000006E-2</v>
      </c>
      <c r="D159" s="428">
        <v>9.8599999999999993E-2</v>
      </c>
      <c r="E159" s="425">
        <v>0.14860000000000001</v>
      </c>
      <c r="F159" s="428">
        <v>0.18</v>
      </c>
    </row>
    <row r="160" spans="1:6">
      <c r="A160" s="422" t="s">
        <v>1107</v>
      </c>
      <c r="B160" s="423" t="s">
        <v>952</v>
      </c>
      <c r="C160" s="424">
        <v>5.8799999999999998E-2</v>
      </c>
      <c r="D160" s="424">
        <v>8.3500000000000005E-2</v>
      </c>
      <c r="E160" s="425">
        <v>0.13350000000000001</v>
      </c>
      <c r="F160" s="424">
        <v>0.3</v>
      </c>
    </row>
    <row r="161" spans="1:6">
      <c r="A161" s="422" t="s">
        <v>1108</v>
      </c>
      <c r="B161" s="423" t="s">
        <v>984</v>
      </c>
      <c r="C161" s="424">
        <v>1.7100000000000001E-2</v>
      </c>
      <c r="D161" s="424">
        <v>2.4299999999999999E-2</v>
      </c>
      <c r="E161" s="425">
        <v>7.4300000000000005E-2</v>
      </c>
      <c r="F161" s="424">
        <v>0.2</v>
      </c>
    </row>
    <row r="162" spans="1:6">
      <c r="A162" s="422" t="s">
        <v>1109</v>
      </c>
      <c r="B162" s="423" t="s">
        <v>930</v>
      </c>
      <c r="C162" s="424">
        <v>6.9500000000000006E-2</v>
      </c>
      <c r="D162" s="424">
        <v>9.8599999999999993E-2</v>
      </c>
      <c r="E162" s="425">
        <v>0.14860000000000001</v>
      </c>
      <c r="F162" s="424">
        <v>0.2281</v>
      </c>
    </row>
    <row r="163" spans="1:6">
      <c r="A163" s="422" t="s">
        <v>1110</v>
      </c>
      <c r="B163" s="423" t="s">
        <v>980</v>
      </c>
      <c r="C163" s="424">
        <v>3.2199999999999999E-2</v>
      </c>
      <c r="D163" s="424">
        <v>4.5699999999999998E-2</v>
      </c>
      <c r="E163" s="425">
        <v>9.5699999999999993E-2</v>
      </c>
      <c r="F163" s="424">
        <v>0.3</v>
      </c>
    </row>
    <row r="164" spans="1:6">
      <c r="A164" s="422" t="s">
        <v>1111</v>
      </c>
      <c r="B164" s="423" t="s">
        <v>966</v>
      </c>
      <c r="C164" s="424">
        <v>9.6299999999999997E-2</v>
      </c>
      <c r="D164" s="424">
        <v>0.1366</v>
      </c>
      <c r="E164" s="425">
        <v>0.18659999999999999</v>
      </c>
      <c r="F164" s="424">
        <v>0.15</v>
      </c>
    </row>
    <row r="165" spans="1:6">
      <c r="A165" s="426" t="s">
        <v>1112</v>
      </c>
      <c r="B165" s="427" t="s">
        <v>930</v>
      </c>
      <c r="C165" s="428">
        <v>6.9500000000000006E-2</v>
      </c>
      <c r="D165" s="428">
        <v>9.8599999999999993E-2</v>
      </c>
      <c r="E165" s="425">
        <v>0.14860000000000001</v>
      </c>
      <c r="F165" s="428">
        <v>0.23</v>
      </c>
    </row>
    <row r="166" spans="1:6">
      <c r="A166" s="422" t="s">
        <v>1113</v>
      </c>
      <c r="B166" s="423" t="s">
        <v>984</v>
      </c>
      <c r="C166" s="424">
        <v>1.7100000000000001E-2</v>
      </c>
      <c r="D166" s="424">
        <v>2.4299999999999999E-2</v>
      </c>
      <c r="E166" s="425">
        <v>7.4300000000000005E-2</v>
      </c>
      <c r="F166" s="424">
        <v>0</v>
      </c>
    </row>
    <row r="167" spans="1:6">
      <c r="A167" s="422" t="s">
        <v>1114</v>
      </c>
      <c r="B167" s="423" t="s">
        <v>952</v>
      </c>
      <c r="C167" s="424">
        <v>5.8799999999999998E-2</v>
      </c>
      <c r="D167" s="424">
        <v>8.3500000000000005E-2</v>
      </c>
      <c r="E167" s="425">
        <v>0.13350000000000001</v>
      </c>
      <c r="F167" s="424">
        <v>0.3</v>
      </c>
    </row>
    <row r="168" spans="1:6">
      <c r="A168" s="422" t="s">
        <v>1115</v>
      </c>
      <c r="B168" s="423" t="s">
        <v>933</v>
      </c>
      <c r="C168" s="424">
        <v>0.12839999999999999</v>
      </c>
      <c r="D168" s="424">
        <v>0.18210000000000001</v>
      </c>
      <c r="E168" s="425">
        <v>0.2321</v>
      </c>
      <c r="F168" s="424">
        <v>0.18</v>
      </c>
    </row>
    <row r="169" spans="1:6">
      <c r="A169" s="422" t="s">
        <v>928</v>
      </c>
      <c r="B169" s="423" t="s">
        <v>918</v>
      </c>
      <c r="C169" s="424">
        <v>5.3E-3</v>
      </c>
      <c r="D169" s="424">
        <v>7.4999999999999997E-3</v>
      </c>
      <c r="E169" s="425">
        <v>5.7500000000000002E-2</v>
      </c>
      <c r="F169" s="424">
        <v>0</v>
      </c>
    </row>
    <row r="170" spans="1:6">
      <c r="A170" s="422" t="s">
        <v>1116</v>
      </c>
      <c r="B170" s="423" t="s">
        <v>963</v>
      </c>
      <c r="C170" s="424">
        <v>6.4000000000000003E-3</v>
      </c>
      <c r="D170" s="424">
        <v>9.1000000000000004E-3</v>
      </c>
      <c r="E170" s="425">
        <v>5.91E-2</v>
      </c>
      <c r="F170" s="424">
        <v>0.25</v>
      </c>
    </row>
    <row r="171" spans="1:6">
      <c r="A171" s="422" t="s">
        <v>988</v>
      </c>
      <c r="B171" s="423" t="s">
        <v>941</v>
      </c>
      <c r="C171" s="424">
        <v>0</v>
      </c>
      <c r="D171" s="424">
        <v>0</v>
      </c>
      <c r="E171" s="425">
        <v>0.05</v>
      </c>
      <c r="F171" s="424">
        <v>0.25</v>
      </c>
    </row>
    <row r="172" spans="1:6">
      <c r="A172" s="422" t="s">
        <v>1117</v>
      </c>
      <c r="B172" s="423" t="s">
        <v>927</v>
      </c>
      <c r="C172" s="424">
        <v>2.0400000000000001E-2</v>
      </c>
      <c r="D172" s="424">
        <v>2.8899999999999999E-2</v>
      </c>
      <c r="E172" s="425">
        <v>7.8899999999999998E-2</v>
      </c>
      <c r="F172" s="424">
        <v>0.25</v>
      </c>
    </row>
    <row r="173" spans="1:6">
      <c r="A173" s="422" t="s">
        <v>1118</v>
      </c>
      <c r="B173" s="423" t="s">
        <v>936</v>
      </c>
      <c r="C173" s="424">
        <v>3.85E-2</v>
      </c>
      <c r="D173" s="424">
        <v>5.4600000000000003E-2</v>
      </c>
      <c r="E173" s="425">
        <v>0.1046</v>
      </c>
      <c r="F173" s="424">
        <v>0.15</v>
      </c>
    </row>
    <row r="174" spans="1:6">
      <c r="A174" s="422" t="s">
        <v>1119</v>
      </c>
      <c r="B174" s="423" t="s">
        <v>960</v>
      </c>
      <c r="C174" s="424">
        <v>0.17499999999999999</v>
      </c>
      <c r="D174" s="424">
        <v>0.2482</v>
      </c>
      <c r="E174" s="425">
        <v>0.29820000000000002</v>
      </c>
      <c r="F174" s="424">
        <v>0.34</v>
      </c>
    </row>
    <row r="175" spans="1:6">
      <c r="A175" s="422" t="s">
        <v>1120</v>
      </c>
      <c r="B175" s="423" t="s">
        <v>980</v>
      </c>
      <c r="C175" s="424">
        <v>3.2199999999999999E-2</v>
      </c>
      <c r="D175" s="424">
        <v>4.5699999999999998E-2</v>
      </c>
      <c r="E175" s="425">
        <v>9.5699999999999993E-2</v>
      </c>
      <c r="F175" s="424">
        <v>0.2</v>
      </c>
    </row>
    <row r="176" spans="1:6">
      <c r="A176" s="422" t="s">
        <v>1121</v>
      </c>
      <c r="B176" s="423" t="s">
        <v>924</v>
      </c>
      <c r="C176" s="424">
        <v>0.107</v>
      </c>
      <c r="D176" s="424">
        <v>0.15179999999999999</v>
      </c>
      <c r="E176" s="425">
        <v>0.20180000000000001</v>
      </c>
      <c r="F176" s="424">
        <v>0.2</v>
      </c>
    </row>
    <row r="177" spans="1:6">
      <c r="A177" s="422" t="s">
        <v>1122</v>
      </c>
      <c r="B177" s="423" t="s">
        <v>933</v>
      </c>
      <c r="C177" s="424">
        <v>0.12839999999999999</v>
      </c>
      <c r="D177" s="424">
        <v>0.18210000000000001</v>
      </c>
      <c r="E177" s="425">
        <v>0.2321</v>
      </c>
      <c r="F177" s="424">
        <v>0.35</v>
      </c>
    </row>
    <row r="178" spans="1:6">
      <c r="A178" s="426" t="s">
        <v>1123</v>
      </c>
      <c r="B178" s="427" t="s">
        <v>924</v>
      </c>
      <c r="C178" s="428">
        <v>8.0199999999999994E-2</v>
      </c>
      <c r="D178" s="428">
        <v>0.1138</v>
      </c>
      <c r="E178" s="425">
        <v>0.1638</v>
      </c>
      <c r="F178" s="428">
        <v>0.25</v>
      </c>
    </row>
  </sheetData>
  <autoFilter ref="A1:F178"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919A5-FF38-465B-BE2C-D4D81A807F52}">
  <dimension ref="A2:AB20"/>
  <sheetViews>
    <sheetView workbookViewId="0">
      <selection activeCell="P22" sqref="P22"/>
    </sheetView>
  </sheetViews>
  <sheetFormatPr defaultRowHeight="12"/>
  <cols>
    <col min="1" max="1" width="18" style="1086" bestFit="1" customWidth="1"/>
    <col min="2" max="13" width="9.140625" style="1086"/>
    <col min="14" max="14" width="7.85546875" style="1086" bestFit="1" customWidth="1"/>
    <col min="15" max="15" width="9.140625" style="1086"/>
    <col min="16" max="16" width="17" style="1086" bestFit="1" customWidth="1"/>
    <col min="17" max="16384" width="9.140625" style="1086"/>
  </cols>
  <sheetData>
    <row r="2" spans="1:28">
      <c r="A2" s="1202" t="s">
        <v>1124</v>
      </c>
      <c r="B2" s="42" t="s">
        <v>1125</v>
      </c>
      <c r="C2" s="42"/>
      <c r="D2" s="42"/>
      <c r="E2" s="42"/>
      <c r="F2" s="42"/>
      <c r="G2" s="42"/>
      <c r="H2" s="42"/>
      <c r="I2" s="42"/>
      <c r="J2" s="42"/>
      <c r="K2" s="42"/>
      <c r="L2" s="42"/>
      <c r="M2" s="42"/>
      <c r="N2" s="42"/>
      <c r="O2" s="42"/>
      <c r="P2" s="42"/>
      <c r="Q2" s="42"/>
      <c r="R2" s="42"/>
      <c r="S2" s="42"/>
      <c r="T2" s="42"/>
      <c r="U2" s="42"/>
      <c r="V2" s="42"/>
      <c r="W2" s="42"/>
      <c r="X2" s="42"/>
      <c r="Y2" s="42"/>
      <c r="Z2" s="42"/>
      <c r="AA2" s="42"/>
      <c r="AB2" s="42"/>
    </row>
    <row r="4" spans="1:28">
      <c r="A4" s="42" t="s">
        <v>1126</v>
      </c>
      <c r="B4" s="1083">
        <v>2022</v>
      </c>
      <c r="C4" s="1084">
        <f>B4-1</f>
        <v>2021</v>
      </c>
      <c r="D4" s="1084">
        <f t="shared" ref="D4:M4" si="0">C4-1</f>
        <v>2020</v>
      </c>
      <c r="E4" s="1084">
        <f t="shared" si="0"/>
        <v>2019</v>
      </c>
      <c r="F4" s="1084">
        <f t="shared" si="0"/>
        <v>2018</v>
      </c>
      <c r="G4" s="1084">
        <f t="shared" si="0"/>
        <v>2017</v>
      </c>
      <c r="H4" s="1084">
        <f t="shared" si="0"/>
        <v>2016</v>
      </c>
      <c r="I4" s="1084">
        <f t="shared" si="0"/>
        <v>2015</v>
      </c>
      <c r="J4" s="1084">
        <f>I4-1</f>
        <v>2014</v>
      </c>
      <c r="K4" s="1084">
        <f t="shared" si="0"/>
        <v>2013</v>
      </c>
      <c r="L4" s="1084">
        <f t="shared" si="0"/>
        <v>2012</v>
      </c>
      <c r="M4" s="1084">
        <f t="shared" si="0"/>
        <v>2011</v>
      </c>
      <c r="N4" s="1203" t="s">
        <v>218</v>
      </c>
      <c r="O4" s="42"/>
      <c r="P4" s="1204" t="s">
        <v>1127</v>
      </c>
      <c r="Q4" s="1083">
        <v>2022</v>
      </c>
      <c r="R4" s="1084">
        <f>Q4-1</f>
        <v>2021</v>
      </c>
      <c r="S4" s="1084">
        <f t="shared" ref="S4" si="1">R4-1</f>
        <v>2020</v>
      </c>
      <c r="T4" s="1084">
        <f t="shared" ref="T4" si="2">S4-1</f>
        <v>2019</v>
      </c>
      <c r="U4" s="1084">
        <f t="shared" ref="U4" si="3">T4-1</f>
        <v>2018</v>
      </c>
      <c r="V4" s="1084">
        <f t="shared" ref="V4" si="4">U4-1</f>
        <v>2017</v>
      </c>
      <c r="W4" s="1084">
        <f t="shared" ref="W4" si="5">V4-1</f>
        <v>2016</v>
      </c>
      <c r="X4" s="1084">
        <f t="shared" ref="X4" si="6">W4-1</f>
        <v>2015</v>
      </c>
      <c r="Y4" s="1084">
        <f>X4-1</f>
        <v>2014</v>
      </c>
      <c r="Z4" s="1084">
        <f t="shared" ref="Z4" si="7">Y4-1</f>
        <v>2013</v>
      </c>
      <c r="AA4" s="1084">
        <f t="shared" ref="AA4" si="8">Z4-1</f>
        <v>2012</v>
      </c>
      <c r="AB4" s="1085">
        <f t="shared" ref="AB4" si="9">AA4-1</f>
        <v>2011</v>
      </c>
    </row>
    <row r="5" spans="1:28" s="42" customFormat="1">
      <c r="A5" s="1096" t="s">
        <v>1128</v>
      </c>
      <c r="B5" s="1087">
        <v>28888</v>
      </c>
      <c r="C5" s="1087">
        <v>28883</v>
      </c>
      <c r="D5" s="1087">
        <v>28873</v>
      </c>
      <c r="E5" s="1087">
        <v>28814</v>
      </c>
      <c r="F5" s="1087">
        <v>29268</v>
      </c>
      <c r="G5" s="1087">
        <v>29567</v>
      </c>
      <c r="H5" s="1087">
        <v>29987</v>
      </c>
      <c r="I5" s="1087">
        <v>30309</v>
      </c>
      <c r="J5" s="1087">
        <v>30321</v>
      </c>
      <c r="K5" s="1087">
        <v>30335</v>
      </c>
      <c r="L5" s="1087">
        <v>30335</v>
      </c>
      <c r="M5" s="1087">
        <v>30335</v>
      </c>
      <c r="N5" s="1160"/>
      <c r="P5" s="1096" t="s">
        <v>1128</v>
      </c>
      <c r="Q5" s="1205">
        <f>B5/$B$11</f>
        <v>0.20124419179780839</v>
      </c>
      <c r="R5" s="1205">
        <f t="shared" ref="R5:AB5" si="10">C5/$B$11</f>
        <v>0.20120936000055731</v>
      </c>
      <c r="S5" s="1205">
        <f t="shared" si="10"/>
        <v>0.20113969640605517</v>
      </c>
      <c r="T5" s="1205">
        <f t="shared" si="10"/>
        <v>0.20072868119849249</v>
      </c>
      <c r="U5" s="1205">
        <f t="shared" si="10"/>
        <v>0.20389140838889006</v>
      </c>
      <c r="V5" s="1205">
        <f t="shared" si="10"/>
        <v>0.2059743498645043</v>
      </c>
      <c r="W5" s="1205">
        <f t="shared" si="10"/>
        <v>0.20890022083359458</v>
      </c>
      <c r="X5" s="1205">
        <f t="shared" si="10"/>
        <v>0.21114338857656378</v>
      </c>
      <c r="Y5" s="1205">
        <f t="shared" si="10"/>
        <v>0.21122698488996636</v>
      </c>
      <c r="Z5" s="1205">
        <f t="shared" si="10"/>
        <v>0.21132451392226936</v>
      </c>
      <c r="AA5" s="1205">
        <f t="shared" si="10"/>
        <v>0.21132451392226936</v>
      </c>
      <c r="AB5" s="1206">
        <f t="shared" si="10"/>
        <v>0.21132451392226936</v>
      </c>
    </row>
    <row r="6" spans="1:28" s="42" customFormat="1">
      <c r="A6" s="1097"/>
      <c r="B6" s="1088">
        <f>IFERROR(B5-C5,"-")</f>
        <v>5</v>
      </c>
      <c r="C6" s="1088">
        <f t="shared" ref="C6:L6" si="11">IFERROR(C5-D5,"-")</f>
        <v>10</v>
      </c>
      <c r="D6" s="1088">
        <f t="shared" si="11"/>
        <v>59</v>
      </c>
      <c r="E6" s="1088">
        <f t="shared" si="11"/>
        <v>-454</v>
      </c>
      <c r="F6" s="1088">
        <f t="shared" si="11"/>
        <v>-299</v>
      </c>
      <c r="G6" s="1088">
        <f t="shared" si="11"/>
        <v>-420</v>
      </c>
      <c r="H6" s="1088">
        <f t="shared" si="11"/>
        <v>-322</v>
      </c>
      <c r="I6" s="1088">
        <f t="shared" si="11"/>
        <v>-12</v>
      </c>
      <c r="J6" s="1088">
        <f t="shared" si="11"/>
        <v>-14</v>
      </c>
      <c r="K6" s="1088">
        <f t="shared" si="11"/>
        <v>0</v>
      </c>
      <c r="L6" s="1088">
        <f t="shared" si="11"/>
        <v>0</v>
      </c>
      <c r="M6" s="1088" t="s">
        <v>69</v>
      </c>
      <c r="N6" s="1161">
        <f t="shared" ref="N6" si="12">AVERAGE(B6:M6)</f>
        <v>-131.54545454545453</v>
      </c>
      <c r="P6" s="1097" t="s">
        <v>1129</v>
      </c>
      <c r="Q6" s="1207">
        <f>B8/$B$11</f>
        <v>0.79875580820219161</v>
      </c>
      <c r="R6" s="1207">
        <f t="shared" ref="R6:AB6" si="13">C8/$B$11</f>
        <v>0.79745309898500139</v>
      </c>
      <c r="S6" s="1207">
        <f t="shared" si="13"/>
        <v>0.79534229207158635</v>
      </c>
      <c r="T6" s="1207">
        <f t="shared" si="13"/>
        <v>0.79018021971897701</v>
      </c>
      <c r="U6" s="1207">
        <f t="shared" si="13"/>
        <v>0.80426619852731163</v>
      </c>
      <c r="V6" s="1207">
        <f t="shared" si="13"/>
        <v>0.8133572976098421</v>
      </c>
      <c r="W6" s="1207">
        <f t="shared" si="13"/>
        <v>0.82671877503535429</v>
      </c>
      <c r="X6" s="1207">
        <f t="shared" si="13"/>
        <v>0.83489728102990657</v>
      </c>
      <c r="Y6" s="1207">
        <f t="shared" si="13"/>
        <v>0.83522469992406667</v>
      </c>
      <c r="Z6" s="1207">
        <f t="shared" si="13"/>
        <v>0.83258444969243528</v>
      </c>
      <c r="AA6" s="1207">
        <f t="shared" si="13"/>
        <v>0.82338885521815153</v>
      </c>
      <c r="AB6" s="1208">
        <f t="shared" si="13"/>
        <v>0.8248169589054456</v>
      </c>
    </row>
    <row r="7" spans="1:28" s="42" customFormat="1">
      <c r="A7" s="1097"/>
      <c r="B7" s="1089">
        <f>IFERROR(B5/C5-1,"-")</f>
        <v>1.731122113353134E-4</v>
      </c>
      <c r="C7" s="1089">
        <f t="shared" ref="C7:L7" si="14">IFERROR(C5/D5-1,"-")</f>
        <v>3.4634433553848432E-4</v>
      </c>
      <c r="D7" s="1089">
        <f t="shared" si="14"/>
        <v>2.0476157423474639E-3</v>
      </c>
      <c r="E7" s="1089">
        <f t="shared" si="14"/>
        <v>-1.5511821784884527E-2</v>
      </c>
      <c r="F7" s="1089">
        <f t="shared" si="14"/>
        <v>-1.0112625562282318E-2</v>
      </c>
      <c r="G7" s="1089">
        <f t="shared" si="14"/>
        <v>-1.4006069296695234E-2</v>
      </c>
      <c r="H7" s="1089">
        <f t="shared" si="14"/>
        <v>-1.0623907090303253E-2</v>
      </c>
      <c r="I7" s="1089">
        <f t="shared" si="14"/>
        <v>-3.9576531117047065E-4</v>
      </c>
      <c r="J7" s="1089">
        <f t="shared" si="14"/>
        <v>-4.6151310367559262E-4</v>
      </c>
      <c r="K7" s="1089">
        <f t="shared" si="14"/>
        <v>0</v>
      </c>
      <c r="L7" s="1089">
        <f t="shared" si="14"/>
        <v>0</v>
      </c>
      <c r="M7" s="1089" t="str">
        <f>IFERROR(M5/O5-1,"-")</f>
        <v>-</v>
      </c>
      <c r="N7" s="1160">
        <f>AVERAGE(B7:M7)</f>
        <v>-4.4131481690718307E-3</v>
      </c>
    </row>
    <row r="8" spans="1:28" s="42" customFormat="1">
      <c r="A8" s="1096" t="s">
        <v>1129</v>
      </c>
      <c r="B8" s="1087">
        <v>114659</v>
      </c>
      <c r="C8" s="1087">
        <v>114472</v>
      </c>
      <c r="D8" s="1087">
        <v>114169</v>
      </c>
      <c r="E8" s="1087">
        <v>113428</v>
      </c>
      <c r="F8" s="1087">
        <v>115450</v>
      </c>
      <c r="G8" s="1087">
        <v>116755</v>
      </c>
      <c r="H8" s="1087">
        <v>118673</v>
      </c>
      <c r="I8" s="1087">
        <v>119847</v>
      </c>
      <c r="J8" s="1087">
        <v>119894</v>
      </c>
      <c r="K8" s="1087">
        <v>119515</v>
      </c>
      <c r="L8" s="1087">
        <v>118195</v>
      </c>
      <c r="M8" s="1087">
        <v>118400</v>
      </c>
      <c r="N8" s="1160"/>
    </row>
    <row r="9" spans="1:28" s="42" customFormat="1">
      <c r="A9" s="1097"/>
      <c r="B9" s="1088">
        <f>IFERROR(B8-C8,"-")</f>
        <v>187</v>
      </c>
      <c r="C9" s="1088">
        <f t="shared" ref="C9" si="15">IFERROR(C8-D8,"-")</f>
        <v>303</v>
      </c>
      <c r="D9" s="1088">
        <f t="shared" ref="D9" si="16">IFERROR(D8-E8,"-")</f>
        <v>741</v>
      </c>
      <c r="E9" s="1088">
        <f t="shared" ref="E9" si="17">IFERROR(E8-F8,"-")</f>
        <v>-2022</v>
      </c>
      <c r="F9" s="1088">
        <f t="shared" ref="F9" si="18">IFERROR(F8-G8,"-")</f>
        <v>-1305</v>
      </c>
      <c r="G9" s="1088">
        <f t="shared" ref="G9" si="19">IFERROR(G8-H8,"-")</f>
        <v>-1918</v>
      </c>
      <c r="H9" s="1088">
        <f t="shared" ref="H9" si="20">IFERROR(H8-I8,"-")</f>
        <v>-1174</v>
      </c>
      <c r="I9" s="1088">
        <f t="shared" ref="I9" si="21">IFERROR(I8-J8,"-")</f>
        <v>-47</v>
      </c>
      <c r="J9" s="1088">
        <f t="shared" ref="J9" si="22">IFERROR(J8-K8,"-")</f>
        <v>379</v>
      </c>
      <c r="K9" s="1088">
        <f t="shared" ref="K9" si="23">IFERROR(K8-L8,"-")</f>
        <v>1320</v>
      </c>
      <c r="L9" s="1088">
        <f t="shared" ref="L9" si="24">IFERROR(L8-M8,"-")</f>
        <v>-205</v>
      </c>
      <c r="M9" s="1088" t="s">
        <v>69</v>
      </c>
      <c r="N9" s="1161">
        <f t="shared" ref="N9:N10" si="25">AVERAGE(B9:M9)</f>
        <v>-340.09090909090907</v>
      </c>
    </row>
    <row r="10" spans="1:28" s="42" customFormat="1">
      <c r="A10" s="1097"/>
      <c r="B10" s="1089">
        <f>IFERROR(B8/C8-1,"-")</f>
        <v>1.6335872527779571E-3</v>
      </c>
      <c r="C10" s="1089">
        <f t="shared" ref="C10" si="26">IFERROR(C8/D8-1,"-")</f>
        <v>2.6539603570145953E-3</v>
      </c>
      <c r="D10" s="1089">
        <f t="shared" ref="D10" si="27">IFERROR(D8/E8-1,"-")</f>
        <v>6.5327785026625396E-3</v>
      </c>
      <c r="E10" s="1089">
        <f t="shared" ref="E10" si="28">IFERROR(E8/F8-1,"-")</f>
        <v>-1.7514075357297543E-2</v>
      </c>
      <c r="F10" s="1089">
        <f t="shared" ref="F10" si="29">IFERROR(F8/G8-1,"-")</f>
        <v>-1.1177251509571273E-2</v>
      </c>
      <c r="G10" s="1089">
        <f t="shared" ref="G10" si="30">IFERROR(G8/H8-1,"-")</f>
        <v>-1.6162058766526544E-2</v>
      </c>
      <c r="H10" s="1089">
        <f t="shared" ref="H10" si="31">IFERROR(H8/I8-1,"-")</f>
        <v>-9.7958230076681252E-3</v>
      </c>
      <c r="I10" s="1089">
        <f t="shared" ref="I10" si="32">IFERROR(I8/J8-1,"-")</f>
        <v>-3.9201294476787218E-4</v>
      </c>
      <c r="J10" s="1089">
        <f t="shared" ref="J10" si="33">IFERROR(J8/K8-1,"-")</f>
        <v>3.1711500648454738E-3</v>
      </c>
      <c r="K10" s="1089">
        <f t="shared" ref="K10" si="34">IFERROR(K8/L8-1,"-")</f>
        <v>1.1167985109353129E-2</v>
      </c>
      <c r="L10" s="1089">
        <f t="shared" ref="L10" si="35">IFERROR(L8/M8-1,"-")</f>
        <v>-1.7314189189189255E-3</v>
      </c>
      <c r="M10" s="1089" t="str">
        <f t="shared" ref="M10" si="36">IFERROR(M8/O8-1,"-")</f>
        <v>-</v>
      </c>
      <c r="N10" s="1160">
        <f t="shared" si="25"/>
        <v>-2.873925383463326E-3</v>
      </c>
    </row>
    <row r="11" spans="1:28" s="42" customFormat="1">
      <c r="A11" s="1098" t="s">
        <v>184</v>
      </c>
      <c r="B11" s="1090">
        <f>B8+B5</f>
        <v>143547</v>
      </c>
      <c r="C11" s="1090">
        <f t="shared" ref="C11:M11" si="37">C8+C5</f>
        <v>143355</v>
      </c>
      <c r="D11" s="1090">
        <f t="shared" si="37"/>
        <v>143042</v>
      </c>
      <c r="E11" s="1090">
        <f t="shared" si="37"/>
        <v>142242</v>
      </c>
      <c r="F11" s="1090">
        <f t="shared" si="37"/>
        <v>144718</v>
      </c>
      <c r="G11" s="1090">
        <f t="shared" si="37"/>
        <v>146322</v>
      </c>
      <c r="H11" s="1090">
        <f t="shared" si="37"/>
        <v>148660</v>
      </c>
      <c r="I11" s="1090">
        <f t="shared" si="37"/>
        <v>150156</v>
      </c>
      <c r="J11" s="1090">
        <f t="shared" si="37"/>
        <v>150215</v>
      </c>
      <c r="K11" s="1090">
        <f t="shared" si="37"/>
        <v>149850</v>
      </c>
      <c r="L11" s="1090">
        <f t="shared" si="37"/>
        <v>148530</v>
      </c>
      <c r="M11" s="1090">
        <f t="shared" si="37"/>
        <v>148735</v>
      </c>
      <c r="N11" s="1162"/>
    </row>
    <row r="13" spans="1:28">
      <c r="A13" s="1202" t="s">
        <v>1130</v>
      </c>
      <c r="B13" s="42" t="s">
        <v>1131</v>
      </c>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row>
    <row r="14" spans="1:28">
      <c r="A14" s="42"/>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row>
    <row r="15" spans="1:28">
      <c r="A15" s="42" t="s">
        <v>1132</v>
      </c>
      <c r="B15" s="1083">
        <v>2022</v>
      </c>
      <c r="C15" s="1084">
        <f>B15-1</f>
        <v>2021</v>
      </c>
      <c r="D15" s="1084">
        <f t="shared" ref="D15" si="38">C15-1</f>
        <v>2020</v>
      </c>
      <c r="E15" s="1084">
        <f t="shared" ref="E15" si="39">D15-1</f>
        <v>2019</v>
      </c>
      <c r="F15" s="1084">
        <f t="shared" ref="F15" si="40">E15-1</f>
        <v>2018</v>
      </c>
      <c r="G15" s="1084">
        <f t="shared" ref="G15" si="41">F15-1</f>
        <v>2017</v>
      </c>
      <c r="H15" s="1084">
        <f t="shared" ref="H15" si="42">G15-1</f>
        <v>2016</v>
      </c>
      <c r="I15" s="1084">
        <f t="shared" ref="I15" si="43">H15-1</f>
        <v>2015</v>
      </c>
      <c r="J15" s="1084">
        <f>I15-1</f>
        <v>2014</v>
      </c>
      <c r="K15" s="1084">
        <f t="shared" ref="K15" si="44">J15-1</f>
        <v>2013</v>
      </c>
      <c r="L15" s="1084">
        <f t="shared" ref="L15" si="45">K15-1</f>
        <v>2012</v>
      </c>
      <c r="M15" s="1084">
        <f t="shared" ref="M15" si="46">L15-1</f>
        <v>2011</v>
      </c>
      <c r="N15" s="1203" t="s">
        <v>218</v>
      </c>
      <c r="O15" s="42"/>
      <c r="P15" s="42"/>
      <c r="Q15" s="42"/>
      <c r="R15" s="42"/>
      <c r="S15" s="42"/>
      <c r="T15" s="42"/>
      <c r="U15" s="42"/>
      <c r="V15" s="42"/>
      <c r="W15" s="42"/>
      <c r="X15" s="42"/>
      <c r="Y15" s="42"/>
      <c r="Z15" s="42"/>
      <c r="AA15" s="42"/>
      <c r="AB15" s="42"/>
    </row>
    <row r="16" spans="1:28">
      <c r="A16" s="1096" t="s">
        <v>1128</v>
      </c>
      <c r="B16" s="1091">
        <v>6</v>
      </c>
      <c r="C16" s="1091">
        <v>5.5</v>
      </c>
      <c r="D16" s="1091">
        <v>3.5</v>
      </c>
      <c r="E16" s="1091">
        <v>5.5</v>
      </c>
      <c r="F16" s="1091">
        <v>8</v>
      </c>
      <c r="G16" s="1091">
        <v>7.5</v>
      </c>
      <c r="H16" s="1091">
        <v>6.75</v>
      </c>
      <c r="I16" s="1091">
        <v>7.5</v>
      </c>
      <c r="J16" s="1091">
        <v>7.5</v>
      </c>
      <c r="K16" s="1091">
        <v>7.5</v>
      </c>
      <c r="L16" s="1091">
        <v>6.75</v>
      </c>
      <c r="M16" s="1091">
        <v>5.75</v>
      </c>
      <c r="N16" s="1160"/>
      <c r="O16" s="42"/>
      <c r="P16" s="42"/>
      <c r="Q16" s="42"/>
      <c r="R16" s="42"/>
      <c r="S16" s="42"/>
      <c r="T16" s="42"/>
      <c r="U16" s="42"/>
      <c r="V16" s="42"/>
      <c r="W16" s="42"/>
      <c r="X16" s="42"/>
      <c r="Y16" s="42"/>
      <c r="Z16" s="42"/>
      <c r="AA16" s="42"/>
      <c r="AB16" s="42"/>
    </row>
    <row r="17" spans="1:28" s="42" customFormat="1">
      <c r="A17" s="1097"/>
      <c r="B17" s="1089">
        <f>IFERROR(B16/C16-1,"-")</f>
        <v>9.0909090909090828E-2</v>
      </c>
      <c r="C17" s="1089">
        <f t="shared" ref="C17" si="47">IFERROR(C16/D16-1,"-")</f>
        <v>0.5714285714285714</v>
      </c>
      <c r="D17" s="1089">
        <f t="shared" ref="D17" si="48">IFERROR(D16/E16-1,"-")</f>
        <v>-0.36363636363636365</v>
      </c>
      <c r="E17" s="1089">
        <f t="shared" ref="E17" si="49">IFERROR(E16/F16-1,"-")</f>
        <v>-0.3125</v>
      </c>
      <c r="F17" s="1089">
        <f t="shared" ref="F17" si="50">IFERROR(F16/G16-1,"-")</f>
        <v>6.6666666666666652E-2</v>
      </c>
      <c r="G17" s="1089">
        <f t="shared" ref="G17" si="51">IFERROR(G16/H16-1,"-")</f>
        <v>0.11111111111111116</v>
      </c>
      <c r="H17" s="1089">
        <f t="shared" ref="H17" si="52">IFERROR(H16/I16-1,"-")</f>
        <v>-9.9999999999999978E-2</v>
      </c>
      <c r="I17" s="1089">
        <f t="shared" ref="I17" si="53">IFERROR(I16/J16-1,"-")</f>
        <v>0</v>
      </c>
      <c r="J17" s="1089">
        <f t="shared" ref="J17" si="54">IFERROR(J16/K16-1,"-")</f>
        <v>0</v>
      </c>
      <c r="K17" s="1089">
        <f t="shared" ref="K17" si="55">IFERROR(K16/L16-1,"-")</f>
        <v>0.11111111111111116</v>
      </c>
      <c r="L17" s="1089">
        <f t="shared" ref="L17" si="56">IFERROR(L16/M16-1,"-")</f>
        <v>0.17391304347826098</v>
      </c>
      <c r="M17" s="1089" t="str">
        <f t="shared" ref="M17" si="57">IFERROR(M16/O16-1,"-")</f>
        <v>-</v>
      </c>
      <c r="N17" s="1160">
        <f t="shared" ref="N17" si="58">AVERAGE(B17:M17)</f>
        <v>3.1727566460768047E-2</v>
      </c>
      <c r="O17" s="1163"/>
    </row>
    <row r="18" spans="1:28">
      <c r="A18" s="1096" t="s">
        <v>1129</v>
      </c>
      <c r="B18" s="1091">
        <v>1.2</v>
      </c>
      <c r="C18" s="1091">
        <v>1.1000000000000001</v>
      </c>
      <c r="D18" s="1091">
        <v>0.7</v>
      </c>
      <c r="E18" s="1091">
        <v>1.1000000000000001</v>
      </c>
      <c r="F18" s="1091">
        <v>1.6</v>
      </c>
      <c r="G18" s="1091">
        <v>1.5</v>
      </c>
      <c r="H18" s="1091">
        <v>1.35</v>
      </c>
      <c r="I18" s="1091">
        <v>1.5</v>
      </c>
      <c r="J18" s="1091">
        <v>1.5</v>
      </c>
      <c r="K18" s="1091">
        <v>1.5</v>
      </c>
      <c r="L18" s="1091">
        <v>1.35</v>
      </c>
      <c r="M18" s="1091">
        <v>1.1499999999999999</v>
      </c>
      <c r="N18" s="1160"/>
      <c r="O18" s="42"/>
      <c r="P18" s="42"/>
      <c r="Q18" s="42"/>
      <c r="R18" s="42"/>
      <c r="S18" s="42"/>
      <c r="T18" s="42"/>
      <c r="U18" s="42"/>
      <c r="V18" s="42"/>
      <c r="W18" s="42"/>
      <c r="X18" s="42"/>
      <c r="Y18" s="42"/>
      <c r="Z18" s="42"/>
      <c r="AA18" s="42"/>
      <c r="AB18" s="42"/>
    </row>
    <row r="19" spans="1:28" s="42" customFormat="1">
      <c r="A19" s="1097"/>
      <c r="B19" s="1089">
        <f>IFERROR(B18/C18-1,"-")</f>
        <v>9.0909090909090828E-2</v>
      </c>
      <c r="C19" s="1089">
        <f t="shared" ref="C19" si="59">IFERROR(C18/D18-1,"-")</f>
        <v>0.57142857142857162</v>
      </c>
      <c r="D19" s="1089">
        <f t="shared" ref="D19" si="60">IFERROR(D18/E18-1,"-")</f>
        <v>-0.36363636363636376</v>
      </c>
      <c r="E19" s="1089">
        <f t="shared" ref="E19" si="61">IFERROR(E18/F18-1,"-")</f>
        <v>-0.3125</v>
      </c>
      <c r="F19" s="1089">
        <f t="shared" ref="F19" si="62">IFERROR(F18/G18-1,"-")</f>
        <v>6.6666666666666652E-2</v>
      </c>
      <c r="G19" s="1089">
        <f t="shared" ref="G19" si="63">IFERROR(G18/H18-1,"-")</f>
        <v>0.11111111111111094</v>
      </c>
      <c r="H19" s="1089">
        <f t="shared" ref="H19" si="64">IFERROR(H18/I18-1,"-")</f>
        <v>-9.9999999999999978E-2</v>
      </c>
      <c r="I19" s="1089">
        <f t="shared" ref="I19" si="65">IFERROR(I18/J18-1,"-")</f>
        <v>0</v>
      </c>
      <c r="J19" s="1089">
        <f t="shared" ref="J19" si="66">IFERROR(J18/K18-1,"-")</f>
        <v>0</v>
      </c>
      <c r="K19" s="1089">
        <f t="shared" ref="K19" si="67">IFERROR(K18/L18-1,"-")</f>
        <v>0.11111111111111094</v>
      </c>
      <c r="L19" s="1089">
        <f t="shared" ref="L19" si="68">IFERROR(L18/M18-1,"-")</f>
        <v>0.17391304347826098</v>
      </c>
      <c r="M19" s="1089" t="str">
        <f t="shared" ref="M19" si="69">IFERROR(M18/O18-1,"-")</f>
        <v>-</v>
      </c>
      <c r="N19" s="1160">
        <f>AVERAGE(B19:M19)</f>
        <v>3.172756646076802E-2</v>
      </c>
    </row>
    <row r="20" spans="1:28">
      <c r="A20" s="1098" t="s">
        <v>184</v>
      </c>
      <c r="B20" s="1090">
        <f>B16*B5+B18*B8</f>
        <v>310918.8</v>
      </c>
      <c r="C20" s="1090">
        <f t="shared" ref="C20:M20" si="70">C16*C5+C18*C8</f>
        <v>284775.7</v>
      </c>
      <c r="D20" s="1090">
        <f t="shared" si="70"/>
        <v>180973.8</v>
      </c>
      <c r="E20" s="1090">
        <f t="shared" si="70"/>
        <v>283247.8</v>
      </c>
      <c r="F20" s="1090">
        <f t="shared" si="70"/>
        <v>418864</v>
      </c>
      <c r="G20" s="1090">
        <f t="shared" si="70"/>
        <v>396885</v>
      </c>
      <c r="H20" s="1090">
        <f t="shared" si="70"/>
        <v>362620.80000000005</v>
      </c>
      <c r="I20" s="1090">
        <f t="shared" si="70"/>
        <v>407088</v>
      </c>
      <c r="J20" s="1090">
        <f t="shared" si="70"/>
        <v>407248.5</v>
      </c>
      <c r="K20" s="1090">
        <f t="shared" si="70"/>
        <v>406785</v>
      </c>
      <c r="L20" s="1090">
        <f t="shared" si="70"/>
        <v>364324.5</v>
      </c>
      <c r="M20" s="1090">
        <f t="shared" si="70"/>
        <v>310586.25</v>
      </c>
      <c r="N20" s="1189"/>
      <c r="O20" s="42"/>
      <c r="P20" s="42"/>
      <c r="Q20" s="42"/>
      <c r="R20" s="42"/>
      <c r="S20" s="42"/>
      <c r="T20" s="42"/>
      <c r="U20" s="42"/>
      <c r="V20" s="42"/>
      <c r="W20" s="42"/>
      <c r="X20" s="42"/>
      <c r="Y20" s="42"/>
      <c r="Z20" s="42"/>
      <c r="AA20" s="42"/>
      <c r="AB20" s="4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81089C-6E2A-4FD7-A402-55E9C86C97B5}"/>
</file>

<file path=customXml/itemProps2.xml><?xml version="1.0" encoding="utf-8"?>
<ds:datastoreItem xmlns:ds="http://schemas.openxmlformats.org/officeDocument/2006/customXml" ds:itemID="{6422A445-C18A-431B-834A-2A88CFDD446C}"/>
</file>

<file path=customXml/itemProps3.xml><?xml version="1.0" encoding="utf-8"?>
<ds:datastoreItem xmlns:ds="http://schemas.openxmlformats.org/officeDocument/2006/customXml" ds:itemID="{E4E33FEE-1117-4802-A5BB-FA073D1C6E04}"/>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Cristina Lin</cp:lastModifiedBy>
  <cp:revision/>
  <dcterms:created xsi:type="dcterms:W3CDTF">2000-04-19T14:51:26Z</dcterms:created>
  <dcterms:modified xsi:type="dcterms:W3CDTF">2025-01-20T17:06:05Z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