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Securities Research/One Pagers/Energy - TL Henrique Albuquerque/EDP Renováveis/"/>
    </mc:Choice>
  </mc:AlternateContent>
  <xr:revisionPtr revIDLastSave="11382" documentId="13_ncr:1_{26D5CA1E-45FE-425A-8F05-72ED85C7BA47}" xr6:coauthVersionLast="47" xr6:coauthVersionMax="47" xr10:uidLastSave="{EA94C0DA-7DB6-498E-AA4B-209AA998490C}"/>
  <bookViews>
    <workbookView xWindow="-120" yWindow="-120" windowWidth="29040" windowHeight="15840" tabRatio="644" firstSheet="5" activeTab="5" xr2:uid="{00000000-000D-0000-FFFF-FFFF00000000}"/>
  </bookViews>
  <sheets>
    <sheet name="OP" sheetId="1" r:id="rId1"/>
    <sheet name="Segments" sheetId="3" r:id="rId2"/>
    <sheet name="Acuerdo" sheetId="11" state="hidden" r:id="rId3"/>
    <sheet name="Peers" sheetId="10" r:id="rId4"/>
    <sheet name="ESG" sheetId="19" r:id="rId5"/>
    <sheet name="DCF" sheetId="4" r:id="rId6"/>
    <sheet name="Assumptions" sheetId="21" r:id="rId7"/>
    <sheet name="Fin. Data" sheetId="16" r:id="rId8"/>
    <sheet name="Fin. Data (Common Size)" sheetId="20" r:id="rId9"/>
    <sheet name="Inputs" sheetId="17" r:id="rId10"/>
    <sheet name="Sector Impact" sheetId="18" state="hidden" r:id="rId11"/>
  </sheets>
  <definedNames>
    <definedName name="_xlnm.Print_Area" localSheetId="0">OP!$A$1:$M$81</definedName>
    <definedName name="_xlnm.Print_Area" localSheetId="1">Segments!#REF!</definedName>
    <definedName name="Sectors">'Sector Impact'!$K$4:$K$16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41" i="17" l="1"/>
  <c r="D63" i="4"/>
  <c r="L8" i="21"/>
  <c r="D4" i="1" a="1"/>
  <c r="D4" i="1" s="1"/>
  <c r="D57" i="4"/>
  <c r="F24" i="21"/>
  <c r="C20" i="21"/>
  <c r="D53" i="4" s="1"/>
  <c r="B35" i="17"/>
  <c r="G10" i="4"/>
  <c r="F9" i="4"/>
  <c r="E9" i="4"/>
  <c r="D9" i="4"/>
  <c r="G9" i="4" l="1"/>
  <c r="G41" i="4" s="1"/>
  <c r="E53" i="4"/>
  <c r="D22" i="4"/>
  <c r="E22" i="4"/>
  <c r="F22" i="4"/>
  <c r="D22" i="10"/>
  <c r="AI37" i="17"/>
  <c r="D62" i="4"/>
  <c r="D37" i="10"/>
  <c r="D33" i="10"/>
  <c r="H24" i="1"/>
  <c r="F21" i="1"/>
  <c r="F22" i="1"/>
  <c r="F23" i="1"/>
  <c r="H21" i="1"/>
  <c r="H22" i="1"/>
  <c r="H23" i="1"/>
  <c r="H20" i="1"/>
  <c r="R6" i="19"/>
  <c r="Q12" i="19"/>
  <c r="P12" i="19"/>
  <c r="O12" i="19"/>
  <c r="N12" i="19"/>
  <c r="M12" i="19"/>
  <c r="L12" i="19"/>
  <c r="L6" i="19"/>
  <c r="C78" i="16"/>
  <c r="C11" i="16"/>
  <c r="F23" i="16"/>
  <c r="L18" i="3"/>
  <c r="B22" i="17"/>
  <c r="K35" i="21"/>
  <c r="J35" i="21"/>
  <c r="I35" i="21"/>
  <c r="H35" i="21"/>
  <c r="G35" i="21"/>
  <c r="F35" i="21"/>
  <c r="K34" i="21"/>
  <c r="K36" i="21"/>
  <c r="J34" i="21"/>
  <c r="J36" i="21"/>
  <c r="I34" i="21"/>
  <c r="I36" i="21"/>
  <c r="H34" i="21"/>
  <c r="H36" i="21"/>
  <c r="G34" i="21"/>
  <c r="G36" i="21"/>
  <c r="F34" i="21"/>
  <c r="F36" i="21"/>
  <c r="M35" i="21"/>
  <c r="E63" i="4"/>
  <c r="AH50" i="17"/>
  <c r="K38" i="21"/>
  <c r="J38" i="21"/>
  <c r="I38" i="21"/>
  <c r="H38" i="21"/>
  <c r="F32" i="21"/>
  <c r="G32" i="21"/>
  <c r="H32" i="21"/>
  <c r="J31" i="21"/>
  <c r="I31" i="21"/>
  <c r="H31" i="21"/>
  <c r="G31" i="21"/>
  <c r="F31" i="21"/>
  <c r="K31" i="21"/>
  <c r="AH39" i="17"/>
  <c r="H44" i="21"/>
  <c r="P30" i="21"/>
  <c r="E2" i="1"/>
  <c r="C20" i="1" s="1" a="1"/>
  <c r="C20" i="1" s="1"/>
  <c r="G77" i="17"/>
  <c r="F48" i="1"/>
  <c r="F47" i="1"/>
  <c r="C25" i="17"/>
  <c r="AH31" i="17"/>
  <c r="H39" i="21"/>
  <c r="H33" i="21"/>
  <c r="G33" i="21"/>
  <c r="F33" i="21"/>
  <c r="D40" i="4"/>
  <c r="M22" i="17"/>
  <c r="D64" i="4"/>
  <c r="C25" i="21"/>
  <c r="E58" i="4"/>
  <c r="E57" i="4"/>
  <c r="J26" i="21"/>
  <c r="K26" i="21"/>
  <c r="I26" i="21"/>
  <c r="C21" i="21" s="1"/>
  <c r="D54" i="4" s="1"/>
  <c r="G38" i="4" s="1"/>
  <c r="H10" i="4" s="1"/>
  <c r="E37" i="10"/>
  <c r="F37" i="10"/>
  <c r="D36" i="10"/>
  <c r="E36" i="10"/>
  <c r="F36" i="10"/>
  <c r="M9" i="17"/>
  <c r="L9" i="17"/>
  <c r="H9" i="17"/>
  <c r="F9" i="17"/>
  <c r="C13" i="17"/>
  <c r="B9" i="17"/>
  <c r="C14" i="17"/>
  <c r="B13" i="17"/>
  <c r="C15" i="19"/>
  <c r="E54" i="4"/>
  <c r="K23" i="21"/>
  <c r="J23" i="21"/>
  <c r="I23" i="21"/>
  <c r="H23" i="21"/>
  <c r="G23" i="21"/>
  <c r="F23" i="21"/>
  <c r="F20" i="21"/>
  <c r="G20" i="21"/>
  <c r="H20" i="21"/>
  <c r="I20" i="21"/>
  <c r="J20" i="21"/>
  <c r="K20" i="21"/>
  <c r="K22" i="21"/>
  <c r="F21" i="21"/>
  <c r="G21" i="21"/>
  <c r="H21" i="21"/>
  <c r="I21" i="21"/>
  <c r="J21" i="21"/>
  <c r="J22" i="21"/>
  <c r="C10" i="21"/>
  <c r="C11" i="21"/>
  <c r="C12" i="21"/>
  <c r="M7" i="21"/>
  <c r="N7" i="21"/>
  <c r="O7" i="21"/>
  <c r="P7" i="21"/>
  <c r="Q7" i="21"/>
  <c r="R7" i="21"/>
  <c r="S7" i="21"/>
  <c r="T7" i="21"/>
  <c r="U7" i="21"/>
  <c r="V7" i="21"/>
  <c r="W7" i="21"/>
  <c r="X7" i="21"/>
  <c r="Y7" i="21"/>
  <c r="Z7" i="21"/>
  <c r="AA7" i="21"/>
  <c r="AB7" i="21"/>
  <c r="AC7" i="21"/>
  <c r="AD7" i="21"/>
  <c r="AE7" i="21"/>
  <c r="AF7" i="21"/>
  <c r="AG7" i="21"/>
  <c r="AH7" i="21"/>
  <c r="AI7" i="21"/>
  <c r="AJ7" i="21"/>
  <c r="AK7" i="21"/>
  <c r="O17" i="3"/>
  <c r="M17" i="3"/>
  <c r="R7" i="19"/>
  <c r="R9" i="19"/>
  <c r="M19" i="1"/>
  <c r="C39" i="10"/>
  <c r="AH38" i="17"/>
  <c r="AH61" i="17"/>
  <c r="E46" i="10"/>
  <c r="E44" i="10"/>
  <c r="E43" i="10"/>
  <c r="D45" i="10" a="1"/>
  <c r="D45" i="10" s="1"/>
  <c r="D47" i="10" s="1"/>
  <c r="D44" i="10"/>
  <c r="D43" i="10"/>
  <c r="H45" i="10" a="1"/>
  <c r="H45" i="10" s="1"/>
  <c r="H47" i="10" s="1"/>
  <c r="G45" i="10" a="1"/>
  <c r="G45" i="10" s="1"/>
  <c r="G47" i="10" s="1"/>
  <c r="F45" i="10" a="1"/>
  <c r="F45" i="10" s="1"/>
  <c r="F47" i="10" s="1"/>
  <c r="E45" i="10" a="1"/>
  <c r="E45" i="10" s="1"/>
  <c r="E47" i="10" s="1"/>
  <c r="AH25" i="17"/>
  <c r="AH27" i="17"/>
  <c r="AH35" i="17"/>
  <c r="C67" i="17"/>
  <c r="AI61" i="17"/>
  <c r="AJ61" i="17"/>
  <c r="AK61" i="17"/>
  <c r="AL61" i="17"/>
  <c r="AM61" i="17"/>
  <c r="AN61" i="17"/>
  <c r="AO61" i="17"/>
  <c r="AP61" i="17"/>
  <c r="AQ61" i="17"/>
  <c r="AR61" i="17"/>
  <c r="AS61" i="17"/>
  <c r="E40" i="4"/>
  <c r="F40" i="4"/>
  <c r="AH59" i="17"/>
  <c r="D11" i="10"/>
  <c r="AI52" i="17"/>
  <c r="AH52" i="17"/>
  <c r="N6" i="19"/>
  <c r="O6" i="19"/>
  <c r="AH55" i="17"/>
  <c r="AJ52" i="17"/>
  <c r="AK52" i="17"/>
  <c r="AL52" i="17"/>
  <c r="AM52" i="17"/>
  <c r="AN52" i="17"/>
  <c r="AO52" i="17"/>
  <c r="AP52" i="17"/>
  <c r="AQ52" i="17"/>
  <c r="AR52" i="17"/>
  <c r="AS52" i="17"/>
  <c r="AI47" i="17"/>
  <c r="AJ47" i="17"/>
  <c r="AK47" i="17"/>
  <c r="AL47" i="17"/>
  <c r="AM47" i="17"/>
  <c r="AN47" i="17"/>
  <c r="AO47" i="17"/>
  <c r="AP47" i="17"/>
  <c r="AQ47" i="17"/>
  <c r="AR47" i="17"/>
  <c r="AS47" i="17"/>
  <c r="AH47" i="17"/>
  <c r="AI40" i="17"/>
  <c r="AJ40" i="17"/>
  <c r="AK40" i="17"/>
  <c r="AL40" i="17"/>
  <c r="AM40" i="17"/>
  <c r="AN40" i="17"/>
  <c r="AO40" i="17"/>
  <c r="AP40" i="17"/>
  <c r="AQ40" i="17"/>
  <c r="AR40" i="17"/>
  <c r="AS40" i="17"/>
  <c r="AH40" i="17"/>
  <c r="AH37" i="17"/>
  <c r="AJ37" i="17"/>
  <c r="AK37" i="17"/>
  <c r="AL37" i="17"/>
  <c r="AN37" i="17"/>
  <c r="AP37" i="17"/>
  <c r="AR37" i="17"/>
  <c r="H70" i="10"/>
  <c r="H69" i="10"/>
  <c r="H68" i="10"/>
  <c r="H51" i="10"/>
  <c r="H52" i="10"/>
  <c r="H53" i="10"/>
  <c r="H54" i="10"/>
  <c r="H55" i="10"/>
  <c r="H56" i="10"/>
  <c r="H57" i="10"/>
  <c r="H58" i="10"/>
  <c r="H59" i="10"/>
  <c r="H61" i="10"/>
  <c r="H63" i="10"/>
  <c r="H64" i="10"/>
  <c r="H65" i="10"/>
  <c r="H66" i="10"/>
  <c r="G51" i="10"/>
  <c r="G52" i="10"/>
  <c r="G53" i="10"/>
  <c r="G54" i="10"/>
  <c r="G55" i="10"/>
  <c r="G56" i="10"/>
  <c r="G57" i="10"/>
  <c r="G58" i="10"/>
  <c r="G59" i="10"/>
  <c r="G61" i="10"/>
  <c r="G63" i="10"/>
  <c r="G64" i="10"/>
  <c r="G65" i="10"/>
  <c r="G66" i="10"/>
  <c r="G68" i="10"/>
  <c r="G69" i="10"/>
  <c r="G70" i="10"/>
  <c r="AI25" i="17"/>
  <c r="AI27" i="17"/>
  <c r="AJ25" i="17"/>
  <c r="AJ27" i="17"/>
  <c r="AK25" i="17"/>
  <c r="AK27" i="17"/>
  <c r="AL25" i="17"/>
  <c r="AL27" i="17"/>
  <c r="AM25" i="17"/>
  <c r="AM27" i="17"/>
  <c r="Z23" i="17"/>
  <c r="AA23" i="17"/>
  <c r="AB23" i="17"/>
  <c r="AC23" i="17"/>
  <c r="AD23" i="17"/>
  <c r="AE23" i="17"/>
  <c r="AF23" i="17"/>
  <c r="AG23" i="17"/>
  <c r="Y23" i="17"/>
  <c r="AI31" i="17"/>
  <c r="AJ31" i="17"/>
  <c r="AK31" i="17"/>
  <c r="AL31" i="17"/>
  <c r="AM31" i="17"/>
  <c r="AN31" i="17"/>
  <c r="AO31" i="17"/>
  <c r="AP31" i="17"/>
  <c r="AQ31" i="17"/>
  <c r="AR31" i="17"/>
  <c r="AS31" i="17"/>
  <c r="AH33" i="17"/>
  <c r="AI30" i="17"/>
  <c r="AJ30" i="17"/>
  <c r="AK30" i="17"/>
  <c r="AL30" i="17"/>
  <c r="AM30" i="17"/>
  <c r="AN30" i="17"/>
  <c r="AO30" i="17"/>
  <c r="AP30" i="17"/>
  <c r="AQ30" i="17"/>
  <c r="AR30" i="17"/>
  <c r="AS30" i="17"/>
  <c r="D49" i="10"/>
  <c r="K35" i="17"/>
  <c r="F35" i="17"/>
  <c r="E35" i="17"/>
  <c r="D35" i="17"/>
  <c r="O9" i="3"/>
  <c r="O8" i="3"/>
  <c r="O7" i="3"/>
  <c r="O6" i="3"/>
  <c r="O5" i="3"/>
  <c r="N9" i="3"/>
  <c r="N8" i="3"/>
  <c r="N7" i="3"/>
  <c r="N6" i="3"/>
  <c r="N5" i="3"/>
  <c r="M9" i="3"/>
  <c r="M8" i="3"/>
  <c r="M7" i="3"/>
  <c r="M6" i="3"/>
  <c r="M5" i="3"/>
  <c r="L9" i="3"/>
  <c r="L8" i="3"/>
  <c r="L7" i="3"/>
  <c r="L6" i="3"/>
  <c r="L5" i="3"/>
  <c r="K9" i="3"/>
  <c r="K8" i="3"/>
  <c r="K7" i="3"/>
  <c r="K6" i="3"/>
  <c r="K5" i="3"/>
  <c r="C35" i="17"/>
  <c r="D19" i="17"/>
  <c r="B77" i="17"/>
  <c r="C69" i="17"/>
  <c r="C75" i="17"/>
  <c r="E31" i="4" s="1"/>
  <c r="D69" i="17"/>
  <c r="E69" i="17"/>
  <c r="F69" i="17"/>
  <c r="G69" i="17"/>
  <c r="H69" i="17"/>
  <c r="I69" i="17"/>
  <c r="J69" i="17"/>
  <c r="K69" i="17"/>
  <c r="L69" i="17"/>
  <c r="B69" i="17"/>
  <c r="D53" i="17"/>
  <c r="C53" i="17"/>
  <c r="B53" i="17"/>
  <c r="M65" i="17"/>
  <c r="AS37" i="17"/>
  <c r="K65" i="17"/>
  <c r="AQ37" i="17"/>
  <c r="I65" i="17"/>
  <c r="AO37" i="17"/>
  <c r="G65" i="17"/>
  <c r="B75" i="17"/>
  <c r="F31" i="4" s="1"/>
  <c r="B67" i="17"/>
  <c r="H60" i="17"/>
  <c r="AM37" i="17"/>
  <c r="M60" i="17"/>
  <c r="C60" i="17"/>
  <c r="D60" i="17"/>
  <c r="E60" i="17"/>
  <c r="F60" i="17"/>
  <c r="G60" i="17"/>
  <c r="I60" i="17"/>
  <c r="J60" i="17"/>
  <c r="K60" i="17"/>
  <c r="L60" i="17"/>
  <c r="L63" i="17"/>
  <c r="B60" i="17"/>
  <c r="B63" i="17"/>
  <c r="B56" i="17"/>
  <c r="D47" i="17"/>
  <c r="E47" i="17"/>
  <c r="F47" i="17"/>
  <c r="G47" i="17"/>
  <c r="H47" i="17"/>
  <c r="I47" i="17"/>
  <c r="J47" i="17"/>
  <c r="K47" i="17"/>
  <c r="L47" i="17"/>
  <c r="M47" i="17"/>
  <c r="J32" i="17"/>
  <c r="K32" i="17"/>
  <c r="L32" i="17"/>
  <c r="M32" i="17"/>
  <c r="D32" i="17"/>
  <c r="E32" i="17"/>
  <c r="F32" i="17"/>
  <c r="G32" i="17"/>
  <c r="H32" i="17"/>
  <c r="I32" i="17"/>
  <c r="C32" i="17"/>
  <c r="B31" i="17"/>
  <c r="C31" i="17"/>
  <c r="D31" i="17"/>
  <c r="B32" i="17"/>
  <c r="M20" i="17"/>
  <c r="L20" i="17"/>
  <c r="K20" i="17"/>
  <c r="J20" i="17"/>
  <c r="I20" i="17"/>
  <c r="H20" i="17"/>
  <c r="C20" i="17"/>
  <c r="G20" i="17"/>
  <c r="F20" i="17"/>
  <c r="E20" i="17"/>
  <c r="D20" i="17"/>
  <c r="B20" i="17"/>
  <c r="K23" i="17"/>
  <c r="B14" i="17"/>
  <c r="C56" i="17"/>
  <c r="D56" i="17"/>
  <c r="E56" i="17"/>
  <c r="F56" i="17"/>
  <c r="G56" i="17"/>
  <c r="H56" i="17"/>
  <c r="I56" i="17"/>
  <c r="J56" i="17"/>
  <c r="K56" i="17"/>
  <c r="L56" i="17"/>
  <c r="M56" i="17"/>
  <c r="B5" i="20"/>
  <c r="H22" i="10"/>
  <c r="G22" i="10"/>
  <c r="F22" i="10"/>
  <c r="E22" i="10"/>
  <c r="C77" i="17"/>
  <c r="F52" i="1"/>
  <c r="D77" i="17"/>
  <c r="F51" i="1"/>
  <c r="E77" i="17"/>
  <c r="F50" i="1"/>
  <c r="F77" i="17"/>
  <c r="F49" i="1"/>
  <c r="H77" i="17"/>
  <c r="I77" i="17"/>
  <c r="F46" i="1"/>
  <c r="J77" i="17"/>
  <c r="F45" i="1"/>
  <c r="K77" i="17"/>
  <c r="L77" i="17"/>
  <c r="M77" i="17"/>
  <c r="F53" i="1"/>
  <c r="E28" i="10"/>
  <c r="P9" i="19"/>
  <c r="P8" i="19"/>
  <c r="P7" i="19"/>
  <c r="P6" i="19"/>
  <c r="B23" i="17"/>
  <c r="C23" i="17"/>
  <c r="D23" i="17"/>
  <c r="E23" i="17"/>
  <c r="F23" i="17"/>
  <c r="G23" i="17"/>
  <c r="H23" i="17"/>
  <c r="I23" i="17"/>
  <c r="J23" i="17"/>
  <c r="J22" i="17"/>
  <c r="L23" i="17"/>
  <c r="M23" i="17"/>
  <c r="D21" i="4"/>
  <c r="E21" i="4"/>
  <c r="F21" i="4"/>
  <c r="D24" i="4"/>
  <c r="F50" i="4"/>
  <c r="F47" i="4" s="1"/>
  <c r="I47" i="4"/>
  <c r="D27" i="4"/>
  <c r="E27" i="4"/>
  <c r="F27" i="4"/>
  <c r="C6" i="10"/>
  <c r="H49" i="10" s="1"/>
  <c r="C5" i="10"/>
  <c r="C4" i="10"/>
  <c r="C3" i="10"/>
  <c r="C2" i="10"/>
  <c r="K75" i="17"/>
  <c r="L75" i="17"/>
  <c r="M75" i="17"/>
  <c r="J75" i="17"/>
  <c r="E67" i="17"/>
  <c r="M63" i="17"/>
  <c r="E63" i="17"/>
  <c r="F63" i="17"/>
  <c r="G63" i="17"/>
  <c r="H63" i="17"/>
  <c r="I63" i="17"/>
  <c r="J63" i="17"/>
  <c r="F27" i="1"/>
  <c r="F28" i="1"/>
  <c r="F26" i="1"/>
  <c r="F20" i="1"/>
  <c r="D28" i="4"/>
  <c r="E28" i="4"/>
  <c r="F28" i="4"/>
  <c r="F25" i="4"/>
  <c r="E75" i="17"/>
  <c r="F75" i="17"/>
  <c r="G75" i="17"/>
  <c r="H75" i="17"/>
  <c r="I75" i="17"/>
  <c r="E36" i="17"/>
  <c r="D75" i="17"/>
  <c r="D31" i="4" s="1"/>
  <c r="D63" i="17"/>
  <c r="I22" i="17"/>
  <c r="K22" i="17"/>
  <c r="C8" i="19"/>
  <c r="M6" i="19"/>
  <c r="Q6" i="19"/>
  <c r="M7" i="19"/>
  <c r="N7" i="19"/>
  <c r="O7" i="19"/>
  <c r="Q7" i="19"/>
  <c r="M8" i="19"/>
  <c r="N8" i="19"/>
  <c r="R8" i="19"/>
  <c r="O8" i="19"/>
  <c r="Q8" i="19"/>
  <c r="M9" i="19"/>
  <c r="N9" i="19"/>
  <c r="O9" i="19"/>
  <c r="Q9" i="19"/>
  <c r="L8" i="19"/>
  <c r="L9" i="19"/>
  <c r="L17" i="3"/>
  <c r="N17" i="3"/>
  <c r="L19" i="3"/>
  <c r="M19" i="3"/>
  <c r="N19" i="3"/>
  <c r="O19" i="3"/>
  <c r="L20" i="3"/>
  <c r="M20" i="3"/>
  <c r="N20" i="3"/>
  <c r="O20" i="3"/>
  <c r="L21" i="3"/>
  <c r="M21" i="3"/>
  <c r="N21" i="3"/>
  <c r="O21" i="3"/>
  <c r="K18" i="3"/>
  <c r="K19" i="3"/>
  <c r="K20" i="3"/>
  <c r="K21" i="3"/>
  <c r="K17" i="3"/>
  <c r="E11" i="4"/>
  <c r="F11" i="4"/>
  <c r="D11" i="4"/>
  <c r="C63" i="17"/>
  <c r="D67" i="17"/>
  <c r="D25" i="4"/>
  <c r="B47" i="17"/>
  <c r="D22" i="3"/>
  <c r="B21" i="3"/>
  <c r="H4" i="4"/>
  <c r="I4" i="4"/>
  <c r="J4" i="4"/>
  <c r="K4" i="4"/>
  <c r="L4" i="4"/>
  <c r="M4" i="4"/>
  <c r="N4" i="4"/>
  <c r="O4" i="4"/>
  <c r="P4" i="4"/>
  <c r="Q4" i="4"/>
  <c r="R4" i="4"/>
  <c r="S4" i="4"/>
  <c r="T4" i="4"/>
  <c r="U4" i="4"/>
  <c r="V4" i="4"/>
  <c r="W4" i="4"/>
  <c r="X4" i="4"/>
  <c r="Y4" i="4"/>
  <c r="Z4" i="4"/>
  <c r="AA4" i="4"/>
  <c r="AB4" i="4"/>
  <c r="AC4" i="4"/>
  <c r="AD4" i="4"/>
  <c r="AE4" i="4"/>
  <c r="AF4" i="4"/>
  <c r="G28" i="10"/>
  <c r="E11" i="10"/>
  <c r="F11" i="10"/>
  <c r="G11" i="10"/>
  <c r="H11" i="10"/>
  <c r="D13" i="10"/>
  <c r="E13" i="10"/>
  <c r="F13" i="10"/>
  <c r="G13" i="10"/>
  <c r="H13" i="10"/>
  <c r="D14" i="10"/>
  <c r="E14" i="10"/>
  <c r="F14" i="10"/>
  <c r="G14" i="10"/>
  <c r="H14" i="10"/>
  <c r="D15" i="10"/>
  <c r="E15" i="10"/>
  <c r="F15" i="10"/>
  <c r="G15" i="10"/>
  <c r="H15" i="10"/>
  <c r="D16" i="10"/>
  <c r="E16" i="10"/>
  <c r="F16" i="10"/>
  <c r="G16" i="10"/>
  <c r="H16" i="10"/>
  <c r="D17" i="10"/>
  <c r="E17" i="10"/>
  <c r="F17" i="10"/>
  <c r="G17" i="10"/>
  <c r="H17" i="10"/>
  <c r="D18" i="10"/>
  <c r="E18" i="10"/>
  <c r="F18" i="10"/>
  <c r="G18" i="10"/>
  <c r="H18" i="10"/>
  <c r="D20" i="10"/>
  <c r="E20" i="10"/>
  <c r="F20" i="10"/>
  <c r="G20" i="10"/>
  <c r="H20" i="10"/>
  <c r="D21" i="10"/>
  <c r="E21" i="10"/>
  <c r="F21" i="10"/>
  <c r="G21" i="10"/>
  <c r="H21" i="10"/>
  <c r="D24" i="10"/>
  <c r="E24" i="10"/>
  <c r="F24" i="10"/>
  <c r="G24" i="10"/>
  <c r="H24" i="10"/>
  <c r="D25" i="10"/>
  <c r="E25" i="10"/>
  <c r="F25" i="10"/>
  <c r="G25" i="10"/>
  <c r="H25" i="10"/>
  <c r="D27" i="10"/>
  <c r="E27" i="10"/>
  <c r="F27" i="10"/>
  <c r="G27" i="10"/>
  <c r="H27" i="10"/>
  <c r="D28" i="10"/>
  <c r="F28" i="10"/>
  <c r="H28" i="10"/>
  <c r="D29" i="10"/>
  <c r="E29" i="10"/>
  <c r="F29" i="10"/>
  <c r="G29" i="10"/>
  <c r="H29" i="10"/>
  <c r="D30" i="10"/>
  <c r="E30" i="10"/>
  <c r="F30" i="10"/>
  <c r="G30" i="10"/>
  <c r="H30" i="10"/>
  <c r="D31" i="10"/>
  <c r="E31" i="10"/>
  <c r="F31" i="10"/>
  <c r="G31" i="10"/>
  <c r="H31" i="10"/>
  <c r="E33" i="10"/>
  <c r="F33" i="10"/>
  <c r="G33" i="10"/>
  <c r="H33" i="10"/>
  <c r="D34" i="10"/>
  <c r="E34" i="10"/>
  <c r="F34" i="10"/>
  <c r="G34" i="10"/>
  <c r="H34" i="10"/>
  <c r="D35" i="10"/>
  <c r="E35" i="10"/>
  <c r="F35" i="10"/>
  <c r="G35" i="10"/>
  <c r="H35" i="10"/>
  <c r="C40" i="10"/>
  <c r="I9" i="10"/>
  <c r="I38" i="10"/>
  <c r="C68" i="10"/>
  <c r="C67" i="10"/>
  <c r="C64" i="10"/>
  <c r="B14" i="3"/>
  <c r="E22" i="3"/>
  <c r="F22" i="3"/>
  <c r="G22" i="3"/>
  <c r="M22" i="3"/>
  <c r="H22" i="3"/>
  <c r="I22" i="3"/>
  <c r="E12" i="3"/>
  <c r="F12" i="3"/>
  <c r="G12" i="3"/>
  <c r="M12" i="3"/>
  <c r="H12" i="3"/>
  <c r="N12" i="3"/>
  <c r="I12" i="3"/>
  <c r="K16" i="3"/>
  <c r="L16" i="3" s="1"/>
  <c r="M16" i="3" s="1"/>
  <c r="N16" i="3" s="1"/>
  <c r="O16" i="3" s="1"/>
  <c r="P16" i="3" s="1"/>
  <c r="K4" i="3"/>
  <c r="L4" i="3" s="1"/>
  <c r="M4" i="3" s="1"/>
  <c r="N4" i="3" s="1"/>
  <c r="O4" i="3" s="1"/>
  <c r="P4" i="3" s="1"/>
  <c r="D16" i="3"/>
  <c r="E16" i="3" s="1"/>
  <c r="F16" i="3" s="1"/>
  <c r="G16" i="3" s="1"/>
  <c r="H16" i="3" s="1"/>
  <c r="I16" i="3" s="1"/>
  <c r="D4" i="3"/>
  <c r="E4" i="3" s="1"/>
  <c r="F4" i="3" s="1"/>
  <c r="G4" i="3" s="1"/>
  <c r="H4" i="3" s="1"/>
  <c r="I4" i="3" s="1"/>
  <c r="M74" i="16"/>
  <c r="L74" i="16"/>
  <c r="K74" i="16"/>
  <c r="J74" i="16"/>
  <c r="I74" i="16"/>
  <c r="H74" i="16"/>
  <c r="G74" i="16"/>
  <c r="F74" i="16"/>
  <c r="E74" i="16"/>
  <c r="D74" i="16"/>
  <c r="C74" i="16"/>
  <c r="B74" i="16"/>
  <c r="M73" i="16"/>
  <c r="L73" i="16"/>
  <c r="K73" i="16"/>
  <c r="J73" i="16"/>
  <c r="I73" i="16"/>
  <c r="H73" i="16"/>
  <c r="G73" i="16"/>
  <c r="F73" i="16"/>
  <c r="E73" i="16"/>
  <c r="D73" i="16"/>
  <c r="C73" i="16"/>
  <c r="B73" i="16"/>
  <c r="M72" i="16"/>
  <c r="L72" i="16"/>
  <c r="K72" i="16"/>
  <c r="J72" i="16"/>
  <c r="I72" i="16"/>
  <c r="H72" i="16"/>
  <c r="G72" i="16"/>
  <c r="F72" i="16"/>
  <c r="E72" i="16"/>
  <c r="D72" i="16"/>
  <c r="C72" i="16"/>
  <c r="B72" i="16"/>
  <c r="M70" i="16"/>
  <c r="L70" i="16"/>
  <c r="K70" i="16"/>
  <c r="J70" i="16"/>
  <c r="I70" i="16"/>
  <c r="H70" i="16"/>
  <c r="G70" i="16"/>
  <c r="F70" i="16"/>
  <c r="E70" i="16"/>
  <c r="D70" i="16"/>
  <c r="C70" i="16"/>
  <c r="B70" i="16"/>
  <c r="M69" i="16"/>
  <c r="L69" i="16"/>
  <c r="K69" i="16"/>
  <c r="J69" i="16"/>
  <c r="I69" i="16"/>
  <c r="H69" i="16"/>
  <c r="G69" i="16"/>
  <c r="F69" i="16"/>
  <c r="E69" i="16"/>
  <c r="D69" i="16"/>
  <c r="I43" i="21" s="1"/>
  <c r="C69" i="16"/>
  <c r="J43" i="21" s="1"/>
  <c r="B69" i="16"/>
  <c r="K43" i="21" s="1"/>
  <c r="B23" i="16"/>
  <c r="C59" i="10" s="1"/>
  <c r="C33" i="10" s="1"/>
  <c r="I33" i="10" s="1"/>
  <c r="M73" i="20"/>
  <c r="L73" i="20"/>
  <c r="K73" i="20"/>
  <c r="J73" i="20"/>
  <c r="I73" i="20"/>
  <c r="H73" i="20"/>
  <c r="G73" i="20"/>
  <c r="F73" i="20"/>
  <c r="E73" i="20"/>
  <c r="D73" i="20"/>
  <c r="C73" i="20"/>
  <c r="B73" i="20"/>
  <c r="M72" i="20"/>
  <c r="L72" i="20"/>
  <c r="K72" i="20"/>
  <c r="J72" i="20"/>
  <c r="I72" i="20"/>
  <c r="H72" i="20"/>
  <c r="G72" i="20"/>
  <c r="F72" i="20"/>
  <c r="E72" i="20"/>
  <c r="D72" i="20"/>
  <c r="C72" i="20"/>
  <c r="B72" i="20"/>
  <c r="M71" i="20"/>
  <c r="L71" i="20"/>
  <c r="K71" i="20"/>
  <c r="J71" i="20"/>
  <c r="I71" i="20"/>
  <c r="H71" i="20"/>
  <c r="G71" i="20"/>
  <c r="F71" i="20"/>
  <c r="E71" i="20"/>
  <c r="D71" i="20"/>
  <c r="C71" i="20"/>
  <c r="M70" i="20"/>
  <c r="L70" i="20"/>
  <c r="K70" i="20"/>
  <c r="J70" i="20"/>
  <c r="I70" i="20"/>
  <c r="H70" i="20"/>
  <c r="G70" i="20"/>
  <c r="F70" i="20"/>
  <c r="E70" i="20"/>
  <c r="D70" i="20"/>
  <c r="C70" i="20"/>
  <c r="M69" i="20"/>
  <c r="L69" i="20"/>
  <c r="K69" i="20"/>
  <c r="J69" i="20"/>
  <c r="I69" i="20"/>
  <c r="H69" i="20"/>
  <c r="G69" i="20"/>
  <c r="F69" i="20"/>
  <c r="E69" i="20"/>
  <c r="D69" i="20"/>
  <c r="C69" i="20"/>
  <c r="M68" i="20"/>
  <c r="L68" i="20"/>
  <c r="K68" i="20"/>
  <c r="J68" i="20"/>
  <c r="I68" i="20"/>
  <c r="H68" i="20"/>
  <c r="G68" i="20"/>
  <c r="F68" i="20"/>
  <c r="E68" i="20"/>
  <c r="D68" i="20"/>
  <c r="C68" i="20"/>
  <c r="B68" i="20"/>
  <c r="M67" i="20"/>
  <c r="L67" i="20"/>
  <c r="K67" i="20"/>
  <c r="J67" i="20"/>
  <c r="I67" i="20"/>
  <c r="H67" i="20"/>
  <c r="G67" i="20"/>
  <c r="F67" i="20"/>
  <c r="E67" i="20"/>
  <c r="D67" i="20"/>
  <c r="C67" i="20"/>
  <c r="B67" i="20"/>
  <c r="M61" i="20"/>
  <c r="L61" i="20"/>
  <c r="K61" i="20"/>
  <c r="J61" i="20"/>
  <c r="I61" i="20"/>
  <c r="H61" i="20"/>
  <c r="G61" i="20"/>
  <c r="F61" i="20"/>
  <c r="E61" i="20"/>
  <c r="D61" i="20"/>
  <c r="C61" i="20"/>
  <c r="B61" i="20"/>
  <c r="M54" i="20"/>
  <c r="L54" i="20"/>
  <c r="K54" i="20"/>
  <c r="J54" i="20"/>
  <c r="I54" i="20"/>
  <c r="H54" i="20"/>
  <c r="G54" i="20"/>
  <c r="F54" i="20"/>
  <c r="E54" i="20"/>
  <c r="D54" i="20"/>
  <c r="C54" i="20"/>
  <c r="B54" i="20"/>
  <c r="M53" i="20"/>
  <c r="L53" i="20"/>
  <c r="K53" i="20"/>
  <c r="J53" i="20"/>
  <c r="I53" i="20"/>
  <c r="H53" i="20"/>
  <c r="G53" i="20"/>
  <c r="F53" i="20"/>
  <c r="E53" i="20"/>
  <c r="D53" i="20"/>
  <c r="C53" i="20"/>
  <c r="B53" i="20"/>
  <c r="M52" i="20"/>
  <c r="L52" i="20"/>
  <c r="J52" i="20"/>
  <c r="I52" i="20"/>
  <c r="H52" i="20"/>
  <c r="G52" i="20"/>
  <c r="F52" i="20"/>
  <c r="E52" i="20"/>
  <c r="D52" i="20"/>
  <c r="B52" i="20"/>
  <c r="M50" i="20"/>
  <c r="L50" i="20"/>
  <c r="K50" i="20"/>
  <c r="J50" i="20"/>
  <c r="I50" i="20"/>
  <c r="H50" i="20"/>
  <c r="G50" i="20"/>
  <c r="F50" i="20"/>
  <c r="E50" i="20"/>
  <c r="D50" i="20"/>
  <c r="C50" i="20"/>
  <c r="B50" i="20"/>
  <c r="M49" i="20"/>
  <c r="L49" i="20"/>
  <c r="K49" i="20"/>
  <c r="J49" i="20"/>
  <c r="I49" i="20"/>
  <c r="H49" i="20"/>
  <c r="G49" i="20"/>
  <c r="F49" i="20"/>
  <c r="E49" i="20"/>
  <c r="D49" i="20"/>
  <c r="C49" i="20"/>
  <c r="B49" i="20"/>
  <c r="M48" i="20"/>
  <c r="L48" i="20"/>
  <c r="K48" i="20"/>
  <c r="J48" i="20"/>
  <c r="I48" i="20"/>
  <c r="H48" i="20"/>
  <c r="G48" i="20"/>
  <c r="F48" i="20"/>
  <c r="E48" i="20"/>
  <c r="D48" i="20"/>
  <c r="C48" i="20"/>
  <c r="B48" i="20"/>
  <c r="M42" i="20"/>
  <c r="L42" i="20"/>
  <c r="K42" i="20"/>
  <c r="J42" i="20"/>
  <c r="I42" i="20"/>
  <c r="H42" i="20"/>
  <c r="G42" i="20"/>
  <c r="F42" i="20"/>
  <c r="E42" i="20"/>
  <c r="D42" i="20"/>
  <c r="C42" i="20"/>
  <c r="B42" i="20"/>
  <c r="M41" i="20"/>
  <c r="L41" i="20"/>
  <c r="K41" i="20"/>
  <c r="J41" i="20"/>
  <c r="I41" i="20"/>
  <c r="H41" i="20"/>
  <c r="G41" i="20"/>
  <c r="F41" i="20"/>
  <c r="E41" i="20"/>
  <c r="D41" i="20"/>
  <c r="C41" i="20"/>
  <c r="B41" i="20"/>
  <c r="M40" i="20"/>
  <c r="L40" i="20"/>
  <c r="K40" i="20"/>
  <c r="J40" i="20"/>
  <c r="I40" i="20"/>
  <c r="H40" i="20"/>
  <c r="G40" i="20"/>
  <c r="F40" i="20"/>
  <c r="E40" i="20"/>
  <c r="D40" i="20"/>
  <c r="C40" i="20"/>
  <c r="B40" i="20"/>
  <c r="M39" i="20"/>
  <c r="M26" i="20" s="1"/>
  <c r="L39" i="20"/>
  <c r="K39" i="20"/>
  <c r="J39" i="20"/>
  <c r="I39" i="20"/>
  <c r="H39" i="20"/>
  <c r="G39" i="20"/>
  <c r="F39" i="20"/>
  <c r="E39" i="20"/>
  <c r="D39" i="20"/>
  <c r="C39" i="20"/>
  <c r="B39" i="20"/>
  <c r="M33" i="20"/>
  <c r="L33" i="20"/>
  <c r="K33" i="20"/>
  <c r="J33" i="20"/>
  <c r="I33" i="20"/>
  <c r="H33" i="20"/>
  <c r="G33" i="20"/>
  <c r="F33" i="20"/>
  <c r="E33" i="20"/>
  <c r="D33" i="20"/>
  <c r="C33" i="20"/>
  <c r="B33" i="20"/>
  <c r="M32" i="20"/>
  <c r="M34" i="20" s="1"/>
  <c r="L32" i="20"/>
  <c r="L34" i="20" s="1"/>
  <c r="K32" i="20"/>
  <c r="K34" i="20" s="1"/>
  <c r="J32" i="20"/>
  <c r="J34" i="20" s="1"/>
  <c r="I32" i="20"/>
  <c r="H32" i="20"/>
  <c r="G32" i="20"/>
  <c r="F32" i="20"/>
  <c r="F34" i="20" s="1"/>
  <c r="E32" i="20"/>
  <c r="D32" i="20"/>
  <c r="D34" i="20" s="1"/>
  <c r="C32" i="20"/>
  <c r="C34" i="20" s="1"/>
  <c r="B32" i="20"/>
  <c r="B34" i="20" s="1"/>
  <c r="M28" i="20"/>
  <c r="L28" i="20"/>
  <c r="K28" i="20"/>
  <c r="J28" i="20"/>
  <c r="I28" i="20"/>
  <c r="H28" i="20"/>
  <c r="G28" i="20"/>
  <c r="F28" i="20"/>
  <c r="E28" i="20"/>
  <c r="D28" i="20"/>
  <c r="C28" i="20"/>
  <c r="B28" i="20"/>
  <c r="M27" i="20"/>
  <c r="M35" i="20" s="1"/>
  <c r="L27" i="20"/>
  <c r="L35" i="20" s="1"/>
  <c r="K27" i="20"/>
  <c r="K35" i="20" s="1"/>
  <c r="J27" i="20"/>
  <c r="J35" i="20" s="1"/>
  <c r="I27" i="20"/>
  <c r="I35" i="20" s="1"/>
  <c r="H27" i="20"/>
  <c r="G27" i="20"/>
  <c r="F27" i="20"/>
  <c r="E27" i="20"/>
  <c r="D27" i="20"/>
  <c r="D35" i="20" s="1"/>
  <c r="C27" i="20"/>
  <c r="B27" i="20"/>
  <c r="B35" i="20" s="1"/>
  <c r="M23" i="20"/>
  <c r="L23" i="20"/>
  <c r="K23" i="20"/>
  <c r="J23" i="20"/>
  <c r="I23" i="20"/>
  <c r="H23" i="20"/>
  <c r="G23" i="20"/>
  <c r="F23" i="20"/>
  <c r="E23" i="20"/>
  <c r="D23" i="20"/>
  <c r="C23" i="20"/>
  <c r="B23" i="20"/>
  <c r="B24" i="20" s="1"/>
  <c r="M21" i="20"/>
  <c r="L21" i="20"/>
  <c r="K21" i="20"/>
  <c r="J21" i="20"/>
  <c r="I21" i="20"/>
  <c r="H21" i="20"/>
  <c r="G21" i="20"/>
  <c r="F21" i="20"/>
  <c r="E21" i="20"/>
  <c r="D21" i="20"/>
  <c r="C21" i="20"/>
  <c r="B21" i="20"/>
  <c r="B22" i="20" s="1"/>
  <c r="M15" i="20"/>
  <c r="L15" i="20"/>
  <c r="K15" i="20"/>
  <c r="J15" i="20"/>
  <c r="I15" i="20"/>
  <c r="H15" i="20"/>
  <c r="G15" i="20"/>
  <c r="F15" i="20"/>
  <c r="E15" i="20"/>
  <c r="D15" i="20"/>
  <c r="C15" i="20"/>
  <c r="B15" i="20"/>
  <c r="M14" i="20"/>
  <c r="L14" i="20"/>
  <c r="K14" i="20"/>
  <c r="J14" i="20"/>
  <c r="I14" i="20"/>
  <c r="H14" i="20"/>
  <c r="G14" i="20"/>
  <c r="F14" i="20"/>
  <c r="E14" i="20"/>
  <c r="D14" i="20"/>
  <c r="C14" i="20"/>
  <c r="B14" i="20"/>
  <c r="M11" i="20"/>
  <c r="L11" i="20"/>
  <c r="K11" i="20"/>
  <c r="J11" i="20"/>
  <c r="I11" i="20"/>
  <c r="H11" i="20"/>
  <c r="G11" i="20"/>
  <c r="G16" i="20" s="1"/>
  <c r="F11" i="20"/>
  <c r="E11" i="20"/>
  <c r="D11" i="20"/>
  <c r="C11" i="20"/>
  <c r="B11" i="20"/>
  <c r="B9" i="20" s="1"/>
  <c r="B10" i="20" s="1"/>
  <c r="M7" i="20"/>
  <c r="L7" i="20"/>
  <c r="K7" i="20"/>
  <c r="J7" i="20"/>
  <c r="I7" i="20"/>
  <c r="H7" i="20"/>
  <c r="G7" i="20"/>
  <c r="F7" i="20"/>
  <c r="E7" i="20"/>
  <c r="D7" i="20"/>
  <c r="C7" i="20"/>
  <c r="B7" i="20"/>
  <c r="B8" i="20" s="1"/>
  <c r="M5" i="20"/>
  <c r="M6" i="20" s="1"/>
  <c r="L5" i="20"/>
  <c r="L9" i="20" s="1"/>
  <c r="L10" i="20" s="1"/>
  <c r="K5" i="20"/>
  <c r="J5" i="20"/>
  <c r="I5" i="20"/>
  <c r="I8" i="20" s="1"/>
  <c r="H5" i="20"/>
  <c r="G5" i="20"/>
  <c r="F5" i="20"/>
  <c r="E5" i="20"/>
  <c r="D5" i="20"/>
  <c r="D9" i="20" s="1"/>
  <c r="D10" i="20" s="1"/>
  <c r="C5" i="20"/>
  <c r="B4" i="20"/>
  <c r="B80" i="20" s="1"/>
  <c r="A2" i="20"/>
  <c r="A1" i="20"/>
  <c r="M62" i="16"/>
  <c r="L62" i="16"/>
  <c r="K62" i="16"/>
  <c r="J62" i="16"/>
  <c r="I62" i="16"/>
  <c r="H62" i="16"/>
  <c r="G62" i="16"/>
  <c r="F62" i="16"/>
  <c r="E62" i="16"/>
  <c r="D62" i="16"/>
  <c r="C62" i="16"/>
  <c r="B62" i="16"/>
  <c r="M84" i="16"/>
  <c r="L84" i="16"/>
  <c r="K84" i="16"/>
  <c r="J84" i="16"/>
  <c r="I84" i="16"/>
  <c r="H84" i="16"/>
  <c r="G84" i="16"/>
  <c r="F84" i="16"/>
  <c r="E84" i="16"/>
  <c r="D84" i="16"/>
  <c r="C84" i="16"/>
  <c r="B84" i="16"/>
  <c r="M83" i="16"/>
  <c r="L83" i="16"/>
  <c r="K83" i="16"/>
  <c r="J83" i="16"/>
  <c r="I83" i="16"/>
  <c r="H83" i="16"/>
  <c r="G83" i="16"/>
  <c r="F83" i="16"/>
  <c r="E83" i="16"/>
  <c r="D83" i="16"/>
  <c r="C83" i="16"/>
  <c r="B83" i="16"/>
  <c r="M82" i="16"/>
  <c r="L82" i="16"/>
  <c r="K82" i="16"/>
  <c r="J82" i="16"/>
  <c r="I82" i="16"/>
  <c r="H82" i="16"/>
  <c r="G82" i="16"/>
  <c r="F82" i="16"/>
  <c r="E82" i="16"/>
  <c r="D82" i="16"/>
  <c r="C82" i="16"/>
  <c r="M81" i="16"/>
  <c r="L81" i="16"/>
  <c r="K81" i="16"/>
  <c r="J81" i="16"/>
  <c r="I81" i="16"/>
  <c r="H81" i="16"/>
  <c r="G81" i="16"/>
  <c r="F81" i="16"/>
  <c r="E81" i="16"/>
  <c r="D81" i="16"/>
  <c r="C81" i="16"/>
  <c r="M80" i="16"/>
  <c r="L80" i="16"/>
  <c r="K80" i="16"/>
  <c r="J80" i="16"/>
  <c r="I80" i="16"/>
  <c r="H80" i="16"/>
  <c r="G80" i="16"/>
  <c r="F80" i="16"/>
  <c r="E80" i="16"/>
  <c r="D80" i="16"/>
  <c r="C80" i="16"/>
  <c r="M79" i="16"/>
  <c r="L79" i="16"/>
  <c r="K79" i="16"/>
  <c r="J79" i="16"/>
  <c r="I79" i="16"/>
  <c r="H79" i="16"/>
  <c r="G79" i="16"/>
  <c r="F79" i="16"/>
  <c r="E79" i="16"/>
  <c r="D79" i="16"/>
  <c r="C79" i="16"/>
  <c r="B79" i="16"/>
  <c r="M78" i="16"/>
  <c r="L78" i="16"/>
  <c r="K78" i="16"/>
  <c r="J78" i="16"/>
  <c r="I78" i="16"/>
  <c r="H78" i="16"/>
  <c r="G78" i="16"/>
  <c r="F78" i="16"/>
  <c r="E78" i="16"/>
  <c r="D78" i="16"/>
  <c r="B78" i="16"/>
  <c r="M52" i="16"/>
  <c r="L52" i="16"/>
  <c r="J52" i="16"/>
  <c r="I52" i="16"/>
  <c r="H52" i="16"/>
  <c r="G52" i="16"/>
  <c r="F52" i="16"/>
  <c r="E52" i="16"/>
  <c r="D52" i="16"/>
  <c r="B52" i="16"/>
  <c r="C48" i="16"/>
  <c r="D48" i="16"/>
  <c r="E48" i="16"/>
  <c r="F48" i="16"/>
  <c r="G48" i="16"/>
  <c r="H48" i="16"/>
  <c r="I48" i="16"/>
  <c r="J48" i="16"/>
  <c r="K48" i="16"/>
  <c r="L48" i="16"/>
  <c r="M48" i="16"/>
  <c r="B48" i="16"/>
  <c r="M54" i="16"/>
  <c r="L54" i="16"/>
  <c r="K54" i="16"/>
  <c r="J54" i="16"/>
  <c r="I54" i="16"/>
  <c r="H54" i="16"/>
  <c r="G54" i="16"/>
  <c r="F54" i="16"/>
  <c r="E54" i="16"/>
  <c r="D54" i="16"/>
  <c r="C54" i="16"/>
  <c r="B54" i="16"/>
  <c r="M53" i="16"/>
  <c r="L53" i="16"/>
  <c r="K53" i="16"/>
  <c r="J53" i="16"/>
  <c r="I53" i="16"/>
  <c r="H53" i="16"/>
  <c r="G53" i="16"/>
  <c r="F53" i="16"/>
  <c r="E53" i="16"/>
  <c r="D53" i="16"/>
  <c r="C53" i="16"/>
  <c r="B53" i="16"/>
  <c r="M50" i="16"/>
  <c r="L50" i="16"/>
  <c r="K50" i="16"/>
  <c r="J50" i="16"/>
  <c r="I50" i="16"/>
  <c r="H50" i="16"/>
  <c r="G50" i="16"/>
  <c r="F50" i="16"/>
  <c r="E50" i="16"/>
  <c r="D50" i="16"/>
  <c r="C50" i="16"/>
  <c r="B50" i="16"/>
  <c r="M49" i="16"/>
  <c r="M58" i="16" s="1"/>
  <c r="L49" i="16"/>
  <c r="L58" i="16" s="1"/>
  <c r="K49" i="16"/>
  <c r="K58" i="16" s="1"/>
  <c r="J49" i="16"/>
  <c r="J58" i="16" s="1"/>
  <c r="I49" i="16"/>
  <c r="I58" i="16" s="1"/>
  <c r="H49" i="16"/>
  <c r="G49" i="16"/>
  <c r="F49" i="16"/>
  <c r="F58" i="16" s="1"/>
  <c r="E49" i="16"/>
  <c r="E58" i="16" s="1"/>
  <c r="J46" i="21" s="1"/>
  <c r="D49" i="16"/>
  <c r="D58" i="16" s="1"/>
  <c r="D44" i="4" s="1"/>
  <c r="C49" i="16"/>
  <c r="C58" i="16" s="1"/>
  <c r="B49" i="16"/>
  <c r="B58" i="16" s="1"/>
  <c r="B44" i="16"/>
  <c r="C66" i="10" s="1"/>
  <c r="M42" i="16"/>
  <c r="L42" i="16"/>
  <c r="K42" i="16"/>
  <c r="J42" i="16"/>
  <c r="I42" i="16"/>
  <c r="H42" i="16"/>
  <c r="G42" i="16"/>
  <c r="F42" i="16"/>
  <c r="E42" i="16"/>
  <c r="D42" i="16"/>
  <c r="C42" i="16"/>
  <c r="B42" i="16"/>
  <c r="C65" i="10" s="1"/>
  <c r="M41" i="16"/>
  <c r="L41" i="16"/>
  <c r="K41" i="16"/>
  <c r="J41" i="16"/>
  <c r="I41" i="16"/>
  <c r="H41" i="16"/>
  <c r="G41" i="16"/>
  <c r="F41" i="16"/>
  <c r="E41" i="16"/>
  <c r="D41" i="16"/>
  <c r="C41" i="16"/>
  <c r="B41" i="16"/>
  <c r="C63" i="10"/>
  <c r="M40" i="16"/>
  <c r="L40" i="16"/>
  <c r="K40" i="16"/>
  <c r="J40" i="16"/>
  <c r="I40" i="16"/>
  <c r="H40" i="16"/>
  <c r="G40" i="16"/>
  <c r="F40" i="16"/>
  <c r="E40" i="16"/>
  <c r="D40" i="16"/>
  <c r="C40" i="16"/>
  <c r="B40" i="16"/>
  <c r="C62" i="10" s="1"/>
  <c r="M39" i="16"/>
  <c r="M26" i="16" s="1"/>
  <c r="L39" i="16"/>
  <c r="K39" i="16"/>
  <c r="J39" i="16"/>
  <c r="J26" i="16" s="1"/>
  <c r="I39" i="16"/>
  <c r="H39" i="16"/>
  <c r="G39" i="16"/>
  <c r="F39" i="16"/>
  <c r="E39" i="16"/>
  <c r="D39" i="16"/>
  <c r="D43" i="4" s="1"/>
  <c r="C39" i="16"/>
  <c r="B39" i="16"/>
  <c r="C23" i="1" s="1"/>
  <c r="M33" i="16"/>
  <c r="L33" i="16"/>
  <c r="K33" i="16"/>
  <c r="J33" i="16"/>
  <c r="I33" i="16"/>
  <c r="H33" i="16"/>
  <c r="G33" i="16"/>
  <c r="F33" i="16"/>
  <c r="E33" i="16"/>
  <c r="D33" i="16"/>
  <c r="C33" i="16"/>
  <c r="E24" i="4" s="1"/>
  <c r="B33" i="16"/>
  <c r="F24" i="4" s="1"/>
  <c r="M32" i="16"/>
  <c r="M34" i="16" s="1"/>
  <c r="L32" i="16"/>
  <c r="K32" i="16"/>
  <c r="J32" i="16"/>
  <c r="J34" i="16" s="1"/>
  <c r="I32" i="16"/>
  <c r="I34" i="16" s="1"/>
  <c r="H32" i="16"/>
  <c r="G32" i="16"/>
  <c r="F32" i="16"/>
  <c r="F34" i="16" s="1"/>
  <c r="E32" i="16"/>
  <c r="D32" i="16"/>
  <c r="D23" i="4" s="1"/>
  <c r="D26" i="4" s="1"/>
  <c r="C32" i="16"/>
  <c r="E23" i="4"/>
  <c r="B32" i="16"/>
  <c r="F23" i="4" s="1"/>
  <c r="M28" i="16"/>
  <c r="L28" i="16"/>
  <c r="K28" i="16"/>
  <c r="J28" i="16"/>
  <c r="I28" i="16"/>
  <c r="H28" i="16"/>
  <c r="G28" i="16"/>
  <c r="F28" i="16"/>
  <c r="E28" i="16"/>
  <c r="D28" i="16"/>
  <c r="D29" i="4" s="1"/>
  <c r="C28" i="16"/>
  <c r="E29" i="4" s="1"/>
  <c r="B28" i="16"/>
  <c r="F29" i="4" s="1"/>
  <c r="M27" i="16"/>
  <c r="M35" i="16" s="1"/>
  <c r="L27" i="16"/>
  <c r="L35" i="16" s="1"/>
  <c r="K27" i="16"/>
  <c r="J27" i="16"/>
  <c r="I27" i="16"/>
  <c r="I35" i="16" s="1"/>
  <c r="H27" i="16"/>
  <c r="G27" i="16"/>
  <c r="F27" i="16"/>
  <c r="E27" i="16"/>
  <c r="E35" i="16" s="1"/>
  <c r="D27" i="16"/>
  <c r="D30" i="4" s="1"/>
  <c r="C27" i="16"/>
  <c r="B27" i="16"/>
  <c r="F30" i="4" s="1"/>
  <c r="M23" i="16"/>
  <c r="L23" i="16"/>
  <c r="K23" i="16"/>
  <c r="J23" i="16"/>
  <c r="I23" i="16"/>
  <c r="H23" i="16"/>
  <c r="G23" i="16"/>
  <c r="E23" i="16"/>
  <c r="D23" i="16"/>
  <c r="D17" i="4" s="1"/>
  <c r="I28" i="21" s="1"/>
  <c r="I29" i="21" s="1"/>
  <c r="C23" i="16"/>
  <c r="E17" i="4" s="1"/>
  <c r="J28" i="21" s="1"/>
  <c r="J29" i="21" s="1"/>
  <c r="M21" i="16"/>
  <c r="L21" i="16"/>
  <c r="K21" i="16"/>
  <c r="J21" i="16"/>
  <c r="I21" i="16"/>
  <c r="H21" i="16"/>
  <c r="G21" i="16"/>
  <c r="F21" i="16"/>
  <c r="E21" i="16"/>
  <c r="D21" i="16"/>
  <c r="C21" i="16"/>
  <c r="E16" i="4" s="1"/>
  <c r="B21" i="16"/>
  <c r="C58" i="10" s="1"/>
  <c r="M17" i="16"/>
  <c r="M17" i="20" s="1"/>
  <c r="L17" i="16"/>
  <c r="L17" i="20" s="1"/>
  <c r="K17" i="16"/>
  <c r="K17" i="20" s="1"/>
  <c r="J17" i="16"/>
  <c r="J17" i="20" s="1"/>
  <c r="I17" i="16"/>
  <c r="I17" i="20" s="1"/>
  <c r="H17" i="16"/>
  <c r="H17" i="20" s="1"/>
  <c r="G17" i="16"/>
  <c r="G17" i="20" s="1"/>
  <c r="F17" i="16"/>
  <c r="F17" i="20" s="1"/>
  <c r="E17" i="16"/>
  <c r="E17" i="20" s="1"/>
  <c r="D17" i="16"/>
  <c r="D17" i="20" s="1"/>
  <c r="C17" i="16"/>
  <c r="C17" i="20" s="1"/>
  <c r="B17" i="16"/>
  <c r="B17" i="20" s="1"/>
  <c r="M15" i="16"/>
  <c r="L15" i="16"/>
  <c r="K15" i="16"/>
  <c r="J15" i="16"/>
  <c r="I15" i="16"/>
  <c r="H15" i="16"/>
  <c r="G15" i="16"/>
  <c r="F15" i="16"/>
  <c r="E15" i="16"/>
  <c r="D15" i="16"/>
  <c r="C15" i="16"/>
  <c r="C16" i="16" s="1"/>
  <c r="B15" i="16"/>
  <c r="F14" i="4" s="1"/>
  <c r="M14" i="16"/>
  <c r="L14" i="16"/>
  <c r="K14" i="16"/>
  <c r="J14" i="16"/>
  <c r="I14" i="16"/>
  <c r="H14" i="16"/>
  <c r="G14" i="16"/>
  <c r="F14" i="16"/>
  <c r="E14" i="16"/>
  <c r="D14" i="16"/>
  <c r="D13" i="4" s="1"/>
  <c r="C14" i="16"/>
  <c r="E13" i="4" s="1"/>
  <c r="B14" i="16"/>
  <c r="F13" i="4" s="1"/>
  <c r="E8" i="4"/>
  <c r="E12" i="4" s="1"/>
  <c r="D11" i="16"/>
  <c r="E11" i="16"/>
  <c r="F11" i="16"/>
  <c r="G11" i="16"/>
  <c r="H11" i="16"/>
  <c r="I11" i="16"/>
  <c r="J11" i="16"/>
  <c r="K11" i="16"/>
  <c r="L11" i="16"/>
  <c r="M11" i="16"/>
  <c r="B11" i="16"/>
  <c r="F8" i="4" s="1"/>
  <c r="F12" i="4" s="1"/>
  <c r="C7" i="16"/>
  <c r="D7" i="16"/>
  <c r="E7" i="16"/>
  <c r="F7" i="16"/>
  <c r="G7" i="16"/>
  <c r="H7" i="16"/>
  <c r="I7" i="16"/>
  <c r="J7" i="16"/>
  <c r="K7" i="16"/>
  <c r="L7" i="16"/>
  <c r="M7" i="16"/>
  <c r="B7" i="16"/>
  <c r="M5" i="16"/>
  <c r="M6" i="16" s="1"/>
  <c r="L5" i="16"/>
  <c r="K5" i="16"/>
  <c r="J5" i="16"/>
  <c r="I5" i="16"/>
  <c r="H5" i="16"/>
  <c r="G5" i="16"/>
  <c r="F5" i="16"/>
  <c r="E5" i="16"/>
  <c r="C51" i="10" s="1"/>
  <c r="D5" i="16"/>
  <c r="C5" i="16"/>
  <c r="E6" i="4" s="1"/>
  <c r="J8" i="21" s="1"/>
  <c r="J32" i="21" s="1"/>
  <c r="B5" i="16"/>
  <c r="M13" i="17"/>
  <c r="M14" i="17"/>
  <c r="L13" i="17"/>
  <c r="L14" i="17"/>
  <c r="K13" i="17"/>
  <c r="K14" i="17"/>
  <c r="J13" i="17"/>
  <c r="I13" i="17"/>
  <c r="H13" i="17"/>
  <c r="H14" i="17"/>
  <c r="G13" i="17"/>
  <c r="G14" i="17"/>
  <c r="F13" i="17"/>
  <c r="E13" i="17"/>
  <c r="E14" i="17"/>
  <c r="D68" i="16"/>
  <c r="E68" i="16"/>
  <c r="F68" i="16"/>
  <c r="G68" i="16"/>
  <c r="H68" i="16"/>
  <c r="I68" i="16"/>
  <c r="K68" i="16"/>
  <c r="M71" i="16"/>
  <c r="L71" i="16"/>
  <c r="K71" i="16"/>
  <c r="J71" i="16"/>
  <c r="I71" i="16"/>
  <c r="H71" i="16"/>
  <c r="G71" i="16"/>
  <c r="F71" i="16"/>
  <c r="E71" i="16"/>
  <c r="D71" i="16"/>
  <c r="C71" i="16"/>
  <c r="B71" i="16"/>
  <c r="B67" i="16"/>
  <c r="M75" i="16"/>
  <c r="L75" i="16"/>
  <c r="K75" i="16"/>
  <c r="J75" i="16"/>
  <c r="I75" i="16"/>
  <c r="H75" i="16"/>
  <c r="G75" i="16"/>
  <c r="F75" i="16"/>
  <c r="E75" i="16"/>
  <c r="D75" i="16"/>
  <c r="C75" i="16"/>
  <c r="M67" i="16"/>
  <c r="J67" i="16"/>
  <c r="I67" i="16"/>
  <c r="H67" i="16"/>
  <c r="G67" i="16"/>
  <c r="F67" i="16"/>
  <c r="E67" i="16"/>
  <c r="D67" i="16"/>
  <c r="C67" i="16"/>
  <c r="C36" i="17"/>
  <c r="B36" i="17"/>
  <c r="B37" i="17"/>
  <c r="E31" i="17"/>
  <c r="F31" i="17"/>
  <c r="G31" i="17"/>
  <c r="H31" i="17"/>
  <c r="I31" i="17"/>
  <c r="J31" i="17"/>
  <c r="K31" i="17"/>
  <c r="L31" i="17"/>
  <c r="M31" i="17"/>
  <c r="C44" i="16"/>
  <c r="B44" i="20"/>
  <c r="B56" i="16"/>
  <c r="D55" i="16"/>
  <c r="E55" i="16"/>
  <c r="F55" i="16"/>
  <c r="G55" i="20"/>
  <c r="H55" i="20"/>
  <c r="I55" i="20"/>
  <c r="J55" i="20"/>
  <c r="L55" i="20"/>
  <c r="M55" i="16"/>
  <c r="B55" i="16"/>
  <c r="C51" i="16"/>
  <c r="D51" i="16"/>
  <c r="F51" i="20"/>
  <c r="G51" i="20"/>
  <c r="H51" i="20"/>
  <c r="J51" i="16"/>
  <c r="K51" i="20"/>
  <c r="L51" i="20"/>
  <c r="M51" i="20"/>
  <c r="B51" i="16"/>
  <c r="AB38" i="17"/>
  <c r="C37" i="17"/>
  <c r="G46" i="4"/>
  <c r="F45" i="4"/>
  <c r="J39" i="1"/>
  <c r="F46" i="4"/>
  <c r="K47" i="4"/>
  <c r="O47" i="4"/>
  <c r="S47" i="4"/>
  <c r="W47" i="4"/>
  <c r="AA47" i="4"/>
  <c r="AE47"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L47" i="4"/>
  <c r="P47" i="4"/>
  <c r="T47" i="4"/>
  <c r="X47" i="4"/>
  <c r="AB47" i="4"/>
  <c r="AF47" i="4"/>
  <c r="K46" i="4"/>
  <c r="O46" i="4"/>
  <c r="S46" i="4"/>
  <c r="W46" i="4"/>
  <c r="AA46" i="4"/>
  <c r="AE46" i="4"/>
  <c r="H45" i="4"/>
  <c r="L45" i="4"/>
  <c r="P45" i="4"/>
  <c r="T45" i="4"/>
  <c r="X45" i="4"/>
  <c r="AB45" i="4"/>
  <c r="AF45" i="4"/>
  <c r="Q47" i="4"/>
  <c r="U47" i="4"/>
  <c r="AC47" i="4"/>
  <c r="L46" i="4"/>
  <c r="T46" i="4"/>
  <c r="AB46" i="4"/>
  <c r="I45" i="4"/>
  <c r="Q45" i="4"/>
  <c r="Y45" i="4"/>
  <c r="N47" i="4"/>
  <c r="V47" i="4"/>
  <c r="I46" i="4"/>
  <c r="Q46" i="4"/>
  <c r="Y46" i="4"/>
  <c r="N45" i="4"/>
  <c r="V45" i="4"/>
  <c r="AD45" i="4"/>
  <c r="E51" i="16"/>
  <c r="L12" i="3"/>
  <c r="N22" i="3"/>
  <c r="C24" i="10"/>
  <c r="I24" i="10"/>
  <c r="D13" i="17"/>
  <c r="D14" i="17"/>
  <c r="L51" i="16"/>
  <c r="L55" i="16"/>
  <c r="F51" i="16"/>
  <c r="M51" i="16"/>
  <c r="B51" i="20"/>
  <c r="H55" i="16"/>
  <c r="D51" i="20"/>
  <c r="I55" i="16"/>
  <c r="E51" i="20"/>
  <c r="J55" i="16"/>
  <c r="D55" i="20"/>
  <c r="B56" i="20"/>
  <c r="E55" i="20"/>
  <c r="F55" i="20"/>
  <c r="C51" i="20"/>
  <c r="G51" i="16"/>
  <c r="G55" i="16"/>
  <c r="C44" i="20"/>
  <c r="H51" i="16"/>
  <c r="J51" i="20"/>
  <c r="B55" i="20"/>
  <c r="I51" i="20"/>
  <c r="I51" i="16"/>
  <c r="K51" i="16"/>
  <c r="M55" i="20"/>
  <c r="B2" i="3"/>
  <c r="B5" i="17"/>
  <c r="B4" i="16"/>
  <c r="C4" i="16"/>
  <c r="C91" i="16" s="1"/>
  <c r="L45" i="1"/>
  <c r="M45" i="1"/>
  <c r="B53" i="1"/>
  <c r="B52" i="1"/>
  <c r="B51" i="1"/>
  <c r="B50" i="1"/>
  <c r="B49" i="1"/>
  <c r="B48" i="1"/>
  <c r="B47" i="1"/>
  <c r="B46" i="1"/>
  <c r="B45" i="1"/>
  <c r="B84" i="17"/>
  <c r="B82" i="16"/>
  <c r="B83" i="17"/>
  <c r="B82" i="17"/>
  <c r="B80" i="16"/>
  <c r="I26" i="10"/>
  <c r="C12" i="19"/>
  <c r="C13" i="19"/>
  <c r="C14" i="19"/>
  <c r="C16" i="19"/>
  <c r="C17" i="19"/>
  <c r="C18" i="19"/>
  <c r="C19" i="19"/>
  <c r="C20" i="19"/>
  <c r="C21" i="19"/>
  <c r="C22" i="19"/>
  <c r="C7" i="19"/>
  <c r="C9" i="19"/>
  <c r="C10" i="19"/>
  <c r="I12" i="10"/>
  <c r="I40" i="10"/>
  <c r="C87" i="17"/>
  <c r="D87" i="17"/>
  <c r="AD53" i="17"/>
  <c r="AC53" i="17"/>
  <c r="AD52" i="17"/>
  <c r="AC52" i="17"/>
  <c r="AG45" i="17"/>
  <c r="AG52" i="17"/>
  <c r="AF45" i="17"/>
  <c r="AE45" i="17"/>
  <c r="AB45" i="17"/>
  <c r="AB52" i="17"/>
  <c r="AA45" i="17"/>
  <c r="AA52" i="17"/>
  <c r="Z45" i="17"/>
  <c r="Z52" i="17"/>
  <c r="AD44" i="17"/>
  <c r="AC44" i="17"/>
  <c r="AB44" i="17"/>
  <c r="AA44" i="17"/>
  <c r="Z44" i="17"/>
  <c r="AG44" i="17"/>
  <c r="AF44" i="17"/>
  <c r="AE44" i="17"/>
  <c r="AG39" i="17"/>
  <c r="AF39" i="17"/>
  <c r="AE39" i="17"/>
  <c r="AD39" i="17"/>
  <c r="AC39" i="17"/>
  <c r="AB39" i="17"/>
  <c r="AA39" i="17"/>
  <c r="Z39" i="17"/>
  <c r="J14" i="17"/>
  <c r="I14" i="17"/>
  <c r="F14" i="17"/>
  <c r="AA25" i="17"/>
  <c r="O74" i="17"/>
  <c r="AE12" i="17"/>
  <c r="AG11" i="17"/>
  <c r="AF11" i="17"/>
  <c r="AE11" i="17"/>
  <c r="AD11" i="17"/>
  <c r="L22" i="17"/>
  <c r="H22" i="17"/>
  <c r="D22" i="17"/>
  <c r="G22" i="17"/>
  <c r="F22" i="17"/>
  <c r="E22" i="17"/>
  <c r="C22" i="17"/>
  <c r="AG9" i="17"/>
  <c r="AF9" i="17"/>
  <c r="AD9" i="17"/>
  <c r="AC9" i="17"/>
  <c r="AB9" i="17"/>
  <c r="AA9" i="17"/>
  <c r="Z9" i="17"/>
  <c r="AG10" i="17"/>
  <c r="AF10" i="17"/>
  <c r="AE10" i="17"/>
  <c r="AD10" i="17"/>
  <c r="AC10" i="17"/>
  <c r="AB10" i="17"/>
  <c r="AA10" i="17"/>
  <c r="Z10" i="17"/>
  <c r="AG7" i="17"/>
  <c r="AG8" i="17"/>
  <c r="AF7" i="17"/>
  <c r="AF8" i="17"/>
  <c r="AE7" i="17"/>
  <c r="AE8" i="17"/>
  <c r="AD7" i="17"/>
  <c r="AD8" i="17"/>
  <c r="AC7" i="17"/>
  <c r="AC8" i="17"/>
  <c r="AB7" i="17"/>
  <c r="AB8" i="17"/>
  <c r="AA7" i="17"/>
  <c r="AA8" i="17"/>
  <c r="Z7" i="17"/>
  <c r="Z8" i="17"/>
  <c r="O7" i="17"/>
  <c r="A2" i="16"/>
  <c r="A1" i="16"/>
  <c r="D12" i="3"/>
  <c r="B11" i="3"/>
  <c r="B9" i="3"/>
  <c r="B8" i="3"/>
  <c r="B6" i="3"/>
  <c r="B5" i="3"/>
  <c r="Z13" i="17"/>
  <c r="Z14" i="17"/>
  <c r="C5" i="17"/>
  <c r="D5" i="17" s="1"/>
  <c r="K12" i="3"/>
  <c r="B10" i="3"/>
  <c r="H18" i="16"/>
  <c r="H18" i="20"/>
  <c r="E18" i="20"/>
  <c r="E18" i="16"/>
  <c r="L18" i="20"/>
  <c r="L18" i="16"/>
  <c r="D56" i="20"/>
  <c r="D56" i="16"/>
  <c r="K18" i="20"/>
  <c r="K18" i="16"/>
  <c r="B18" i="20"/>
  <c r="B18" i="16"/>
  <c r="G56" i="16"/>
  <c r="G56" i="20"/>
  <c r="C18" i="20"/>
  <c r="C18" i="16"/>
  <c r="C43" i="20"/>
  <c r="C43" i="16"/>
  <c r="J56" i="16"/>
  <c r="J56" i="20"/>
  <c r="F18" i="20"/>
  <c r="F18" i="16"/>
  <c r="E56" i="20"/>
  <c r="E56" i="16"/>
  <c r="B43" i="16"/>
  <c r="B43" i="20"/>
  <c r="G18" i="16"/>
  <c r="G18" i="20"/>
  <c r="B64" i="16"/>
  <c r="C70" i="10" s="1"/>
  <c r="B63" i="20"/>
  <c r="H56" i="16"/>
  <c r="H56" i="20"/>
  <c r="I18" i="20"/>
  <c r="I18" i="16"/>
  <c r="J18" i="20"/>
  <c r="J18" i="16"/>
  <c r="L56" i="20"/>
  <c r="L56" i="16"/>
  <c r="M56" i="20"/>
  <c r="M56" i="16"/>
  <c r="F56" i="16"/>
  <c r="F56" i="20"/>
  <c r="I56" i="16"/>
  <c r="I56" i="20"/>
  <c r="M18" i="16"/>
  <c r="M18" i="20"/>
  <c r="D18" i="16"/>
  <c r="D18" i="20"/>
  <c r="AD13" i="17"/>
  <c r="AD14" i="17"/>
  <c r="AB53" i="17"/>
  <c r="AG53" i="17"/>
  <c r="Z53" i="17"/>
  <c r="AA13" i="17"/>
  <c r="AA14" i="17"/>
  <c r="AC13" i="17"/>
  <c r="AC14" i="17"/>
  <c r="AG13" i="17"/>
  <c r="AG14" i="17"/>
  <c r="AA53" i="17"/>
  <c r="AB13" i="17"/>
  <c r="AB14" i="17"/>
  <c r="AE13" i="17"/>
  <c r="AE14" i="17"/>
  <c r="AE53" i="17"/>
  <c r="AF13" i="17"/>
  <c r="AF14" i="17"/>
  <c r="AF53" i="17"/>
  <c r="AF52" i="17"/>
  <c r="AE52" i="17"/>
  <c r="I39" i="10"/>
  <c r="I19" i="10"/>
  <c r="I10" i="10"/>
  <c r="I32" i="10"/>
  <c r="Q49" i="1"/>
  <c r="Q50" i="1"/>
  <c r="Q51" i="1"/>
  <c r="Q47" i="1"/>
  <c r="F56" i="1"/>
  <c r="F54" i="1"/>
  <c r="F57" i="1"/>
  <c r="Q52" i="1"/>
  <c r="Q48" i="1"/>
  <c r="Q53" i="1"/>
  <c r="F36" i="17"/>
  <c r="F37" i="17"/>
  <c r="J36" i="17"/>
  <c r="J37" i="17"/>
  <c r="M44" i="16"/>
  <c r="M36" i="17"/>
  <c r="M37" i="17"/>
  <c r="I44" i="16"/>
  <c r="I36" i="17"/>
  <c r="I37" i="17"/>
  <c r="I43" i="16"/>
  <c r="E44" i="16"/>
  <c r="E37" i="17"/>
  <c r="G36" i="17"/>
  <c r="G37" i="17"/>
  <c r="K36" i="17"/>
  <c r="K37" i="17"/>
  <c r="H36" i="17"/>
  <c r="H37" i="17"/>
  <c r="L44" i="16"/>
  <c r="L36" i="17"/>
  <c r="L37" i="17"/>
  <c r="L43" i="16"/>
  <c r="L44" i="20"/>
  <c r="G44" i="20"/>
  <c r="J44" i="16"/>
  <c r="J44" i="20"/>
  <c r="G64" i="16"/>
  <c r="G63" i="20"/>
  <c r="H64" i="16"/>
  <c r="H63" i="20"/>
  <c r="K43" i="20"/>
  <c r="K43" i="16"/>
  <c r="F43" i="20"/>
  <c r="F43" i="16"/>
  <c r="J43" i="20"/>
  <c r="J43" i="16"/>
  <c r="G43" i="16"/>
  <c r="G43" i="20"/>
  <c r="H44" i="20"/>
  <c r="F44" i="20"/>
  <c r="K44" i="16"/>
  <c r="F44" i="16"/>
  <c r="G44" i="16"/>
  <c r="H44" i="16"/>
  <c r="K44" i="20"/>
  <c r="L43" i="20"/>
  <c r="I43" i="20"/>
  <c r="E44" i="20"/>
  <c r="M44" i="20"/>
  <c r="I44" i="20"/>
  <c r="M64" i="16"/>
  <c r="M63" i="20"/>
  <c r="I64" i="16"/>
  <c r="I63" i="20"/>
  <c r="M43" i="16"/>
  <c r="M43" i="20"/>
  <c r="H43" i="20"/>
  <c r="H43" i="16"/>
  <c r="E43" i="16"/>
  <c r="E43" i="20"/>
  <c r="F64" i="16"/>
  <c r="F63" i="20"/>
  <c r="J64" i="16"/>
  <c r="J63" i="20"/>
  <c r="L64" i="16"/>
  <c r="L63" i="20"/>
  <c r="E64" i="16"/>
  <c r="E63" i="20"/>
  <c r="D36" i="17"/>
  <c r="D37" i="17"/>
  <c r="D43" i="20"/>
  <c r="D64" i="16"/>
  <c r="C64" i="16"/>
  <c r="C56" i="16"/>
  <c r="C47" i="17"/>
  <c r="C56" i="20"/>
  <c r="C52" i="20"/>
  <c r="D43" i="16"/>
  <c r="D63" i="20"/>
  <c r="D44" i="20"/>
  <c r="D44" i="16"/>
  <c r="C55" i="16"/>
  <c r="C55" i="20"/>
  <c r="C52" i="16"/>
  <c r="C63" i="20"/>
  <c r="B68" i="16"/>
  <c r="B75" i="16"/>
  <c r="C68" i="16"/>
  <c r="E25" i="4"/>
  <c r="K55" i="20"/>
  <c r="K56" i="16"/>
  <c r="K52" i="16"/>
  <c r="K55" i="16"/>
  <c r="K52" i="20"/>
  <c r="K64" i="16"/>
  <c r="K63" i="20"/>
  <c r="K56" i="20"/>
  <c r="K63" i="17"/>
  <c r="K67" i="16"/>
  <c r="L67" i="16"/>
  <c r="J68" i="16"/>
  <c r="L68" i="16"/>
  <c r="M68" i="16"/>
  <c r="C4" i="20"/>
  <c r="D4" i="20" s="1"/>
  <c r="G22" i="21"/>
  <c r="F22" i="21"/>
  <c r="O22" i="3"/>
  <c r="L22" i="3"/>
  <c r="G24" i="21"/>
  <c r="H38" i="4"/>
  <c r="I10" i="4" s="1"/>
  <c r="I22" i="21"/>
  <c r="I24" i="21"/>
  <c r="H22" i="21"/>
  <c r="H24" i="21"/>
  <c r="K24" i="21"/>
  <c r="J46" i="4"/>
  <c r="G45" i="4"/>
  <c r="H47" i="4"/>
  <c r="F55" i="1"/>
  <c r="J24" i="21"/>
  <c r="M16" i="20"/>
  <c r="B18" i="3"/>
  <c r="H27" i="1"/>
  <c r="B20" i="3"/>
  <c r="B7" i="3"/>
  <c r="O12" i="3"/>
  <c r="B19" i="3"/>
  <c r="H28" i="1"/>
  <c r="K22" i="3"/>
  <c r="B17" i="3"/>
  <c r="B12" i="3"/>
  <c r="B71" i="20"/>
  <c r="D4" i="16"/>
  <c r="D91" i="16" s="1"/>
  <c r="B91" i="16"/>
  <c r="B70" i="20"/>
  <c r="B81" i="16"/>
  <c r="B69" i="20"/>
  <c r="AR33" i="17"/>
  <c r="AQ33" i="17"/>
  <c r="AP33" i="17"/>
  <c r="AO33" i="17"/>
  <c r="AN33" i="17"/>
  <c r="AM33" i="17"/>
  <c r="AL33" i="17"/>
  <c r="AK33" i="17"/>
  <c r="AJ33" i="17"/>
  <c r="AI33" i="17"/>
  <c r="AH28" i="17"/>
  <c r="AH49" i="17"/>
  <c r="AH48" i="17"/>
  <c r="AS49" i="17"/>
  <c r="AS48" i="17"/>
  <c r="AR49" i="17"/>
  <c r="AR48" i="17"/>
  <c r="AQ49" i="17"/>
  <c r="AQ48" i="17"/>
  <c r="AP49" i="17"/>
  <c r="AP48" i="17"/>
  <c r="AO49" i="17"/>
  <c r="AO48" i="17"/>
  <c r="AN49" i="17"/>
  <c r="AN48" i="17"/>
  <c r="AM49" i="17"/>
  <c r="AM48" i="17"/>
  <c r="AL49" i="17"/>
  <c r="AL48" i="17"/>
  <c r="AK49" i="17"/>
  <c r="AK48" i="17"/>
  <c r="AJ49" i="17"/>
  <c r="AJ48" i="17"/>
  <c r="AI49" i="17"/>
  <c r="AI48" i="17"/>
  <c r="AH53" i="17"/>
  <c r="AH62" i="17"/>
  <c r="G39" i="4"/>
  <c r="H39" i="4"/>
  <c r="I38" i="4"/>
  <c r="J10" i="4" s="1"/>
  <c r="H26" i="1"/>
  <c r="B22" i="3"/>
  <c r="E4" i="16"/>
  <c r="F4" i="16" s="1"/>
  <c r="G4" i="16" s="1"/>
  <c r="H4" i="16" s="1"/>
  <c r="I4" i="16" s="1"/>
  <c r="J4" i="16" s="1"/>
  <c r="K4" i="16" s="1"/>
  <c r="L4" i="16" s="1"/>
  <c r="M4" i="16" s="1"/>
  <c r="I39" i="4"/>
  <c r="J39" i="4" s="1"/>
  <c r="AF20" i="4"/>
  <c r="H34" i="20" l="1"/>
  <c r="D34" i="4"/>
  <c r="E4" i="20"/>
  <c r="D80" i="20"/>
  <c r="E91" i="16"/>
  <c r="E5" i="17"/>
  <c r="C80" i="20"/>
  <c r="L36" i="20"/>
  <c r="C56" i="10"/>
  <c r="L19" i="20"/>
  <c r="D58" i="20"/>
  <c r="J38" i="4"/>
  <c r="B12" i="20"/>
  <c r="J29" i="16"/>
  <c r="M8" i="16"/>
  <c r="E8" i="16"/>
  <c r="M16" i="16"/>
  <c r="I19" i="16"/>
  <c r="I20" i="16" s="1"/>
  <c r="F22" i="16"/>
  <c r="C57" i="10"/>
  <c r="B6" i="20"/>
  <c r="F22" i="20"/>
  <c r="F24" i="20"/>
  <c r="K22" i="20"/>
  <c r="K16" i="16"/>
  <c r="D19" i="16"/>
  <c r="I47" i="21" s="1"/>
  <c r="E24" i="16"/>
  <c r="K26" i="16"/>
  <c r="K29" i="16" s="1"/>
  <c r="J30" i="16" s="1"/>
  <c r="J31" i="16" s="1"/>
  <c r="J22" i="20"/>
  <c r="C8" i="20"/>
  <c r="I60" i="16"/>
  <c r="D12" i="20"/>
  <c r="D24" i="20"/>
  <c r="D14" i="4"/>
  <c r="J22" i="16"/>
  <c r="E22" i="16"/>
  <c r="I22" i="16"/>
  <c r="K24" i="16"/>
  <c r="H26" i="16"/>
  <c r="H29" i="16" s="1"/>
  <c r="L26" i="16"/>
  <c r="L60" i="16"/>
  <c r="M29" i="16"/>
  <c r="M24" i="20"/>
  <c r="M25" i="20" s="1"/>
  <c r="M22" i="16"/>
  <c r="M19" i="16"/>
  <c r="M20" i="16" s="1"/>
  <c r="M19" i="20"/>
  <c r="M36" i="20"/>
  <c r="M58" i="20"/>
  <c r="M59" i="20" s="1"/>
  <c r="M12" i="16"/>
  <c r="M13" i="16" s="1"/>
  <c r="L9" i="16"/>
  <c r="L10" i="16" s="1"/>
  <c r="L12" i="20"/>
  <c r="L29" i="16"/>
  <c r="L30" i="16" s="1"/>
  <c r="L31" i="16" s="1"/>
  <c r="K9" i="20"/>
  <c r="K10" i="20" s="1"/>
  <c r="I8" i="16"/>
  <c r="J8" i="16"/>
  <c r="B36" i="20"/>
  <c r="I46" i="21"/>
  <c r="I48" i="21" s="1"/>
  <c r="L22" i="20"/>
  <c r="F17" i="4"/>
  <c r="K28" i="21" s="1"/>
  <c r="K29" i="21" s="1"/>
  <c r="D8" i="20"/>
  <c r="L20" i="20"/>
  <c r="G35" i="16"/>
  <c r="K35" i="16"/>
  <c r="K36" i="16" s="1"/>
  <c r="L8" i="20"/>
  <c r="L24" i="20"/>
  <c r="D6" i="4"/>
  <c r="I8" i="21" s="1"/>
  <c r="I32" i="21" s="1"/>
  <c r="I33" i="21" s="1"/>
  <c r="L16" i="20"/>
  <c r="L36" i="16"/>
  <c r="M20" i="20"/>
  <c r="D22" i="20"/>
  <c r="H22" i="20"/>
  <c r="K36" i="20"/>
  <c r="C35" i="20"/>
  <c r="C36" i="20" s="1"/>
  <c r="C58" i="20"/>
  <c r="C59" i="20" s="1"/>
  <c r="K58" i="20"/>
  <c r="K59" i="20" s="1"/>
  <c r="E58" i="20"/>
  <c r="E59" i="20" s="1"/>
  <c r="I58" i="20"/>
  <c r="I59" i="20" s="1"/>
  <c r="M9" i="20"/>
  <c r="M10" i="20" s="1"/>
  <c r="I22" i="20"/>
  <c r="L6" i="20"/>
  <c r="M12" i="20"/>
  <c r="M13" i="20" s="1"/>
  <c r="L59" i="16"/>
  <c r="I59" i="16"/>
  <c r="L19" i="16"/>
  <c r="L20" i="16" s="1"/>
  <c r="I36" i="16"/>
  <c r="F26" i="16"/>
  <c r="I26" i="16"/>
  <c r="I29" i="16" s="1"/>
  <c r="I30" i="16" s="1"/>
  <c r="I31" i="16" s="1"/>
  <c r="G9" i="20"/>
  <c r="G10" i="20" s="1"/>
  <c r="K6" i="20"/>
  <c r="F8" i="20"/>
  <c r="E22" i="20"/>
  <c r="I24" i="20"/>
  <c r="E35" i="20"/>
  <c r="E36" i="20" s="1"/>
  <c r="L26" i="20"/>
  <c r="B58" i="20"/>
  <c r="B59" i="20" s="1"/>
  <c r="J35" i="16"/>
  <c r="J24" i="20"/>
  <c r="J58" i="20"/>
  <c r="J59" i="20" s="1"/>
  <c r="L6" i="16"/>
  <c r="L12" i="16"/>
  <c r="L13" i="16" s="1"/>
  <c r="L24" i="16"/>
  <c r="K25" i="16" s="1"/>
  <c r="L8" i="16"/>
  <c r="D8" i="16"/>
  <c r="I16" i="20"/>
  <c r="I19" i="20"/>
  <c r="I20" i="20" s="1"/>
  <c r="I12" i="20"/>
  <c r="D36" i="20"/>
  <c r="K9" i="16"/>
  <c r="K10" i="16" s="1"/>
  <c r="K6" i="16"/>
  <c r="M59" i="16"/>
  <c r="M60" i="16"/>
  <c r="M30" i="16"/>
  <c r="M31" i="16" s="1"/>
  <c r="K8" i="16"/>
  <c r="D8" i="4"/>
  <c r="D12" i="4" s="1"/>
  <c r="AH44" i="17" s="1"/>
  <c r="D16" i="16"/>
  <c r="F19" i="16"/>
  <c r="K47" i="21" s="1"/>
  <c r="J16" i="16"/>
  <c r="C9" i="20"/>
  <c r="C10" i="20" s="1"/>
  <c r="C24" i="20"/>
  <c r="F16" i="20"/>
  <c r="F12" i="20"/>
  <c r="I36" i="20"/>
  <c r="L58" i="20"/>
  <c r="L59" i="20" s="1"/>
  <c r="J26" i="20"/>
  <c r="J29" i="20" s="1"/>
  <c r="I26" i="20"/>
  <c r="I29" i="20" s="1"/>
  <c r="K22" i="16"/>
  <c r="D22" i="16"/>
  <c r="D16" i="4"/>
  <c r="L22" i="16"/>
  <c r="L34" i="16"/>
  <c r="C6" i="20"/>
  <c r="D6" i="20"/>
  <c r="K8" i="20"/>
  <c r="C12" i="20"/>
  <c r="I9" i="16"/>
  <c r="I10" i="16" s="1"/>
  <c r="C8" i="16"/>
  <c r="E26" i="4"/>
  <c r="E34" i="4" s="1"/>
  <c r="E34" i="16"/>
  <c r="E24" i="20"/>
  <c r="K12" i="20"/>
  <c r="K13" i="20" s="1"/>
  <c r="C16" i="20"/>
  <c r="I34" i="20"/>
  <c r="L29" i="20"/>
  <c r="F58" i="20"/>
  <c r="F59" i="20" s="1"/>
  <c r="C24" i="16"/>
  <c r="I9" i="20"/>
  <c r="I10" i="20" s="1"/>
  <c r="J59" i="16"/>
  <c r="F9" i="16"/>
  <c r="F10" i="16" s="1"/>
  <c r="I6" i="16"/>
  <c r="G16" i="16"/>
  <c r="G22" i="16"/>
  <c r="I24" i="16"/>
  <c r="M36" i="16"/>
  <c r="C34" i="16"/>
  <c r="G34" i="16"/>
  <c r="K34" i="16"/>
  <c r="M8" i="20"/>
  <c r="E16" i="20"/>
  <c r="D16" i="20"/>
  <c r="C22" i="20"/>
  <c r="M29" i="20"/>
  <c r="M30" i="20" s="1"/>
  <c r="M31" i="20" s="1"/>
  <c r="B26" i="16"/>
  <c r="B29" i="16" s="1"/>
  <c r="F26" i="4"/>
  <c r="F34" i="4" s="1"/>
  <c r="C61" i="10"/>
  <c r="C25" i="10" s="1"/>
  <c r="I25" i="10" s="1"/>
  <c r="B34" i="16"/>
  <c r="G36" i="16"/>
  <c r="G58" i="16"/>
  <c r="G59" i="16" s="1"/>
  <c r="G8" i="20"/>
  <c r="G12" i="20"/>
  <c r="G22" i="20"/>
  <c r="G9" i="16"/>
  <c r="G10" i="16" s="1"/>
  <c r="G6" i="20"/>
  <c r="F6" i="20"/>
  <c r="G24" i="16"/>
  <c r="G8" i="16"/>
  <c r="G24" i="20"/>
  <c r="F25" i="20" s="1"/>
  <c r="G58" i="20"/>
  <c r="G59" i="20" s="1"/>
  <c r="K59" i="16"/>
  <c r="K60" i="16"/>
  <c r="G19" i="20"/>
  <c r="G20" i="20" s="1"/>
  <c r="C59" i="16"/>
  <c r="E44" i="4"/>
  <c r="AI44" i="17" s="1"/>
  <c r="C60" i="16"/>
  <c r="J49" i="21" s="1"/>
  <c r="J9" i="20"/>
  <c r="J10" i="20" s="1"/>
  <c r="J6" i="20"/>
  <c r="J24" i="16"/>
  <c r="J25" i="16" s="1"/>
  <c r="F16" i="16"/>
  <c r="J36" i="20"/>
  <c r="M9" i="16"/>
  <c r="M10" i="16" s="1"/>
  <c r="C12" i="16"/>
  <c r="C6" i="16"/>
  <c r="C9" i="16"/>
  <c r="C10" i="16" s="1"/>
  <c r="C52" i="10"/>
  <c r="K19" i="16"/>
  <c r="K20" i="16" s="1"/>
  <c r="K12" i="16"/>
  <c r="G12" i="16"/>
  <c r="C19" i="16"/>
  <c r="H47" i="21" s="1"/>
  <c r="E36" i="16"/>
  <c r="J8" i="20"/>
  <c r="K24" i="20"/>
  <c r="K25" i="20" s="1"/>
  <c r="G34" i="20"/>
  <c r="B26" i="20"/>
  <c r="B29" i="20" s="1"/>
  <c r="F26" i="20"/>
  <c r="F29" i="20" s="1"/>
  <c r="M24" i="16"/>
  <c r="K19" i="20"/>
  <c r="K20" i="20" s="1"/>
  <c r="I6" i="20"/>
  <c r="L16" i="16"/>
  <c r="F8" i="16"/>
  <c r="J60" i="16"/>
  <c r="J12" i="16"/>
  <c r="J19" i="16"/>
  <c r="J20" i="16" s="1"/>
  <c r="D59" i="20"/>
  <c r="J9" i="16"/>
  <c r="J10" i="16" s="1"/>
  <c r="J6" i="16"/>
  <c r="G19" i="16"/>
  <c r="G20" i="16" s="1"/>
  <c r="D35" i="16"/>
  <c r="D36" i="16" s="1"/>
  <c r="J12" i="20"/>
  <c r="F24" i="16"/>
  <c r="E25" i="16" s="1"/>
  <c r="K26" i="20"/>
  <c r="K29" i="20" s="1"/>
  <c r="K30" i="20" s="1"/>
  <c r="K31" i="20" s="1"/>
  <c r="C19" i="20"/>
  <c r="C20" i="20" s="1"/>
  <c r="C26" i="16"/>
  <c r="C29" i="16" s="1"/>
  <c r="G35" i="20"/>
  <c r="G36" i="20" s="1"/>
  <c r="E34" i="20"/>
  <c r="D59" i="16"/>
  <c r="D60" i="16"/>
  <c r="I49" i="21" s="1"/>
  <c r="I50" i="21" s="1"/>
  <c r="F29" i="16"/>
  <c r="D20" i="16"/>
  <c r="B6" i="16"/>
  <c r="I16" i="16"/>
  <c r="I12" i="16"/>
  <c r="E12" i="16"/>
  <c r="E19" i="16"/>
  <c r="E30" i="4"/>
  <c r="E35" i="4" s="1"/>
  <c r="C35" i="16"/>
  <c r="C36" i="16" s="1"/>
  <c r="F35" i="16"/>
  <c r="F36" i="16" s="1"/>
  <c r="F9" i="20"/>
  <c r="F10" i="20" s="1"/>
  <c r="D19" i="20"/>
  <c r="D20" i="20" s="1"/>
  <c r="K16" i="20"/>
  <c r="J16" i="20"/>
  <c r="J19" i="20"/>
  <c r="J20" i="20" s="1"/>
  <c r="M22" i="20"/>
  <c r="F35" i="20"/>
  <c r="F36" i="20" s="1"/>
  <c r="D24" i="16"/>
  <c r="D25" i="16" s="1"/>
  <c r="H6" i="16"/>
  <c r="G26" i="20"/>
  <c r="G29" i="20" s="1"/>
  <c r="B19" i="20"/>
  <c r="B20" i="20" s="1"/>
  <c r="B9" i="16"/>
  <c r="B10" i="16" s="1"/>
  <c r="B16" i="20"/>
  <c r="B25" i="20"/>
  <c r="B8" i="16"/>
  <c r="B24" i="16"/>
  <c r="B25" i="16" s="1"/>
  <c r="B19" i="16"/>
  <c r="K21" i="1" s="1"/>
  <c r="F6" i="4"/>
  <c r="C53" i="10"/>
  <c r="C15" i="10" s="1"/>
  <c r="I15" i="10" s="1"/>
  <c r="B22" i="16"/>
  <c r="F59" i="16"/>
  <c r="K46" i="21"/>
  <c r="F60" i="16"/>
  <c r="G49" i="21" s="1"/>
  <c r="F12" i="16"/>
  <c r="F6" i="16"/>
  <c r="F19" i="20"/>
  <c r="F20" i="20" s="1"/>
  <c r="E26" i="16"/>
  <c r="E29" i="16" s="1"/>
  <c r="E26" i="20"/>
  <c r="E29" i="20" s="1"/>
  <c r="E25" i="20"/>
  <c r="E19" i="20"/>
  <c r="E20" i="20" s="1"/>
  <c r="D6" i="16"/>
  <c r="D5" i="4" s="1"/>
  <c r="E9" i="16"/>
  <c r="E10" i="16" s="1"/>
  <c r="E8" i="20"/>
  <c r="E59" i="16"/>
  <c r="E6" i="20"/>
  <c r="E12" i="20"/>
  <c r="E16" i="16"/>
  <c r="E60" i="16"/>
  <c r="H49" i="21" s="1"/>
  <c r="E9" i="20"/>
  <c r="E10" i="20" s="1"/>
  <c r="D26" i="16"/>
  <c r="D29" i="16" s="1"/>
  <c r="E6" i="16"/>
  <c r="D26" i="20"/>
  <c r="D29" i="20" s="1"/>
  <c r="C25" i="16"/>
  <c r="D32" i="4"/>
  <c r="D35" i="4"/>
  <c r="D36" i="4" s="1"/>
  <c r="C26" i="20"/>
  <c r="C29" i="20" s="1"/>
  <c r="D7" i="4"/>
  <c r="I14" i="21" s="1"/>
  <c r="I39" i="21"/>
  <c r="D9" i="16"/>
  <c r="D10" i="16" s="1"/>
  <c r="D12" i="16"/>
  <c r="D34" i="16"/>
  <c r="C20" i="16"/>
  <c r="J39" i="21"/>
  <c r="J33" i="21"/>
  <c r="H46" i="21"/>
  <c r="C22" i="16"/>
  <c r="E7" i="4"/>
  <c r="J14" i="21" s="1"/>
  <c r="E14" i="4"/>
  <c r="E15" i="4" s="1"/>
  <c r="C35" i="10"/>
  <c r="C17" i="10"/>
  <c r="I17" i="10" s="1"/>
  <c r="F32" i="4"/>
  <c r="F35" i="4"/>
  <c r="C22" i="1"/>
  <c r="G46" i="21"/>
  <c r="B60" i="16"/>
  <c r="K49" i="21" s="1"/>
  <c r="F44" i="4"/>
  <c r="AJ44" i="17" s="1"/>
  <c r="B59" i="16"/>
  <c r="C69" i="10"/>
  <c r="L51" i="1"/>
  <c r="B16" i="16"/>
  <c r="E22" i="1"/>
  <c r="F15" i="4"/>
  <c r="C54" i="10"/>
  <c r="F16" i="4"/>
  <c r="B35" i="16"/>
  <c r="B36" i="16" s="1"/>
  <c r="F19" i="4"/>
  <c r="E19" i="4"/>
  <c r="D19" i="4"/>
  <c r="B12" i="16"/>
  <c r="B13" i="16" s="1"/>
  <c r="G37" i="10"/>
  <c r="G36" i="10"/>
  <c r="H37" i="10"/>
  <c r="H36" i="10"/>
  <c r="G49" i="10"/>
  <c r="C49" i="10"/>
  <c r="G106" i="1" s="1"/>
  <c r="C19" i="1" a="1"/>
  <c r="C19" i="1" s="1"/>
  <c r="D73" i="4" s="1"/>
  <c r="C8" i="10"/>
  <c r="C45" i="10" s="1" a="1"/>
  <c r="C45" i="10" s="1"/>
  <c r="C47" i="10" s="1"/>
  <c r="I47" i="10" s="1"/>
  <c r="F49" i="10"/>
  <c r="H24" i="20"/>
  <c r="G25" i="20" s="1"/>
  <c r="H6" i="20"/>
  <c r="L54" i="1"/>
  <c r="H35" i="16"/>
  <c r="H36" i="16" s="1"/>
  <c r="H16" i="20"/>
  <c r="E49" i="10"/>
  <c r="H58" i="16"/>
  <c r="H60" i="16" s="1"/>
  <c r="H35" i="20"/>
  <c r="H36" i="20" s="1"/>
  <c r="H16" i="16"/>
  <c r="K22" i="1"/>
  <c r="E25" i="1"/>
  <c r="E24" i="1"/>
  <c r="K29" i="1"/>
  <c r="E23" i="1"/>
  <c r="M47" i="1"/>
  <c r="H9" i="16"/>
  <c r="H10" i="16" s="1"/>
  <c r="L52" i="1"/>
  <c r="M46" i="1"/>
  <c r="L49" i="1"/>
  <c r="H12" i="16"/>
  <c r="H13" i="16" s="1"/>
  <c r="E28" i="1"/>
  <c r="L53" i="1"/>
  <c r="M51" i="1"/>
  <c r="H24" i="16"/>
  <c r="H25" i="16" s="1"/>
  <c r="H19" i="16"/>
  <c r="H20" i="16" s="1"/>
  <c r="H8" i="16"/>
  <c r="H34" i="16"/>
  <c r="I45" i="1" s="1" a="1"/>
  <c r="I45" i="1" s="1"/>
  <c r="C45" i="1" a="1"/>
  <c r="N50" i="1" s="1"/>
  <c r="H22" i="16"/>
  <c r="G26" i="16"/>
  <c r="G29" i="16" s="1"/>
  <c r="F30" i="16" s="1"/>
  <c r="F31" i="16" s="1"/>
  <c r="G6" i="16"/>
  <c r="H45" i="1" a="1"/>
  <c r="R52" i="1" s="1"/>
  <c r="E27" i="1"/>
  <c r="M53" i="1"/>
  <c r="K23" i="1"/>
  <c r="M49" i="1"/>
  <c r="L46" i="1"/>
  <c r="L48" i="1"/>
  <c r="M54" i="1"/>
  <c r="K30" i="1"/>
  <c r="E30" i="1"/>
  <c r="K28" i="1"/>
  <c r="L50" i="1"/>
  <c r="L47" i="1"/>
  <c r="M52" i="1"/>
  <c r="E20" i="1"/>
  <c r="M50" i="1"/>
  <c r="K24" i="1"/>
  <c r="K25" i="1" s="1"/>
  <c r="H8" i="20"/>
  <c r="H12" i="20"/>
  <c r="G13" i="20" s="1"/>
  <c r="H58" i="20"/>
  <c r="H59" i="20" s="1"/>
  <c r="E21" i="1"/>
  <c r="M48" i="1"/>
  <c r="H19" i="20"/>
  <c r="H20" i="20" s="1"/>
  <c r="H26" i="20"/>
  <c r="H29" i="20" s="1"/>
  <c r="H9" i="20"/>
  <c r="H10" i="20" s="1"/>
  <c r="E19" i="1"/>
  <c r="L55" i="1" l="1"/>
  <c r="L25" i="20"/>
  <c r="F36" i="4"/>
  <c r="F5" i="17"/>
  <c r="E80" i="20"/>
  <c r="F4" i="20"/>
  <c r="G4" i="20" s="1"/>
  <c r="H4" i="20" s="1"/>
  <c r="I4" i="20" s="1"/>
  <c r="J4" i="20" s="1"/>
  <c r="K4" i="20" s="1"/>
  <c r="L4" i="20" s="1"/>
  <c r="M4" i="20" s="1"/>
  <c r="K8" i="21"/>
  <c r="F5" i="4"/>
  <c r="I25" i="20"/>
  <c r="K10" i="4"/>
  <c r="K39" i="4" s="1"/>
  <c r="B20" i="16"/>
  <c r="E26" i="1" s="1"/>
  <c r="D25" i="20"/>
  <c r="F20" i="16"/>
  <c r="D15" i="4"/>
  <c r="K50" i="21"/>
  <c r="D13" i="16"/>
  <c r="D30" i="20"/>
  <c r="D31" i="20" s="1"/>
  <c r="K48" i="21"/>
  <c r="F30" i="20"/>
  <c r="F31" i="20" s="1"/>
  <c r="E36" i="4"/>
  <c r="E43" i="4" s="1"/>
  <c r="J13" i="20"/>
  <c r="C13" i="20"/>
  <c r="C25" i="20"/>
  <c r="B30" i="16"/>
  <c r="B31" i="16" s="1"/>
  <c r="F7" i="4"/>
  <c r="K14" i="21" s="1"/>
  <c r="E45" i="1" a="1"/>
  <c r="E45" i="1" s="1"/>
  <c r="I13" i="16"/>
  <c r="J36" i="16"/>
  <c r="J13" i="16"/>
  <c r="AH45" i="17"/>
  <c r="K30" i="16"/>
  <c r="K31" i="16" s="1"/>
  <c r="K13" i="16"/>
  <c r="H48" i="21"/>
  <c r="D30" i="16"/>
  <c r="D31" i="16" s="1"/>
  <c r="E13" i="16"/>
  <c r="G60" i="16"/>
  <c r="F13" i="20"/>
  <c r="E5" i="4"/>
  <c r="L30" i="20"/>
  <c r="L31" i="20" s="1"/>
  <c r="L13" i="20"/>
  <c r="I30" i="20"/>
  <c r="I31" i="20" s="1"/>
  <c r="F25" i="16"/>
  <c r="B13" i="20"/>
  <c r="I25" i="16"/>
  <c r="C28" i="10"/>
  <c r="I28" i="10" s="1"/>
  <c r="C14" i="10"/>
  <c r="I14" i="10" s="1"/>
  <c r="F13" i="16"/>
  <c r="E30" i="20"/>
  <c r="E31" i="20" s="1"/>
  <c r="E32" i="4"/>
  <c r="J25" i="20"/>
  <c r="J47" i="21"/>
  <c r="E20" i="16"/>
  <c r="M25" i="16"/>
  <c r="L25" i="16"/>
  <c r="C30" i="20"/>
  <c r="C31" i="20" s="1"/>
  <c r="E30" i="16"/>
  <c r="E31" i="16" s="1"/>
  <c r="I13" i="20"/>
  <c r="H50" i="21"/>
  <c r="J30" i="20"/>
  <c r="J31" i="20" s="1"/>
  <c r="C30" i="10"/>
  <c r="I30" i="10" s="1"/>
  <c r="C34" i="10"/>
  <c r="I34" i="10" s="1"/>
  <c r="C11" i="10"/>
  <c r="C13" i="10"/>
  <c r="I13" i="10" s="1"/>
  <c r="C31" i="10"/>
  <c r="I31" i="10" s="1"/>
  <c r="C16" i="10"/>
  <c r="I16" i="10" s="1"/>
  <c r="G47" i="21"/>
  <c r="G48" i="21" s="1"/>
  <c r="C55" i="10"/>
  <c r="C22" i="10" s="1"/>
  <c r="I22" i="10" s="1"/>
  <c r="E13" i="20"/>
  <c r="D13" i="20"/>
  <c r="C30" i="16"/>
  <c r="C31" i="16" s="1"/>
  <c r="B30" i="20"/>
  <c r="B31" i="20" s="1"/>
  <c r="C13" i="16"/>
  <c r="C29" i="10"/>
  <c r="I29" i="10" s="1"/>
  <c r="C27" i="10"/>
  <c r="I27" i="10" s="1"/>
  <c r="C36" i="10"/>
  <c r="I36" i="10" s="1"/>
  <c r="C20" i="10"/>
  <c r="I20" i="10" s="1"/>
  <c r="C18" i="10"/>
  <c r="I18" i="10" s="1"/>
  <c r="I35" i="10"/>
  <c r="B85" i="17"/>
  <c r="C21" i="1"/>
  <c r="M25" i="1" s="1"/>
  <c r="H25" i="20"/>
  <c r="H59" i="16"/>
  <c r="G45" i="1" s="1" a="1"/>
  <c r="G45" i="1" s="1"/>
  <c r="D45" i="1" a="1"/>
  <c r="D57" i="1" s="1"/>
  <c r="M24" i="1"/>
  <c r="G13" i="16"/>
  <c r="C56" i="1"/>
  <c r="N48" i="1"/>
  <c r="N51" i="1"/>
  <c r="C45" i="1"/>
  <c r="C54" i="1" s="1"/>
  <c r="N54" i="1" s="1"/>
  <c r="C57" i="1"/>
  <c r="N47" i="1"/>
  <c r="H45" i="1"/>
  <c r="H54" i="1" s="1"/>
  <c r="G25" i="16"/>
  <c r="R53" i="1"/>
  <c r="M55" i="1"/>
  <c r="R50" i="1"/>
  <c r="R51" i="1"/>
  <c r="R49" i="1"/>
  <c r="S49" i="1"/>
  <c r="S47" i="1"/>
  <c r="H13" i="20"/>
  <c r="R47" i="1"/>
  <c r="R48" i="1"/>
  <c r="H57" i="1"/>
  <c r="S48" i="1"/>
  <c r="S51" i="1"/>
  <c r="S52" i="1"/>
  <c r="L56" i="1"/>
  <c r="S50" i="1"/>
  <c r="M56" i="1"/>
  <c r="S53" i="1"/>
  <c r="N49" i="1"/>
  <c r="N53" i="1"/>
  <c r="N52" i="1"/>
  <c r="H30" i="20"/>
  <c r="H31" i="20" s="1"/>
  <c r="G30" i="20"/>
  <c r="G31" i="20" s="1"/>
  <c r="H30" i="16"/>
  <c r="H31" i="16" s="1"/>
  <c r="G30" i="16"/>
  <c r="G31" i="16" s="1"/>
  <c r="K27" i="1"/>
  <c r="K26" i="1"/>
  <c r="M23" i="1"/>
  <c r="L57" i="1" l="1"/>
  <c r="M57" i="1"/>
  <c r="F43" i="4"/>
  <c r="G13" i="4" s="1"/>
  <c r="M31" i="1"/>
  <c r="C41" i="10" s="1"/>
  <c r="I41" i="10" s="1"/>
  <c r="M28" i="1"/>
  <c r="G5" i="17"/>
  <c r="C24" i="1"/>
  <c r="M27" i="1" s="1"/>
  <c r="K38" i="4"/>
  <c r="K32" i="21"/>
  <c r="M8" i="21"/>
  <c r="N8" i="21" s="1"/>
  <c r="G7" i="4"/>
  <c r="C37" i="10"/>
  <c r="I37" i="10" s="1"/>
  <c r="M30" i="1"/>
  <c r="C21" i="10"/>
  <c r="I21" i="10" s="1"/>
  <c r="J48" i="21"/>
  <c r="L48" i="21" s="1"/>
  <c r="J50" i="21"/>
  <c r="G50" i="21"/>
  <c r="K10" i="10"/>
  <c r="C6" i="21" s="1"/>
  <c r="I11" i="10"/>
  <c r="O53" i="1"/>
  <c r="O50" i="1"/>
  <c r="O52" i="1"/>
  <c r="D45" i="1"/>
  <c r="D56" i="1" s="1"/>
  <c r="O47" i="1"/>
  <c r="O48" i="1"/>
  <c r="O49" i="1"/>
  <c r="O51" i="1"/>
  <c r="N46" i="1"/>
  <c r="C55" i="1" s="1"/>
  <c r="H56" i="1"/>
  <c r="H55" i="1"/>
  <c r="M26" i="1" l="1"/>
  <c r="H5" i="17"/>
  <c r="N9" i="21"/>
  <c r="O8" i="21"/>
  <c r="K33" i="21"/>
  <c r="L31" i="21" s="1"/>
  <c r="D60" i="4" s="1"/>
  <c r="E60" i="4" s="1"/>
  <c r="K39" i="21"/>
  <c r="F40" i="21" s="1"/>
  <c r="D66" i="4" s="1"/>
  <c r="E66" i="4" s="1"/>
  <c r="H7" i="4"/>
  <c r="L14" i="21"/>
  <c r="L10" i="4"/>
  <c r="L39" i="4" s="1"/>
  <c r="L11" i="21"/>
  <c r="D54" i="1"/>
  <c r="O54" i="1" s="1"/>
  <c r="O46" i="1"/>
  <c r="D55" i="1" s="1"/>
  <c r="I5" i="17" l="1"/>
  <c r="L38" i="4"/>
  <c r="L17" i="21"/>
  <c r="L15" i="21"/>
  <c r="L16" i="21" s="1"/>
  <c r="O9" i="21"/>
  <c r="P8" i="21"/>
  <c r="M14" i="21"/>
  <c r="N14" i="21" s="1"/>
  <c r="O14" i="21" s="1"/>
  <c r="L12" i="21"/>
  <c r="M11" i="21"/>
  <c r="L9" i="21"/>
  <c r="G6" i="4" s="1"/>
  <c r="L18" i="21" l="1"/>
  <c r="I7" i="4" s="1"/>
  <c r="J7" i="4" s="1"/>
  <c r="K7" i="4" s="1"/>
  <c r="L7" i="4" s="1"/>
  <c r="M7" i="4" s="1"/>
  <c r="N7" i="4" s="1"/>
  <c r="O7" i="4" s="1"/>
  <c r="P7" i="4" s="1"/>
  <c r="Q7" i="4" s="1"/>
  <c r="R7" i="4" s="1"/>
  <c r="S7" i="4" s="1"/>
  <c r="T7" i="4" s="1"/>
  <c r="U7" i="4" s="1"/>
  <c r="V7" i="4" s="1"/>
  <c r="W7" i="4" s="1"/>
  <c r="X7" i="4" s="1"/>
  <c r="J5" i="17"/>
  <c r="P9" i="21"/>
  <c r="Q8" i="21"/>
  <c r="G5" i="4"/>
  <c r="G23" i="4"/>
  <c r="G40" i="4" s="1"/>
  <c r="H9" i="4" s="1"/>
  <c r="M10" i="4"/>
  <c r="M39" i="4" s="1"/>
  <c r="G24" i="4"/>
  <c r="G21" i="4"/>
  <c r="G8" i="4"/>
  <c r="G12" i="4" s="1"/>
  <c r="G44" i="4" s="1"/>
  <c r="G28" i="4" s="1"/>
  <c r="G11" i="4"/>
  <c r="G20" i="4" s="1"/>
  <c r="M9" i="21"/>
  <c r="H6" i="4" s="1"/>
  <c r="H5" i="4" s="1"/>
  <c r="N11" i="21"/>
  <c r="M12" i="21"/>
  <c r="M38" i="4" l="1"/>
  <c r="K5" i="17"/>
  <c r="N10" i="4"/>
  <c r="N38" i="4" s="1"/>
  <c r="Q9" i="21"/>
  <c r="R8" i="21"/>
  <c r="N39" i="4"/>
  <c r="I6" i="4"/>
  <c r="H24" i="4"/>
  <c r="H11" i="4"/>
  <c r="H20" i="4" s="1"/>
  <c r="H21" i="4"/>
  <c r="H8" i="4"/>
  <c r="H12" i="4" s="1"/>
  <c r="H44" i="4" s="1"/>
  <c r="H28" i="4" s="1"/>
  <c r="H23" i="4"/>
  <c r="H40" i="4" s="1"/>
  <c r="I9" i="4" s="1"/>
  <c r="G14" i="4"/>
  <c r="G25" i="4"/>
  <c r="G26" i="4" s="1"/>
  <c r="G31" i="4"/>
  <c r="N12" i="21"/>
  <c r="O11" i="21"/>
  <c r="H41" i="4"/>
  <c r="L5" i="17" l="1"/>
  <c r="S8" i="21"/>
  <c r="R9" i="21"/>
  <c r="I5" i="4"/>
  <c r="J6" i="4"/>
  <c r="O10" i="4"/>
  <c r="O39" i="4" s="1"/>
  <c r="O38" i="4"/>
  <c r="I41" i="4"/>
  <c r="H25" i="4"/>
  <c r="H26" i="4" s="1"/>
  <c r="H31" i="4"/>
  <c r="I23" i="4"/>
  <c r="I40" i="4" s="1"/>
  <c r="J9" i="4" s="1"/>
  <c r="I21" i="4"/>
  <c r="I24" i="4"/>
  <c r="I8" i="4"/>
  <c r="I11" i="4"/>
  <c r="I20" i="4" s="1"/>
  <c r="P11" i="21"/>
  <c r="O12" i="21"/>
  <c r="H14" i="4"/>
  <c r="G15" i="4"/>
  <c r="G16" i="4" s="1"/>
  <c r="G17" i="4" s="1"/>
  <c r="M5" i="17" l="1"/>
  <c r="K6" i="4"/>
  <c r="K5" i="4" s="1"/>
  <c r="J23" i="4"/>
  <c r="J5" i="4"/>
  <c r="J8" i="4"/>
  <c r="P10" i="4"/>
  <c r="P39" i="4" s="1"/>
  <c r="S9" i="21"/>
  <c r="T8" i="21"/>
  <c r="I14" i="4"/>
  <c r="I12" i="4"/>
  <c r="I44" i="4" s="1"/>
  <c r="I28" i="4" s="1"/>
  <c r="J40" i="4"/>
  <c r="K9" i="4" s="1"/>
  <c r="J11" i="4"/>
  <c r="J20" i="4" s="1"/>
  <c r="J24" i="4"/>
  <c r="J21" i="4"/>
  <c r="Q11" i="21"/>
  <c r="P12" i="21"/>
  <c r="I31" i="4"/>
  <c r="I25" i="4"/>
  <c r="I26" i="4" s="1"/>
  <c r="G19" i="4"/>
  <c r="G22" i="4" s="1"/>
  <c r="G34" i="4" s="1"/>
  <c r="G30" i="4"/>
  <c r="G29" i="4"/>
  <c r="L28" i="21"/>
  <c r="L29" i="21" s="1"/>
  <c r="J41" i="4"/>
  <c r="P38" i="4" l="1"/>
  <c r="T9" i="21"/>
  <c r="U8" i="21"/>
  <c r="V8" i="21" s="1"/>
  <c r="W8" i="21" s="1"/>
  <c r="X8" i="21" s="1"/>
  <c r="Y8" i="21" s="1"/>
  <c r="J12" i="4"/>
  <c r="J44" i="4" s="1"/>
  <c r="J28" i="4" s="1"/>
  <c r="K23" i="4"/>
  <c r="K40" i="4" s="1"/>
  <c r="L9" i="4" s="1"/>
  <c r="K21" i="4"/>
  <c r="K11" i="4"/>
  <c r="K20" i="4" s="1"/>
  <c r="K24" i="4"/>
  <c r="K8" i="4"/>
  <c r="G35" i="4"/>
  <c r="G36" i="4" s="1"/>
  <c r="G43" i="4" s="1"/>
  <c r="H13" i="4" s="1"/>
  <c r="H15" i="4" s="1"/>
  <c r="H16" i="4" s="1"/>
  <c r="H17" i="4" s="1"/>
  <c r="G32" i="4"/>
  <c r="L6" i="4"/>
  <c r="J31" i="4"/>
  <c r="J25" i="4"/>
  <c r="J26" i="4" s="1"/>
  <c r="J14" i="4"/>
  <c r="Q12" i="21"/>
  <c r="R11" i="21"/>
  <c r="Y9" i="21" l="1"/>
  <c r="Z8" i="21"/>
  <c r="AA8" i="21" s="1"/>
  <c r="AB8" i="21" s="1"/>
  <c r="AC8" i="21" s="1"/>
  <c r="Q10" i="4"/>
  <c r="Q39" i="4" s="1"/>
  <c r="Q38" i="4"/>
  <c r="L11" i="4"/>
  <c r="L20" i="4" s="1"/>
  <c r="L24" i="4"/>
  <c r="L5" i="4"/>
  <c r="L23" i="4"/>
  <c r="L8" i="4"/>
  <c r="L21" i="4"/>
  <c r="R12" i="21"/>
  <c r="S11" i="21"/>
  <c r="H30" i="4"/>
  <c r="M28" i="21"/>
  <c r="M29" i="21" s="1"/>
  <c r="H19" i="4"/>
  <c r="H22" i="4" s="1"/>
  <c r="H34" i="4" s="1"/>
  <c r="H29" i="4"/>
  <c r="K31" i="4"/>
  <c r="K25" i="4"/>
  <c r="K26" i="4" s="1"/>
  <c r="K14" i="4"/>
  <c r="L14" i="4" s="1"/>
  <c r="M6" i="4"/>
  <c r="K12" i="4"/>
  <c r="K44" i="4" s="1"/>
  <c r="K28" i="4" s="1"/>
  <c r="K41" i="4"/>
  <c r="R10" i="4" l="1"/>
  <c r="R38" i="4" s="1"/>
  <c r="R39" i="4"/>
  <c r="N6" i="4"/>
  <c r="H35" i="4"/>
  <c r="H36" i="4" s="1"/>
  <c r="H43" i="4" s="1"/>
  <c r="I13" i="4" s="1"/>
  <c r="I15" i="4" s="1"/>
  <c r="I16" i="4" s="1"/>
  <c r="I17" i="4" s="1"/>
  <c r="H32" i="4"/>
  <c r="T11" i="21"/>
  <c r="S12" i="21"/>
  <c r="L40" i="4"/>
  <c r="M9" i="4" s="1"/>
  <c r="L31" i="4"/>
  <c r="L25" i="4"/>
  <c r="L26" i="4" s="1"/>
  <c r="M23" i="4"/>
  <c r="M11" i="4"/>
  <c r="M20" i="4" s="1"/>
  <c r="M8" i="4"/>
  <c r="M21" i="4"/>
  <c r="M24" i="4"/>
  <c r="M5" i="4"/>
  <c r="M14" i="4" s="1"/>
  <c r="S10" i="4" l="1"/>
  <c r="S39" i="4" s="1"/>
  <c r="M31" i="4"/>
  <c r="M25" i="4"/>
  <c r="M26" i="4" s="1"/>
  <c r="U11" i="21"/>
  <c r="T12" i="21"/>
  <c r="M40" i="4"/>
  <c r="N9" i="4" s="1"/>
  <c r="I30" i="4"/>
  <c r="I19" i="4"/>
  <c r="I22" i="4" s="1"/>
  <c r="I34" i="4" s="1"/>
  <c r="I29" i="4"/>
  <c r="N28" i="21"/>
  <c r="N29" i="21" s="1"/>
  <c r="N23" i="4"/>
  <c r="N21" i="4"/>
  <c r="N8" i="4"/>
  <c r="N11" i="4"/>
  <c r="N20" i="4" s="1"/>
  <c r="N5" i="4"/>
  <c r="N24" i="4"/>
  <c r="O6" i="4"/>
  <c r="L12" i="4"/>
  <c r="L44" i="4" s="1"/>
  <c r="L28" i="4" s="1"/>
  <c r="L41" i="4"/>
  <c r="S38" i="4" l="1"/>
  <c r="U12" i="21"/>
  <c r="V11" i="21"/>
  <c r="U9" i="21"/>
  <c r="P6" i="4" s="1"/>
  <c r="N31" i="4"/>
  <c r="N25" i="4"/>
  <c r="N26" i="4" s="1"/>
  <c r="O23" i="4"/>
  <c r="O21" i="4"/>
  <c r="O11" i="4"/>
  <c r="O20" i="4" s="1"/>
  <c r="O24" i="4"/>
  <c r="O8" i="4"/>
  <c r="O5" i="4"/>
  <c r="N40" i="4"/>
  <c r="O9" i="4" s="1"/>
  <c r="I35" i="4"/>
  <c r="I36" i="4" s="1"/>
  <c r="I43" i="4" s="1"/>
  <c r="J13" i="4" s="1"/>
  <c r="I32" i="4"/>
  <c r="N14" i="4"/>
  <c r="O14" i="4" s="1"/>
  <c r="J15" i="4" l="1"/>
  <c r="J16" i="4" s="1"/>
  <c r="J17" i="4" s="1"/>
  <c r="T10" i="4"/>
  <c r="T39" i="4" s="1"/>
  <c r="T38" i="4"/>
  <c r="O40" i="4"/>
  <c r="P9" i="4" s="1"/>
  <c r="O31" i="4"/>
  <c r="O25" i="4"/>
  <c r="O26" i="4" s="1"/>
  <c r="V9" i="21"/>
  <c r="Q6" i="4" s="1"/>
  <c r="W11" i="21"/>
  <c r="V12" i="21"/>
  <c r="P5" i="4"/>
  <c r="P14" i="4" s="1"/>
  <c r="P21" i="4"/>
  <c r="P24" i="4"/>
  <c r="P8" i="4"/>
  <c r="P11" i="4"/>
  <c r="P20" i="4" s="1"/>
  <c r="P23" i="4"/>
  <c r="M12" i="4"/>
  <c r="M44" i="4" s="1"/>
  <c r="M28" i="4" s="1"/>
  <c r="M41" i="4"/>
  <c r="P40" i="4" l="1"/>
  <c r="Q9" i="4" s="1"/>
  <c r="O28" i="21"/>
  <c r="O29" i="21" s="1"/>
  <c r="J29" i="4"/>
  <c r="J19" i="4"/>
  <c r="J22" i="4" s="1"/>
  <c r="J34" i="4" s="1"/>
  <c r="J30" i="4"/>
  <c r="U10" i="4"/>
  <c r="U38" i="4" s="1"/>
  <c r="W9" i="21"/>
  <c r="R6" i="4" s="1"/>
  <c r="P25" i="4"/>
  <c r="P26" i="4" s="1"/>
  <c r="P31" i="4"/>
  <c r="W12" i="21"/>
  <c r="X11" i="21"/>
  <c r="Q8" i="4"/>
  <c r="Q21" i="4"/>
  <c r="Q11" i="4"/>
  <c r="Q20" i="4" s="1"/>
  <c r="Q23" i="4"/>
  <c r="Q24" i="4"/>
  <c r="Q5" i="4"/>
  <c r="Q40" i="4" l="1"/>
  <c r="R9" i="4" s="1"/>
  <c r="J35" i="4"/>
  <c r="J36" i="4" s="1"/>
  <c r="J43" i="4" s="1"/>
  <c r="K13" i="4" s="1"/>
  <c r="K15" i="4" s="1"/>
  <c r="K16" i="4" s="1"/>
  <c r="K17" i="4" s="1"/>
  <c r="K29" i="4" s="1"/>
  <c r="J32" i="4"/>
  <c r="V10" i="4"/>
  <c r="V38" i="4"/>
  <c r="U39" i="4"/>
  <c r="X12" i="21"/>
  <c r="Y11" i="21"/>
  <c r="R5" i="4"/>
  <c r="R11" i="4"/>
  <c r="R20" i="4" s="1"/>
  <c r="R8" i="4"/>
  <c r="R23" i="4"/>
  <c r="R24" i="4"/>
  <c r="R21" i="4"/>
  <c r="X9" i="21"/>
  <c r="S6" i="4" s="1"/>
  <c r="Q31" i="4"/>
  <c r="Q25" i="4"/>
  <c r="Q26" i="4" s="1"/>
  <c r="Q14" i="4"/>
  <c r="N12" i="4"/>
  <c r="N44" i="4" s="1"/>
  <c r="N28" i="4" s="1"/>
  <c r="N41" i="4"/>
  <c r="R40" i="4" l="1"/>
  <c r="S9" i="4" s="1"/>
  <c r="V39" i="4"/>
  <c r="P28" i="21"/>
  <c r="P31" i="21" s="1"/>
  <c r="K30" i="4"/>
  <c r="K35" i="4" s="1"/>
  <c r="K19" i="4"/>
  <c r="K22" i="4" s="1"/>
  <c r="K34" i="4" s="1"/>
  <c r="W10" i="4"/>
  <c r="W39" i="4" s="1"/>
  <c r="R14" i="4"/>
  <c r="R31" i="4"/>
  <c r="R25" i="4"/>
  <c r="R26" i="4" s="1"/>
  <c r="S24" i="4"/>
  <c r="S21" i="4"/>
  <c r="S23" i="4"/>
  <c r="S40" i="4" s="1"/>
  <c r="T9" i="4" s="1"/>
  <c r="S8" i="4"/>
  <c r="S11" i="4"/>
  <c r="S20" i="4" s="1"/>
  <c r="S5" i="4"/>
  <c r="Y12" i="21"/>
  <c r="Z11" i="21"/>
  <c r="T6" i="4"/>
  <c r="P29" i="21" l="1"/>
  <c r="K32" i="4"/>
  <c r="K36" i="4"/>
  <c r="K43" i="4" s="1"/>
  <c r="L13" i="4" s="1"/>
  <c r="L15" i="4" s="1"/>
  <c r="L16" i="4" s="1"/>
  <c r="L17" i="4" s="1"/>
  <c r="L29" i="4" s="1"/>
  <c r="W38" i="4"/>
  <c r="T24" i="4"/>
  <c r="T23" i="4"/>
  <c r="T5" i="4"/>
  <c r="T21" i="4"/>
  <c r="T11" i="4"/>
  <c r="T20" i="4" s="1"/>
  <c r="T8" i="4"/>
  <c r="Z9" i="21"/>
  <c r="U6" i="4" s="1"/>
  <c r="S31" i="4"/>
  <c r="S25" i="4"/>
  <c r="S26" i="4" s="1"/>
  <c r="S14" i="4"/>
  <c r="AA11" i="21"/>
  <c r="Z12" i="21"/>
  <c r="O12" i="4"/>
  <c r="O44" i="4" s="1"/>
  <c r="O28" i="4" s="1"/>
  <c r="O41" i="4"/>
  <c r="L30" i="4" l="1"/>
  <c r="L32" i="4" s="1"/>
  <c r="Q28" i="21"/>
  <c r="Q29" i="21" s="1"/>
  <c r="L19" i="4"/>
  <c r="L22" i="4" s="1"/>
  <c r="L34" i="4" s="1"/>
  <c r="T14" i="4"/>
  <c r="X10" i="4"/>
  <c r="X39" i="4" s="1"/>
  <c r="AA9" i="21"/>
  <c r="V6" i="4" s="1"/>
  <c r="T31" i="4"/>
  <c r="T25" i="4"/>
  <c r="T26" i="4" s="1"/>
  <c r="AA12" i="21"/>
  <c r="AB11" i="21"/>
  <c r="U21" i="4"/>
  <c r="U11" i="4"/>
  <c r="U20" i="4" s="1"/>
  <c r="U8" i="4"/>
  <c r="U24" i="4"/>
  <c r="U23" i="4"/>
  <c r="U5" i="4"/>
  <c r="T40" i="4"/>
  <c r="L35" i="4" l="1"/>
  <c r="L36" i="4" s="1"/>
  <c r="L43" i="4" s="1"/>
  <c r="M13" i="4" s="1"/>
  <c r="M15" i="4" s="1"/>
  <c r="M16" i="4" s="1"/>
  <c r="M17" i="4" s="1"/>
  <c r="M30" i="4" s="1"/>
  <c r="U40" i="4"/>
  <c r="V9" i="4" s="1"/>
  <c r="U9" i="4"/>
  <c r="X38" i="4"/>
  <c r="U31" i="4"/>
  <c r="U25" i="4"/>
  <c r="U26" i="4" s="1"/>
  <c r="AB9" i="21"/>
  <c r="W6" i="4" s="1"/>
  <c r="R28" i="21"/>
  <c r="R29" i="21" s="1"/>
  <c r="M19" i="4"/>
  <c r="M22" i="4" s="1"/>
  <c r="M34" i="4" s="1"/>
  <c r="M29" i="4"/>
  <c r="AB12" i="21"/>
  <c r="AC11" i="21"/>
  <c r="V11" i="4"/>
  <c r="V20" i="4" s="1"/>
  <c r="V23" i="4"/>
  <c r="V5" i="4"/>
  <c r="V21" i="4"/>
  <c r="V24" i="4"/>
  <c r="V8" i="4"/>
  <c r="U14" i="4"/>
  <c r="V14" i="4" s="1"/>
  <c r="P12" i="4"/>
  <c r="P44" i="4" s="1"/>
  <c r="P28" i="4" s="1"/>
  <c r="P41" i="4"/>
  <c r="V40" i="4" l="1"/>
  <c r="W9" i="4" s="1"/>
  <c r="Y10" i="4"/>
  <c r="Y39" i="4" s="1"/>
  <c r="M35" i="4"/>
  <c r="M36" i="4" s="1"/>
  <c r="M43" i="4" s="1"/>
  <c r="N13" i="4" s="1"/>
  <c r="N15" i="4" s="1"/>
  <c r="N16" i="4" s="1"/>
  <c r="N17" i="4" s="1"/>
  <c r="M32" i="4"/>
  <c r="W23" i="4"/>
  <c r="W11" i="4"/>
  <c r="W20" i="4" s="1"/>
  <c r="W21" i="4"/>
  <c r="W5" i="4"/>
  <c r="W14" i="4" s="1"/>
  <c r="W24" i="4"/>
  <c r="W8" i="4"/>
  <c r="AD8" i="21"/>
  <c r="AC9" i="21"/>
  <c r="X6" i="4" s="1"/>
  <c r="V25" i="4"/>
  <c r="V26" i="4" s="1"/>
  <c r="V31" i="4"/>
  <c r="AD11" i="21"/>
  <c r="AC12" i="21"/>
  <c r="Y38" i="4" l="1"/>
  <c r="W40" i="4"/>
  <c r="X9" i="4" s="1"/>
  <c r="AE11" i="21"/>
  <c r="AD12" i="21"/>
  <c r="X8" i="4"/>
  <c r="X24" i="4"/>
  <c r="X23" i="4"/>
  <c r="X21" i="4"/>
  <c r="X5" i="4"/>
  <c r="X11" i="4"/>
  <c r="X20" i="4" s="1"/>
  <c r="W25" i="4"/>
  <c r="W26" i="4" s="1"/>
  <c r="W31" i="4"/>
  <c r="AE8" i="21"/>
  <c r="AD9" i="21"/>
  <c r="Y6" i="4" s="1"/>
  <c r="N29" i="4"/>
  <c r="N19" i="4"/>
  <c r="N22" i="4" s="1"/>
  <c r="N34" i="4" s="1"/>
  <c r="S28" i="21"/>
  <c r="S29" i="21" s="1"/>
  <c r="N30" i="4"/>
  <c r="Q12" i="4"/>
  <c r="Q44" i="4" s="1"/>
  <c r="Q28" i="4" s="1"/>
  <c r="Q41" i="4"/>
  <c r="Z10" i="4" l="1"/>
  <c r="Z39" i="4" s="1"/>
  <c r="N35" i="4"/>
  <c r="N36" i="4" s="1"/>
  <c r="N43" i="4" s="1"/>
  <c r="O13" i="4" s="1"/>
  <c r="O15" i="4" s="1"/>
  <c r="O16" i="4" s="1"/>
  <c r="O17" i="4" s="1"/>
  <c r="N32" i="4"/>
  <c r="AE12" i="21"/>
  <c r="AF11" i="21"/>
  <c r="Y8" i="4"/>
  <c r="Y23" i="4"/>
  <c r="Y24" i="4"/>
  <c r="Y21" i="4"/>
  <c r="Y5" i="4"/>
  <c r="Y11" i="4"/>
  <c r="Y20" i="4" s="1"/>
  <c r="X40" i="4"/>
  <c r="AF8" i="21"/>
  <c r="AE9" i="21"/>
  <c r="Z6" i="4" s="1"/>
  <c r="X31" i="4"/>
  <c r="X25" i="4"/>
  <c r="X26" i="4" s="1"/>
  <c r="X14" i="4"/>
  <c r="Y14" i="4" l="1"/>
  <c r="Z38" i="4"/>
  <c r="Y40" i="4"/>
  <c r="Z9" i="4" s="1"/>
  <c r="Y9" i="4"/>
  <c r="AG8" i="21"/>
  <c r="AF9" i="21"/>
  <c r="AA6" i="4" s="1"/>
  <c r="AF12" i="21"/>
  <c r="AG11" i="21"/>
  <c r="Z8" i="4"/>
  <c r="Z23" i="4"/>
  <c r="Z11" i="4"/>
  <c r="Z20" i="4" s="1"/>
  <c r="Z24" i="4"/>
  <c r="Z5" i="4"/>
  <c r="Z21" i="4"/>
  <c r="Y25" i="4"/>
  <c r="Y26" i="4" s="1"/>
  <c r="Y31" i="4"/>
  <c r="O30" i="4"/>
  <c r="O29" i="4"/>
  <c r="T28" i="21"/>
  <c r="T29" i="21" s="1"/>
  <c r="O19" i="4"/>
  <c r="O22" i="4" s="1"/>
  <c r="O34" i="4" s="1"/>
  <c r="R12" i="4"/>
  <c r="R44" i="4" s="1"/>
  <c r="R28" i="4" s="1"/>
  <c r="R41" i="4"/>
  <c r="Z40" i="4" l="1"/>
  <c r="AA9" i="4" s="1"/>
  <c r="AA10" i="4"/>
  <c r="AA39" i="4" s="1"/>
  <c r="AH11" i="21"/>
  <c r="AG12" i="21"/>
  <c r="O35" i="4"/>
  <c r="O36" i="4" s="1"/>
  <c r="O43" i="4" s="1"/>
  <c r="P13" i="4" s="1"/>
  <c r="P15" i="4" s="1"/>
  <c r="P16" i="4" s="1"/>
  <c r="P17" i="4" s="1"/>
  <c r="O32" i="4"/>
  <c r="AA21" i="4"/>
  <c r="AA5" i="4"/>
  <c r="AA24" i="4"/>
  <c r="AA11" i="4"/>
  <c r="AA20" i="4" s="1"/>
  <c r="AA8" i="4"/>
  <c r="AA23" i="4"/>
  <c r="Z14" i="4"/>
  <c r="Z31" i="4"/>
  <c r="Z25" i="4"/>
  <c r="Z26" i="4" s="1"/>
  <c r="AH8" i="21"/>
  <c r="AG9" i="21"/>
  <c r="AB6" i="4" s="1"/>
  <c r="AA38" i="4" l="1"/>
  <c r="AA14" i="4"/>
  <c r="AB23" i="4"/>
  <c r="AB24" i="4"/>
  <c r="AB5" i="4"/>
  <c r="AB21" i="4"/>
  <c r="AB8" i="4"/>
  <c r="AB11" i="4"/>
  <c r="AB20" i="4" s="1"/>
  <c r="P29" i="4"/>
  <c r="P30" i="4"/>
  <c r="P19" i="4"/>
  <c r="P22" i="4" s="1"/>
  <c r="P34" i="4" s="1"/>
  <c r="U28" i="21"/>
  <c r="U29" i="21" s="1"/>
  <c r="AI8" i="21"/>
  <c r="AH9" i="21"/>
  <c r="AC6" i="4" s="1"/>
  <c r="AA40" i="4"/>
  <c r="AA31" i="4"/>
  <c r="AA25" i="4"/>
  <c r="AA26" i="4" s="1"/>
  <c r="AH12" i="21"/>
  <c r="AI11" i="21"/>
  <c r="S12" i="4"/>
  <c r="S44" i="4" s="1"/>
  <c r="S28" i="4" s="1"/>
  <c r="S41" i="4"/>
  <c r="AB40" i="4" l="1"/>
  <c r="AC9" i="4" s="1"/>
  <c r="AB9" i="4"/>
  <c r="AB10" i="4"/>
  <c r="AB39" i="4" s="1"/>
  <c r="AC11" i="4"/>
  <c r="AC20" i="4" s="1"/>
  <c r="AC23" i="4"/>
  <c r="AC8" i="4"/>
  <c r="AC21" i="4"/>
  <c r="AC5" i="4"/>
  <c r="AC24" i="4"/>
  <c r="AJ8" i="21"/>
  <c r="AI9" i="21"/>
  <c r="AD6" i="4" s="1"/>
  <c r="P35" i="4"/>
  <c r="P36" i="4" s="1"/>
  <c r="P43" i="4" s="1"/>
  <c r="Q13" i="4" s="1"/>
  <c r="Q15" i="4" s="1"/>
  <c r="Q16" i="4" s="1"/>
  <c r="Q17" i="4" s="1"/>
  <c r="P32" i="4"/>
  <c r="AB31" i="4"/>
  <c r="AB14" i="4"/>
  <c r="AB25" i="4"/>
  <c r="AB26" i="4" s="1"/>
  <c r="AI12" i="21"/>
  <c r="AJ11" i="21"/>
  <c r="AB38" i="4" l="1"/>
  <c r="AC14" i="4"/>
  <c r="AD8" i="4"/>
  <c r="AD11" i="4"/>
  <c r="AD20" i="4" s="1"/>
  <c r="AD24" i="4"/>
  <c r="AD23" i="4"/>
  <c r="AD21" i="4"/>
  <c r="AD5" i="4"/>
  <c r="AK11" i="21"/>
  <c r="AK12" i="21" s="1"/>
  <c r="AJ12" i="21"/>
  <c r="AK8" i="21"/>
  <c r="AK9" i="21" s="1"/>
  <c r="AJ9" i="21"/>
  <c r="AE6" i="4" s="1"/>
  <c r="AC40" i="4"/>
  <c r="AD9" i="4" s="1"/>
  <c r="Q30" i="4"/>
  <c r="Q19" i="4"/>
  <c r="Q22" i="4" s="1"/>
  <c r="Q34" i="4" s="1"/>
  <c r="V28" i="21"/>
  <c r="V29" i="21" s="1"/>
  <c r="Q29" i="4"/>
  <c r="AC31" i="4"/>
  <c r="AC25" i="4"/>
  <c r="AC26" i="4" s="1"/>
  <c r="T12" i="4"/>
  <c r="T44" i="4" s="1"/>
  <c r="T28" i="4" s="1"/>
  <c r="T41" i="4"/>
  <c r="AD14" i="4" l="1"/>
  <c r="AC10" i="4"/>
  <c r="AC39" i="4" s="1"/>
  <c r="AC38" i="4"/>
  <c r="AD40" i="4"/>
  <c r="AE9" i="4" s="1"/>
  <c r="AE23" i="4"/>
  <c r="AE11" i="4"/>
  <c r="AE20" i="4" s="1"/>
  <c r="AE8" i="4"/>
  <c r="AE21" i="4"/>
  <c r="AE5" i="4"/>
  <c r="AE14" i="4" s="1"/>
  <c r="AF6" i="4"/>
  <c r="AE24" i="4"/>
  <c r="AD25" i="4"/>
  <c r="AD26" i="4" s="1"/>
  <c r="AD31" i="4"/>
  <c r="Q32" i="4"/>
  <c r="Q35" i="4"/>
  <c r="Q36" i="4" s="1"/>
  <c r="Q43" i="4" s="1"/>
  <c r="R13" i="4" s="1"/>
  <c r="R15" i="4" s="1"/>
  <c r="R16" i="4" s="1"/>
  <c r="R17" i="4" s="1"/>
  <c r="AD10" i="4" l="1"/>
  <c r="AD38" i="4" s="1"/>
  <c r="R29" i="4"/>
  <c r="R19" i="4"/>
  <c r="R22" i="4" s="1"/>
  <c r="R34" i="4" s="1"/>
  <c r="R30" i="4"/>
  <c r="W28" i="21"/>
  <c r="W29" i="21" s="1"/>
  <c r="AF24" i="4"/>
  <c r="AF23" i="4"/>
  <c r="AG23" i="4" s="1"/>
  <c r="AH24" i="4" s="1"/>
  <c r="AF21" i="4"/>
  <c r="AF8" i="4"/>
  <c r="AF5" i="4"/>
  <c r="AE31" i="4"/>
  <c r="AE25" i="4"/>
  <c r="AE26" i="4" s="1"/>
  <c r="AE40" i="4"/>
  <c r="AF9" i="4" s="1"/>
  <c r="U12" i="4"/>
  <c r="U44" i="4" s="1"/>
  <c r="U28" i="4" s="1"/>
  <c r="U41" i="4"/>
  <c r="AD39" i="4" l="1"/>
  <c r="AE10" i="4"/>
  <c r="AE38" i="4"/>
  <c r="AE39" i="4"/>
  <c r="AF40" i="4"/>
  <c r="AG40" i="4" s="1"/>
  <c r="AF25" i="4"/>
  <c r="AF26" i="4" s="1"/>
  <c r="AF14" i="4"/>
  <c r="AF31" i="4"/>
  <c r="R35" i="4"/>
  <c r="R36" i="4" s="1"/>
  <c r="R43" i="4" s="1"/>
  <c r="S13" i="4" s="1"/>
  <c r="S15" i="4" s="1"/>
  <c r="S16" i="4" s="1"/>
  <c r="S17" i="4" s="1"/>
  <c r="R32" i="4"/>
  <c r="AF10" i="4" l="1"/>
  <c r="AF39" i="4" s="1"/>
  <c r="AG39" i="4" s="1"/>
  <c r="AF38" i="4"/>
  <c r="AG38" i="4" s="1"/>
  <c r="S19" i="4"/>
  <c r="S22" i="4" s="1"/>
  <c r="S34" i="4" s="1"/>
  <c r="X28" i="21"/>
  <c r="X29" i="21" s="1"/>
  <c r="S29" i="4"/>
  <c r="S30" i="4"/>
  <c r="V12" i="4"/>
  <c r="V44" i="4" s="1"/>
  <c r="V28" i="4" s="1"/>
  <c r="V41" i="4"/>
  <c r="S32" i="4" l="1"/>
  <c r="S35" i="4"/>
  <c r="S36" i="4" s="1"/>
  <c r="S43" i="4" s="1"/>
  <c r="T13" i="4" s="1"/>
  <c r="T15" i="4" s="1"/>
  <c r="T16" i="4" s="1"/>
  <c r="T17" i="4" s="1"/>
  <c r="Y28" i="21" l="1"/>
  <c r="Y29" i="21" s="1"/>
  <c r="T30" i="4"/>
  <c r="T19" i="4"/>
  <c r="T22" i="4" s="1"/>
  <c r="T34" i="4" s="1"/>
  <c r="T29" i="4"/>
  <c r="W12" i="4"/>
  <c r="W44" i="4" s="1"/>
  <c r="W28" i="4" s="1"/>
  <c r="W41" i="4"/>
  <c r="T35" i="4" l="1"/>
  <c r="T36" i="4" s="1"/>
  <c r="T43" i="4" s="1"/>
  <c r="U13" i="4" s="1"/>
  <c r="U15" i="4" s="1"/>
  <c r="U16" i="4" s="1"/>
  <c r="U17" i="4" s="1"/>
  <c r="T32" i="4"/>
  <c r="U30" i="4" l="1"/>
  <c r="U19" i="4"/>
  <c r="U22" i="4" s="1"/>
  <c r="U34" i="4" s="1"/>
  <c r="U29" i="4"/>
  <c r="Z28" i="21"/>
  <c r="Z29" i="21" s="1"/>
  <c r="X12" i="4"/>
  <c r="X44" i="4" s="1"/>
  <c r="X28" i="4" s="1"/>
  <c r="X41" i="4"/>
  <c r="U35" i="4" l="1"/>
  <c r="U36" i="4" s="1"/>
  <c r="U43" i="4" s="1"/>
  <c r="V13" i="4" s="1"/>
  <c r="V15" i="4" s="1"/>
  <c r="V16" i="4" s="1"/>
  <c r="V17" i="4" s="1"/>
  <c r="U32" i="4"/>
  <c r="AA28" i="21" l="1"/>
  <c r="AA29" i="21" s="1"/>
  <c r="V19" i="4"/>
  <c r="V22" i="4" s="1"/>
  <c r="V34" i="4" s="1"/>
  <c r="V29" i="4"/>
  <c r="V30" i="4"/>
  <c r="Y12" i="4"/>
  <c r="Y44" i="4" s="1"/>
  <c r="Y28" i="4" s="1"/>
  <c r="Y41" i="4"/>
  <c r="V35" i="4" l="1"/>
  <c r="V36" i="4" s="1"/>
  <c r="V43" i="4" s="1"/>
  <c r="W13" i="4" s="1"/>
  <c r="W15" i="4" s="1"/>
  <c r="W16" i="4" s="1"/>
  <c r="W17" i="4" s="1"/>
  <c r="V32" i="4"/>
  <c r="W19" i="4" l="1"/>
  <c r="W22" i="4" s="1"/>
  <c r="W34" i="4" s="1"/>
  <c r="W30" i="4"/>
  <c r="W29" i="4"/>
  <c r="AB28" i="21"/>
  <c r="AB29" i="21" s="1"/>
  <c r="Z12" i="4"/>
  <c r="Z44" i="4" s="1"/>
  <c r="Z28" i="4" s="1"/>
  <c r="Z41" i="4"/>
  <c r="W35" i="4" l="1"/>
  <c r="W36" i="4" s="1"/>
  <c r="W43" i="4" s="1"/>
  <c r="X13" i="4" s="1"/>
  <c r="X15" i="4" s="1"/>
  <c r="X16" i="4" s="1"/>
  <c r="X17" i="4" s="1"/>
  <c r="W32" i="4"/>
  <c r="AC28" i="21" l="1"/>
  <c r="AC29" i="21" s="1"/>
  <c r="X30" i="4"/>
  <c r="X19" i="4"/>
  <c r="X22" i="4" s="1"/>
  <c r="X34" i="4" s="1"/>
  <c r="X29" i="4"/>
  <c r="AA12" i="4"/>
  <c r="AA44" i="4" s="1"/>
  <c r="AA28" i="4" s="1"/>
  <c r="AA41" i="4"/>
  <c r="X35" i="4" l="1"/>
  <c r="X36" i="4" s="1"/>
  <c r="X43" i="4" s="1"/>
  <c r="Y13" i="4" s="1"/>
  <c r="Y15" i="4" s="1"/>
  <c r="Y16" i="4" s="1"/>
  <c r="Y17" i="4" s="1"/>
  <c r="X32" i="4"/>
  <c r="AD28" i="21" l="1"/>
  <c r="AD29" i="21" s="1"/>
  <c r="Y29" i="4"/>
  <c r="Y30" i="4"/>
  <c r="Y19" i="4"/>
  <c r="Y22" i="4" s="1"/>
  <c r="Y34" i="4" s="1"/>
  <c r="AB12" i="4"/>
  <c r="AB44" i="4" s="1"/>
  <c r="AB28" i="4" s="1"/>
  <c r="AB41" i="4"/>
  <c r="Y35" i="4" l="1"/>
  <c r="Y36" i="4" s="1"/>
  <c r="Y43" i="4" s="1"/>
  <c r="Z13" i="4" s="1"/>
  <c r="Z15" i="4" s="1"/>
  <c r="Z16" i="4" s="1"/>
  <c r="Z17" i="4" s="1"/>
  <c r="Y32" i="4"/>
  <c r="Z30" i="4" l="1"/>
  <c r="AE28" i="21"/>
  <c r="AE29" i="21" s="1"/>
  <c r="Z29" i="4"/>
  <c r="Z19" i="4"/>
  <c r="Z22" i="4" s="1"/>
  <c r="Z34" i="4" s="1"/>
  <c r="AC12" i="4"/>
  <c r="AC44" i="4" s="1"/>
  <c r="AC28" i="4" s="1"/>
  <c r="AC41" i="4"/>
  <c r="Z35" i="4" l="1"/>
  <c r="Z36" i="4" s="1"/>
  <c r="Z43" i="4" s="1"/>
  <c r="AA13" i="4" s="1"/>
  <c r="AA15" i="4" s="1"/>
  <c r="AA16" i="4" s="1"/>
  <c r="AA17" i="4" s="1"/>
  <c r="Z32" i="4"/>
  <c r="AF28" i="21" l="1"/>
  <c r="AF29" i="21" s="1"/>
  <c r="AA19" i="4"/>
  <c r="AA22" i="4" s="1"/>
  <c r="AA34" i="4" s="1"/>
  <c r="AA30" i="4"/>
  <c r="AA29" i="4"/>
  <c r="AD12" i="4"/>
  <c r="AD44" i="4" s="1"/>
  <c r="AD28" i="4" s="1"/>
  <c r="AD41" i="4"/>
  <c r="AA35" i="4" l="1"/>
  <c r="AA36" i="4" s="1"/>
  <c r="AA43" i="4" s="1"/>
  <c r="AB13" i="4" s="1"/>
  <c r="AB15" i="4" s="1"/>
  <c r="AB16" i="4" s="1"/>
  <c r="AB17" i="4" s="1"/>
  <c r="AA32" i="4"/>
  <c r="AB19" i="4" l="1"/>
  <c r="AB22" i="4" s="1"/>
  <c r="AB34" i="4" s="1"/>
  <c r="AB29" i="4"/>
  <c r="AB30" i="4"/>
  <c r="AG28" i="21"/>
  <c r="AG29" i="21" s="1"/>
  <c r="AE12" i="4"/>
  <c r="AE44" i="4" s="1"/>
  <c r="AE28" i="4" s="1"/>
  <c r="AE41" i="4"/>
  <c r="AB35" i="4" l="1"/>
  <c r="AB36" i="4" s="1"/>
  <c r="AB43" i="4" s="1"/>
  <c r="AC13" i="4" s="1"/>
  <c r="AC15" i="4" s="1"/>
  <c r="AC16" i="4" s="1"/>
  <c r="AC17" i="4" s="1"/>
  <c r="AB32" i="4"/>
  <c r="AH28" i="21" l="1"/>
  <c r="AH29" i="21" s="1"/>
  <c r="AC29" i="4"/>
  <c r="AC19" i="4"/>
  <c r="AC22" i="4" s="1"/>
  <c r="AC34" i="4" s="1"/>
  <c r="AC30" i="4"/>
  <c r="AF12" i="4"/>
  <c r="AF44" i="4" s="1"/>
  <c r="AF28" i="4" s="1"/>
  <c r="AF41" i="4"/>
  <c r="AG41" i="4" s="1"/>
  <c r="AC35" i="4" l="1"/>
  <c r="AC36" i="4" s="1"/>
  <c r="AC43" i="4" s="1"/>
  <c r="AD13" i="4" s="1"/>
  <c r="AD15" i="4" s="1"/>
  <c r="AD16" i="4" s="1"/>
  <c r="AD17" i="4" s="1"/>
  <c r="AC32" i="4"/>
  <c r="AD29" i="4" l="1"/>
  <c r="AD19" i="4"/>
  <c r="AD22" i="4" s="1"/>
  <c r="AD34" i="4" s="1"/>
  <c r="AD30" i="4"/>
  <c r="AI28" i="21"/>
  <c r="AI29" i="21" s="1"/>
  <c r="AD35" i="4" l="1"/>
  <c r="AD36" i="4" s="1"/>
  <c r="AD43" i="4" s="1"/>
  <c r="AE13" i="4" s="1"/>
  <c r="AE15" i="4" s="1"/>
  <c r="AE16" i="4" s="1"/>
  <c r="AE17" i="4" s="1"/>
  <c r="AD32" i="4"/>
  <c r="AJ28" i="21" l="1"/>
  <c r="AJ29" i="21" s="1"/>
  <c r="AE30" i="4"/>
  <c r="AE19" i="4"/>
  <c r="AE22" i="4" s="1"/>
  <c r="AE34" i="4" s="1"/>
  <c r="AE29" i="4"/>
  <c r="AE35" i="4" l="1"/>
  <c r="AE36" i="4" s="1"/>
  <c r="AE43" i="4" s="1"/>
  <c r="AF13" i="4" s="1"/>
  <c r="AF15" i="4" s="1"/>
  <c r="AF16" i="4" s="1"/>
  <c r="AF17" i="4" s="1"/>
  <c r="AE32" i="4"/>
  <c r="AF19" i="4" l="1"/>
  <c r="AF22" i="4" s="1"/>
  <c r="AF34" i="4" s="1"/>
  <c r="D71" i="4" s="1"/>
  <c r="AF29" i="4"/>
  <c r="AK28" i="21"/>
  <c r="AK29" i="21" s="1"/>
  <c r="AF30" i="4"/>
  <c r="AF35" i="4" l="1"/>
  <c r="AF32" i="4"/>
  <c r="AF36" i="4" l="1"/>
  <c r="AF43" i="4" s="1"/>
  <c r="D78" i="4" s="1"/>
  <c r="D77" i="4"/>
  <c r="D70" i="4" l="1"/>
  <c r="D72" i="4" s="1"/>
  <c r="E70" i="4" s="1"/>
  <c r="D75" i="4" l="1"/>
  <c r="D74" i="4" s="1"/>
  <c r="M39" i="1" s="1"/>
  <c r="E71" i="4"/>
  <c r="E78" i="4" l="1"/>
  <c r="E77" i="4"/>
  <c r="H3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Eduardo Ferreira</author>
  </authors>
  <commentList>
    <comment ref="B2" authorId="0" shapeId="0" xr:uid="{B8360AB7-5DB1-45D3-ABF9-3AFEF51621D6}">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D17B5162-9C54-4F03-8882-3A424C1A2E6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L2" authorId="2" shapeId="0" xr:uid="{74106D0B-4568-4C95-B1A7-D780E3BD20D3}">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D44" authorId="3" shapeId="0" xr:uid="{3E3FFF3C-33A9-994C-B6DA-EFA3EDE9D6C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tc={0A22704E-A0EF-49BA-9524-80A60B6EFB24}</author>
  </authors>
  <commentList>
    <comment ref="B15" authorId="0" shapeId="0" xr:uid="{0A22704E-A0EF-49BA-9524-80A60B6EFB24}">
      <text>
        <t>[Threaded comment]
Your version of Excel allows you to read this threaded comment; however, any edits to it will get removed if the file is opened in a newer version of Excel. Learn more: https://go.microsoft.com/fwlink/?linkid=870924
Comment:
    How are these margins possible?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tc={50990F61-2886-4CE3-8E80-5E7EC86CF5BC}</author>
    <author>tc={DB1B54B2-8209-4158-AD4D-17C4B2AAA1AD}</author>
    <author>tc={727949B8-3F24-4CB5-8002-DFB71AD3642E}</author>
    <author>tc={9E7AFB74-DF17-47E7-8775-492CF70A0576}</author>
  </authors>
  <commentList>
    <comment ref="C38" authorId="0" shapeId="0" xr:uid="{50990F61-2886-4CE3-8E80-5E7EC86CF5BC}">
      <text>
        <t>[Threaded comment]
Your version of Excel allows you to read this threaded comment; however, any edits to it will get removed if the file is opened in a newer version of Excel. Learn more: https://go.microsoft.com/fwlink/?linkid=870924
Comment:
    With/without Goodwill</t>
      </text>
    </comment>
    <comment ref="D56" authorId="1" shapeId="0" xr:uid="{DB1B54B2-8209-4158-AD4D-17C4B2AAA1AD}">
      <text>
        <t>[Threaded comment]
Your version of Excel allows you to read this threaded comment; however, any edits to it will get removed if the file is opened in a newer version of Excel. Learn more: https://go.microsoft.com/fwlink/?linkid=870924
Comment:
    Corporate tax last year EDPR</t>
      </text>
    </comment>
    <comment ref="E56" authorId="2" shapeId="0" xr:uid="{727949B8-3F24-4CB5-8002-DFB71AD3642E}">
      <text>
        <t>[Threaded comment]
Your version of Excel allows you to read this threaded comment; however, any edits to it will get removed if the file is opened in a newer version of Excel. Learn more: https://go.microsoft.com/fwlink/?linkid=870924
Comment:
    https://tradingeconomics.com/spain/corporate-tax-rate#:~:text=Corporate%20Tax%20Rate%20in%20Spain%20is%20expected%20to%20reach%2025.00,macro%20models%20and%20analysts%20expectations.</t>
      </text>
    </comment>
    <comment ref="E65" authorId="3" shapeId="0" xr:uid="{9E7AFB74-DF17-47E7-8775-492CF70A0576}">
      <text>
        <t>[Threaded comment]
Your version of Excel allows you to read this threaded comment; however, any edits to it will get removed if the file is opened in a newer version of Excel. Learn more: https://go.microsoft.com/fwlink/?linkid=870924
Comment:
    Div policy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tc={FB6C6F6C-1507-4282-8EAB-59104C4AA7D9}</author>
    <author>tc={3475FBE3-761B-49DE-B615-9335A3C97761}</author>
    <author>tc={FE8E25FD-ED94-43A4-B98F-41D950E86DA6}</author>
  </authors>
  <commentList>
    <comment ref="B7" authorId="0" shapeId="0" xr:uid="{FB6C6F6C-1507-4282-8EAB-59104C4AA7D9}">
      <text>
        <t>[Threaded comment]
Your version of Excel allows you to read this threaded comment; however, any edits to it will get removed if the file is opened in a newer version of Excel. Learn more: https://go.microsoft.com/fwlink/?linkid=870924
Comment:
    https://www.grandviewresearch.com/industry-analysis/renewable-energy-market#:~:text=The%20global%20renewable%20energy%20market,16.9%25%20from%202023%20to%202030.
Reply:
    Until 2030</t>
      </text>
    </comment>
    <comment ref="B18" authorId="1" shapeId="0" xr:uid="{3475FBE3-761B-49DE-B615-9335A3C97761}">
      <text>
        <t>[Threaded comment]
Your version of Excel allows you to read this threaded comment; however, any edits to it will get removed if the file is opened in a newer version of Excel. Learn more: https://go.microsoft.com/fwlink/?linkid=870924
Comment:
    https://pages.stern.nyu.edu/~adamodar/New_Home_Page/datafile/margin.html</t>
      </text>
    </comment>
    <comment ref="B24" authorId="2" shapeId="0" xr:uid="{FE8E25FD-ED94-43A4-B98F-41D950E86DA6}">
      <text>
        <t>[Threaded comment]
Your version of Excel allows you to read this threaded comment; however, any edits to it will get removed if the file is opened in a newer version of Excel. Learn more: https://go.microsoft.com/fwlink/?linkid=870924
Comment:
    https://www.edpr.com/en/news/2023/02/27/edpr-increases-target-dividend-payout-ratio-30-50-and-announces-new-scrip-dividend</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tc={6CE34BAC-D0DC-4F7F-8235-7AB10E0F099F}</author>
    <author>tc={AC3FBE06-2353-4ED3-B9D8-C30A22AB887D}</author>
    <author>tc={93914D01-090E-46D2-AAEF-EA284AF944D5}</author>
    <author>tc={F38C63C8-45CA-44A4-BF98-D3700D068BA4}</author>
    <author>tc={0CBB5F86-08C6-43B4-9CB5-A473B3678050}</author>
    <author>tc={76DF0939-2698-44F8-888D-9816CE7325AF}</author>
    <author>tc={DF72E35F-F1C0-4249-8724-9D8D5B298AAD}</author>
    <author>tc={1AA03ACF-3B48-4D67-958D-F6EF044D450A}</author>
    <author>tc={2F22B2D7-2E45-4955-9E0C-C7D1A6D58345}</author>
    <author>tc={F6A8F688-5854-4B3C-B853-A3282362B871}</author>
    <author>tc={C5230E95-2372-455D-853E-ADC547DFFA07}</author>
    <author>tc={CD3D7731-2DE3-41EF-8E4F-FEFCEA80B230}</author>
    <author>tc={D931E53D-FDD8-454A-A310-358907BAF729}</author>
    <author>tc={1F018087-7676-491D-9A79-FF595735B60E}</author>
    <author>tc={BA20DC74-F1FF-4673-8735-0C2CB0A4B0CC}</author>
    <author>tc={FE80AB0A-9963-428B-A6B2-EA8B41F2ECCF}</author>
    <author>tc={D0448A42-6FB0-4470-901E-8A5E9DF2E48D}</author>
  </authors>
  <commentList>
    <comment ref="A7" authorId="0" shapeId="0" xr:uid="{6CE34BAC-D0DC-4F7F-8235-7AB10E0F099F}">
      <text>
        <t>[Threaded comment]
Your version of Excel allows you to read this threaded comment; however, any edits to it will get removed if the file is opened in a newer version of Excel. Learn more: https://go.microsoft.com/fwlink/?linkid=870924
Comment:
    Koyfin 2022 and 2021
EBITDA the rest of the years</t>
      </text>
    </comment>
    <comment ref="A8" authorId="1" shapeId="0" xr:uid="{AC3FBE06-2353-4ED3-B9D8-C30A22AB887D}">
      <text>
        <t>[Threaded comment]
Your version of Excel allows you to read this threaded comment; however, any edits to it will get removed if the file is opened in a newer version of Excel. Learn more: https://go.microsoft.com/fwlink/?linkid=870924
Comment:
    EBIT</t>
      </text>
    </comment>
    <comment ref="A9" authorId="2" shapeId="0" xr:uid="{93914D01-090E-46D2-AAEF-EA284AF944D5}">
      <text>
        <t>[Threaded comment]
Your version of Excel allows you to read this threaded comment; however, any edits to it will get removed if the file is opened in a newer version of Excel. Learn more: https://go.microsoft.com/fwlink/?linkid=870924
Comment:
    Other operating income</t>
      </text>
    </comment>
    <comment ref="A10" authorId="3" shapeId="0" xr:uid="{F38C63C8-45CA-44A4-BF98-D3700D068BA4}">
      <text>
        <t>[Threaded comment]
Your version of Excel allows you to read this threaded comment; however, any edits to it will get removed if the file is opened in a newer version of Excel. Learn more: https://go.microsoft.com/fwlink/?linkid=870924
Comment:
    Net interest expense koyfin for 2022/2021
Reports rest of the period</t>
      </text>
    </comment>
    <comment ref="A11" authorId="4" shapeId="0" xr:uid="{0CBB5F86-08C6-43B4-9CB5-A473B3678050}">
      <text>
        <t>[Threaded comment]
Your version of Excel allows you to read this threaded comment; however, any edits to it will get removed if the file is opened in a newer version of Excel. Learn more: https://go.microsoft.com/fwlink/?linkid=870924
Comment:
    Report</t>
      </text>
    </comment>
    <comment ref="A20" authorId="5" shapeId="0" xr:uid="{76DF0939-2698-44F8-888D-9816CE7325AF}">
      <text>
        <t xml:space="preserve">[Threaded comment]
Your version of Excel allows you to read this threaded comment; however, any edits to it will get removed if the file is opened in a newer version of Excel. Learn more: https://go.microsoft.com/fwlink/?linkid=870924
Comment:
    EQUITY HOLDERS  OF THE PARENT + NONCONTROLLING INTERESTS </t>
      </text>
    </comment>
    <comment ref="A45" authorId="6" shapeId="0" xr:uid="{DF72E35F-F1C0-4249-8724-9D8D5B298AAD}">
      <text>
        <t xml:space="preserve">[Threaded comment]
Your version of Excel allows you to read this threaded comment; however, any edits to it will get removed if the file is opened in a newer version of Excel. Learn more: https://go.microsoft.com/fwlink/?linkid=870924
Comment:
    Couldn´t find info
</t>
      </text>
    </comment>
    <comment ref="A49" authorId="7" shapeId="0" xr:uid="{1AA03ACF-3B48-4D67-958D-F6EF044D450A}">
      <text>
        <t>[Threaded comment]
Your version of Excel allows you to read this threaded comment; however, any edits to it will get removed if the file is opened in a newer version of Excel. Learn more: https://go.microsoft.com/fwlink/?linkid=870924
Comment:
    Could not find info in the report</t>
      </text>
    </comment>
    <comment ref="A62" authorId="8" shapeId="0" xr:uid="{2F22B2D7-2E45-4955-9E0C-C7D1A6D58345}">
      <text>
        <t>[Threaded comment]
Your version of Excel allows you to read this threaded comment; however, any edits to it will get removed if the file is opened in a newer version of Excel. Learn more: https://go.microsoft.com/fwlink/?linkid=870924
Comment:
    Changes in NWC</t>
      </text>
    </comment>
    <comment ref="A65" authorId="9" shapeId="0" xr:uid="{F6A8F688-5854-4B3C-B853-A3282362B871}">
      <text>
        <t>[Threaded comment]
Your version of Excel allows you to read this threaded comment; however, any edits to it will get removed if the file is opened in a newer version of Excel. Learn more: https://go.microsoft.com/fwlink/?linkid=870924
Comment:
    CapEx</t>
      </text>
    </comment>
    <comment ref="A66" authorId="10" shapeId="0" xr:uid="{C5230E95-2372-455D-853E-ADC547DFFA07}">
      <text>
        <t>[Threaded comment]
Your version of Excel allows you to read this threaded comment; however, any edits to it will get removed if the file is opened in a newer version of Excel. Learn more: https://go.microsoft.com/fwlink/?linkid=870924
Comment:
    Acquisition of subsidiries CF statement</t>
      </text>
    </comment>
    <comment ref="A70" authorId="11" shapeId="0" xr:uid="{CD3D7731-2DE3-41EF-8E4F-FEFCEA80B230}">
      <text>
        <t>[Threaded comment]
Your version of Excel allows you to read this threaded comment; however, any edits to it will get removed if the file is opened in a newer version of Excel. Learn more: https://go.microsoft.com/fwlink/?linkid=870924
Comment:
    Could not find info</t>
      </text>
    </comment>
    <comment ref="A71" authorId="12" shapeId="0" xr:uid="{D931E53D-FDD8-454A-A310-358907BAF729}">
      <text>
        <t>[Threaded comment]
Your version of Excel allows you to read this threaded comment; however, any edits to it will get removed if the file is opened in a newer version of Excel. Learn more: https://go.microsoft.com/fwlink/?linkid=870924
Comment:
    No info founded in the report</t>
      </text>
    </comment>
    <comment ref="A74" authorId="13" shapeId="0" xr:uid="{1F018087-7676-491D-9A79-FF595735B60E}">
      <text>
        <t xml:space="preserve">[Threaded comment]
Your version of Excel allows you to read this threaded comment; however, any edits to it will get removed if the file is opened in a newer version of Excel. Learn more: https://go.microsoft.com/fwlink/?linkid=870924
Comment:
    Increases /(decreases) in capital and share premium by non-controlling interests </t>
      </text>
    </comment>
    <comment ref="A76" authorId="14" shapeId="0" xr:uid="{BA20DC74-F1FF-4673-8735-0C2CB0A4B0CC}">
      <text>
        <t xml:space="preserve">[Threaded comment]
Your version of Excel allows you to read this threaded comment; however, any edits to it will get removed if the file is opened in a newer version of Excel. Learn more: https://go.microsoft.com/fwlink/?linkid=870924
Comment:
    Effect of exchange rate fluctuations on cash held </t>
      </text>
    </comment>
    <comment ref="B86" authorId="15" shapeId="0" xr:uid="{FE80AB0A-9963-428B-A6B2-EA8B41F2ECCF}">
      <text>
        <t xml:space="preserve">[Threaded comment]
Your version of Excel allows you to read this threaded comment; however, any edits to it will get removed if the file is opened in a newer version of Excel. Learn more: https://go.microsoft.com/fwlink/?linkid=870924
Comment:
    Average volume
</t>
      </text>
    </comment>
    <comment ref="B88" authorId="16" shapeId="0" xr:uid="{D0448A42-6FB0-4470-901E-8A5E9DF2E48D}">
      <text>
        <t>[Threaded comment]
Your version of Excel allows you to read this threaded comment; however, any edits to it will get removed if the file is opened in a newer version of Excel. Learn more: https://go.microsoft.com/fwlink/?linkid=870924
Comment:
    Yahoo finance</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6">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futureMetadata>
  <futureMetadata name="XLDAPR" count="1">
    <bk>
      <extLst>
        <ext uri="{bdbb8cdc-fa1e-496e-a857-3c3f30c029c3}">
          <xda:dynamicArrayProperties fDynamic="1" fCollapsed="0"/>
        </ext>
      </extLst>
    </bk>
  </futureMetadata>
  <cellMetadata count="1">
    <bk>
      <rc t="2" v="0"/>
    </bk>
  </cellMetadata>
  <valueMetadata count="6">
    <bk>
      <rc t="1" v="0"/>
    </bk>
    <bk>
      <rc t="1" v="1"/>
    </bk>
    <bk>
      <rc t="1" v="2"/>
    </bk>
    <bk>
      <rc t="1" v="3"/>
    </bk>
    <bk>
      <rc t="1" v="4"/>
    </bk>
    <bk>
      <rc t="1" v="5"/>
    </bk>
  </valueMetadata>
</metadata>
</file>

<file path=xl/sharedStrings.xml><?xml version="1.0" encoding="utf-8"?>
<sst xmlns="http://schemas.openxmlformats.org/spreadsheetml/2006/main" count="1832" uniqueCount="893">
  <si>
    <t>Team 1</t>
  </si>
  <si>
    <t>Euronext Lisbon</t>
  </si>
  <si>
    <t xml:space="preserve">SIC: </t>
  </si>
  <si>
    <t>COMPANY DESCRIPTION</t>
  </si>
  <si>
    <t>CEO &amp; BOARD OF DIRECTORS</t>
  </si>
  <si>
    <t>Name</t>
  </si>
  <si>
    <t>Gender</t>
  </si>
  <si>
    <t>Age</t>
  </si>
  <si>
    <t>Tenure</t>
  </si>
  <si>
    <t>Executive?</t>
  </si>
  <si>
    <t>Other roles</t>
  </si>
  <si>
    <t>Miguel Stilwell D’Andrade</t>
  </si>
  <si>
    <t>Male</t>
  </si>
  <si>
    <t>Yes</t>
  </si>
  <si>
    <t>CEO of EDP</t>
  </si>
  <si>
    <t>Antonio Sarmento Gomes Mota</t>
  </si>
  <si>
    <t>No</t>
  </si>
  <si>
    <t>Former Chairman at CTT - Correios de Portugal SA</t>
  </si>
  <si>
    <t>Rui Manuel Rodrigues Lopes Teixeira</t>
  </si>
  <si>
    <t>CFO of EDP, CEO of EDP Spain, Member of th Board of Directors of EDP Brazil</t>
  </si>
  <si>
    <t>Vera de Morais Pinto Pereira Carneiro</t>
  </si>
  <si>
    <t>Female</t>
  </si>
  <si>
    <t>Member of the Executive Board of Directors of EDP Portugal, CEO of Comercial EDP, Chairwoman of the Board of EDP Foundation, Member of the Executive Board of EDP Spain and EDP Brazil</t>
  </si>
  <si>
    <t>Ana Paula Garrido de Pina Marques</t>
  </si>
  <si>
    <t>Member of the Board of EDP Portugal, CEO of EDP Energy Production Management, CEO of Labelec, Member of the Executive Board of EDP Spain and EDP Brazil</t>
  </si>
  <si>
    <t>Manuel Menéndez Menéndez</t>
  </si>
  <si>
    <t>Former CEO of Liberbank</t>
  </si>
  <si>
    <t>Acácio Jaime Liberado Mota Piloto</t>
  </si>
  <si>
    <t>-</t>
  </si>
  <si>
    <t>Allan J. Katz</t>
  </si>
  <si>
    <t>Ambassador of the United States of America to the Portuguese Republic in November 2009</t>
  </si>
  <si>
    <t>Rosa María García García</t>
  </si>
  <si>
    <t>Former CEO Siemens Spain</t>
  </si>
  <si>
    <t>José Manuel Félix Morgado</t>
  </si>
  <si>
    <t>Former CEO  Montepio Bank</t>
  </si>
  <si>
    <t>Cynthia Kay Mc Call</t>
  </si>
  <si>
    <t>USD MILLIONS</t>
  </si>
  <si>
    <t>María González Rodriguez</t>
  </si>
  <si>
    <t>Former Legal Business Development Director at  EDP</t>
  </si>
  <si>
    <t>COMPANY OVERVIEW</t>
  </si>
  <si>
    <t>Stock</t>
  </si>
  <si>
    <t>Liquidity and Solvency</t>
  </si>
  <si>
    <t>Segments</t>
  </si>
  <si>
    <t>Profitability (2022)</t>
  </si>
  <si>
    <t>Multiples</t>
  </si>
  <si>
    <t>Last Price</t>
  </si>
  <si>
    <t>Total Assets</t>
  </si>
  <si>
    <t>Regions</t>
  </si>
  <si>
    <t>% Sales</t>
  </si>
  <si>
    <t>Reporting Year</t>
  </si>
  <si>
    <t>Float</t>
  </si>
  <si>
    <t>Outstanding Shares</t>
  </si>
  <si>
    <t>Total Liabilities</t>
  </si>
  <si>
    <t>End of Year</t>
  </si>
  <si>
    <t>31 December 2022</t>
  </si>
  <si>
    <t>Insiders Own</t>
  </si>
  <si>
    <t>71.20%</t>
  </si>
  <si>
    <t>Market Cap.</t>
  </si>
  <si>
    <t>Cash/Share</t>
  </si>
  <si>
    <t>EBITDA</t>
  </si>
  <si>
    <t>b (Yahoo)</t>
  </si>
  <si>
    <t>0.54</t>
  </si>
  <si>
    <t>+Total Debt</t>
  </si>
  <si>
    <t>EBIDTA/Net Financial Cost (NFC)</t>
  </si>
  <si>
    <t>Depreciation &amp; Amortization</t>
  </si>
  <si>
    <t>Score (S&amp;P)</t>
  </si>
  <si>
    <t>BBB</t>
  </si>
  <si>
    <t>-Cash</t>
  </si>
  <si>
    <t>Debt/EBITDA</t>
  </si>
  <si>
    <t>EBIT</t>
  </si>
  <si>
    <t>Price/Book Value</t>
  </si>
  <si>
    <t>=Enterprise Value</t>
  </si>
  <si>
    <t>"Others Assets"/Asset</t>
  </si>
  <si>
    <t>South america + APAC</t>
  </si>
  <si>
    <t>Net Income</t>
  </si>
  <si>
    <t>NCF(3y avg)/Asset</t>
  </si>
  <si>
    <t>Holdings (nac/int'l)</t>
  </si>
  <si>
    <t>Debt/Assets</t>
  </si>
  <si>
    <t>Categories</t>
  </si>
  <si>
    <t>EPS</t>
  </si>
  <si>
    <t>Price/Net Inc. (3y avg)</t>
  </si>
  <si>
    <t>t liq. (Holdings/Vol.)</t>
  </si>
  <si>
    <t>EBITDA Margin (average)</t>
  </si>
  <si>
    <t>ROA</t>
  </si>
  <si>
    <t>EV/Asset</t>
  </si>
  <si>
    <t>% Short</t>
  </si>
  <si>
    <t>N/A</t>
  </si>
  <si>
    <t>Operating Margin (average)</t>
  </si>
  <si>
    <t>ROIC</t>
  </si>
  <si>
    <t>EV/Ebidta (3y average)</t>
  </si>
  <si>
    <t>Traffic ESG</t>
  </si>
  <si>
    <t>Net Income Margin (average)</t>
  </si>
  <si>
    <t>EBITDA (3y average)</t>
  </si>
  <si>
    <t>Price/NCF (3y average)</t>
  </si>
  <si>
    <t>E</t>
  </si>
  <si>
    <t>Net Income (3y average)</t>
  </si>
  <si>
    <t>Bonds 1,3,5a (USD)</t>
  </si>
  <si>
    <t>S</t>
  </si>
  <si>
    <t>Net Financial Cost/Avg Net Debt</t>
  </si>
  <si>
    <t>NCF (3y average)</t>
  </si>
  <si>
    <t>Div+Rep.(3y avg)/Price</t>
  </si>
  <si>
    <t>G</t>
  </si>
  <si>
    <t>Div. Yield</t>
  </si>
  <si>
    <t>INVESTMENT THESIS</t>
  </si>
  <si>
    <t>Pillars of Recommendation</t>
  </si>
  <si>
    <t>Recommendation</t>
  </si>
  <si>
    <t>Valuation Assumptions</t>
  </si>
  <si>
    <t>Pillar</t>
  </si>
  <si>
    <t>Explanation</t>
  </si>
  <si>
    <t>Hold</t>
  </si>
  <si>
    <t>CHECK DCF</t>
  </si>
  <si>
    <t>Investment in green solutions</t>
  </si>
  <si>
    <t>2022 was a year of significant action, as governments around the world promoted private and public investment into green energy.</t>
  </si>
  <si>
    <t>Investment plans</t>
  </si>
  <si>
    <t>Focus on securing new projects with long-term contracts under stable legal and regulatory frameworks.</t>
  </si>
  <si>
    <t>Financial performance</t>
  </si>
  <si>
    <t>EDP shows a consistent financial performance, and has a overall growth.</t>
  </si>
  <si>
    <t>Risks of Investment</t>
  </si>
  <si>
    <t>Price Target</t>
  </si>
  <si>
    <t>Valuation</t>
  </si>
  <si>
    <t>Risk</t>
  </si>
  <si>
    <t>Discount Rate</t>
  </si>
  <si>
    <t>Upside</t>
  </si>
  <si>
    <t>Operation Risks</t>
  </si>
  <si>
    <t>The current geopolitical events (as the war), and the subsequent turmoil in the energy markets, lead to supply chain disruption, inflation, and increasing interest rates, which bring operation complexity.</t>
  </si>
  <si>
    <t>Dependence on US market</t>
  </si>
  <si>
    <t>In the US, supply chain disruption remains a major botleneck principally for the execution of solar projects, which can represent a setback, since this company depends on the US market</t>
  </si>
  <si>
    <t>Licensing procedures</t>
  </si>
  <si>
    <t>In the short-run, namely lengthy and complex permit and licensing procedures, interconnection bolenecks and regulatory complexity and uncertainty (the later particularly in Europe) are slowing down the growth of renewable energies.</t>
  </si>
  <si>
    <t>FINANCIAL PERFORMANCE</t>
  </si>
  <si>
    <t>Year</t>
  </si>
  <si>
    <t>Net Sales</t>
  </si>
  <si>
    <t>Operating Margin</t>
  </si>
  <si>
    <t>Dividends + Share Buyback</t>
  </si>
  <si>
    <t>Net Cash Flow</t>
  </si>
  <si>
    <t>Capex + Investments</t>
  </si>
  <si>
    <t>Cash Flow</t>
  </si>
  <si>
    <t>Operating CF</t>
  </si>
  <si>
    <t>Investing CF</t>
  </si>
  <si>
    <t>Net Capex</t>
  </si>
  <si>
    <t>Investments &amp; Acquisitions</t>
  </si>
  <si>
    <t>Financing CF</t>
  </si>
  <si>
    <t>Dividends</t>
  </si>
  <si>
    <t>Share Buyback</t>
  </si>
  <si>
    <t>Annual Growth Rate</t>
  </si>
  <si>
    <t>FX</t>
  </si>
  <si>
    <t>Average Growth Rate</t>
  </si>
  <si>
    <t>Changes in Cash</t>
  </si>
  <si>
    <t>CVAR</t>
  </si>
  <si>
    <r>
      <t>Inventory/</t>
    </r>
    <r>
      <rPr>
        <sz val="10"/>
        <rFont val="Symbol"/>
        <family val="1"/>
        <charset val="2"/>
      </rPr>
      <t>D</t>
    </r>
    <r>
      <rPr>
        <sz val="10"/>
        <rFont val="Arial"/>
        <family val="2"/>
      </rPr>
      <t xml:space="preserve"> Revenues</t>
    </r>
  </si>
  <si>
    <t>Last Year</t>
  </si>
  <si>
    <t>t inversiones; t adq. neto dep.</t>
  </si>
  <si>
    <t>QUALITATIVE ANALYSIS</t>
  </si>
  <si>
    <t>SWOT ANALYSIS</t>
  </si>
  <si>
    <t>HOLDERS</t>
  </si>
  <si>
    <t>Pros</t>
  </si>
  <si>
    <t>Cons</t>
  </si>
  <si>
    <t>% Stake</t>
  </si>
  <si>
    <r>
      <rPr>
        <sz val="10"/>
        <color rgb="FF3174C5"/>
        <rFont val="Arial"/>
        <family val="2"/>
      </rPr>
      <t xml:space="preserve">
</t>
    </r>
    <r>
      <rPr>
        <sz val="10"/>
        <color rgb="FF000000"/>
        <rFont val="Arial"/>
        <family val="2"/>
      </rPr>
      <t>• One of the world’s top wind energy producers: 4th worldwide wind player
• Cost competitive technologies such as wind onshore and solar PV                                           • Average age of assets</t>
    </r>
  </si>
  <si>
    <t xml:space="preserve">• Dependency on government subsidies to provide adequate returns on investment
• High exposure to energy price fluctuations
• EDPR may not be able to secure appropriate power purchasing agreements (PPAs)
</t>
  </si>
  <si>
    <t>EDP</t>
  </si>
  <si>
    <t>71.27%</t>
  </si>
  <si>
    <t>GIC</t>
  </si>
  <si>
    <t>4.25%</t>
  </si>
  <si>
    <t>Blackrock</t>
  </si>
  <si>
    <t>3.06%</t>
  </si>
  <si>
    <t>MFS Series Trust VI-MFS Utilities Fund</t>
  </si>
  <si>
    <t>0.42%</t>
  </si>
  <si>
    <t>Vanguard International Stock Index-Total Intl Stock Indx</t>
  </si>
  <si>
    <t>0.31%</t>
  </si>
  <si>
    <t>iShares Global Clean Energy ETF</t>
  </si>
  <si>
    <t>0.21%</t>
  </si>
  <si>
    <t>Vanguard Tax Managed Fund-Vanguard Developed Markets Index Fund</t>
  </si>
  <si>
    <t>0.18%</t>
  </si>
  <si>
    <t>MFS Variable Insurance Trust-MFS Utility Series</t>
  </si>
  <si>
    <t>0.16%</t>
  </si>
  <si>
    <t>iShares Core MSCI EAFE ETF</t>
  </si>
  <si>
    <t>0.15%</t>
  </si>
  <si>
    <t>First Tr Exchange Traded Fd II-First Tr Global Wind Energy ETF</t>
  </si>
  <si>
    <t>0.11%</t>
  </si>
  <si>
    <t>Opportunities</t>
  </si>
  <si>
    <t>Risks</t>
  </si>
  <si>
    <t>iShares MSCI Eafe ETF</t>
  </si>
  <si>
    <t>0.09%</t>
  </si>
  <si>
    <t xml:space="preserve">
• European Commission launched REPowerEU (plan to save energy, diversify energy suppliers and produce clean energy in Europe) increasing the headline
2030 target for renewables installed capacity from 40% to 45%
• Investment in Kronos, a solar developer company based in Germany, allowing them to enter Germany and the Netherlands, and expand their presence to 12 markets in Europe
• Operations in Brazil, a growing wind energy market that benefits from strong wind resource
• In the United States, the Inflation Reduction Act (IRA) defined a record-breaking range of incentives designed to catalyze private investment in clean energy, providing a
stable and long-term framework that will support our investment in the region</t>
  </si>
  <si>
    <t>• Supply chain disruption and inflation
• Operational hazard - eg. existence of infrastructures in the public domain</t>
  </si>
  <si>
    <t>New Alternatives Fund Inc</t>
  </si>
  <si>
    <t>0.08%</t>
  </si>
  <si>
    <t>Fidelity International Index Fund</t>
  </si>
  <si>
    <t>0.07%</t>
  </si>
  <si>
    <t>NOTES</t>
  </si>
  <si>
    <t>STOCK PERFORMANCE (5 years)</t>
  </si>
  <si>
    <t xml:space="preserve">nome dos peers </t>
  </si>
  <si>
    <t>Products</t>
  </si>
  <si>
    <t>Nominal value</t>
  </si>
  <si>
    <t>YoY Growth</t>
  </si>
  <si>
    <t>&gt;&gt;&gt; MILLIONS OF EUROS</t>
  </si>
  <si>
    <t>Weight</t>
  </si>
  <si>
    <t>Region</t>
  </si>
  <si>
    <t>Portugal</t>
  </si>
  <si>
    <t>Spain</t>
  </si>
  <si>
    <t>Rest of Europe</t>
  </si>
  <si>
    <t>North America</t>
  </si>
  <si>
    <t>South America</t>
  </si>
  <si>
    <t>APAC  (Asia-Pacific Region)</t>
  </si>
  <si>
    <t>TOTAL</t>
  </si>
  <si>
    <t>Category</t>
  </si>
  <si>
    <t>Onshore wind</t>
  </si>
  <si>
    <t>Offshore wind</t>
  </si>
  <si>
    <t>Solar (Solar DG + Solar Utility Scale)</t>
  </si>
  <si>
    <t>Description</t>
  </si>
  <si>
    <t>Graphs</t>
  </si>
  <si>
    <t>Onshore Wind</t>
  </si>
  <si>
    <t>This segment involves the development, construction, and operation of onshore wind farms. Onshore wind energy is one of the most common forms of renewable energy and involves generating electricity from wind turbines located on land. EDP Renováveis has a significant onshore wind portfolio in various regions around the world.</t>
  </si>
  <si>
    <t>Onshore Wind: This segment involves the development, construction, and operation of onshore wind farms. Onshore wind energy is one of the most common forms of renewable energy and involves generating electricity from wind turbines located on land. EDP Renováveis has a significant onshore wind portfolio in various regions around the world.</t>
  </si>
  <si>
    <t>Offshore Wind</t>
  </si>
  <si>
    <t>This segment focuses on offshore wind farm projects. Offshore wind farms are situated in bodies of water, such as the ocean, and have the potential to harness stronger and more consistent wind resources compared to onshore locations. This segment represents a growing area of interest for EDP Renováveis and the renewable energy industry as a whole.</t>
  </si>
  <si>
    <t>Solar</t>
  </si>
  <si>
    <t>EDP Renováveis' solar projects are typically implemented through the construction of solar photovoltaic (PV) farms, which consist of solar panels that convert sunlight into electricity. These solar farms can be located on rooftops, in open fields, or integrated into urban areas, depending on the specific project requirements and available resources.</t>
  </si>
  <si>
    <t>Industry</t>
  </si>
  <si>
    <t>Graphs (Industry Forecasts)</t>
  </si>
  <si>
    <t>Drivers</t>
  </si>
  <si>
    <t>Growing Demand for Renewable Energy</t>
  </si>
  <si>
    <t>Advancements in Technology</t>
  </si>
  <si>
    <t>Favorable Regulatory Environment</t>
  </si>
  <si>
    <t>Sales forecast</t>
  </si>
  <si>
    <t>Source</t>
  </si>
  <si>
    <t>Market Growth CGAR</t>
  </si>
  <si>
    <t>Period</t>
  </si>
  <si>
    <t>Mordor Intelligence</t>
  </si>
  <si>
    <t>7.09%</t>
  </si>
  <si>
    <t>2019-2028</t>
  </si>
  <si>
    <r>
      <rPr>
        <b/>
        <u/>
        <sz val="10"/>
        <color rgb="FF4F81BD"/>
        <rFont val="Arial"/>
        <family val="2"/>
      </rPr>
      <t>Allied Market Re</t>
    </r>
    <r>
      <rPr>
        <b/>
        <sz val="10"/>
        <color rgb="FF4F81BD"/>
        <rFont val="Arial"/>
        <family val="2"/>
      </rPr>
      <t>search</t>
    </r>
  </si>
  <si>
    <t>8.40%</t>
  </si>
  <si>
    <t>2021-2030</t>
  </si>
  <si>
    <t>Precedence Research</t>
  </si>
  <si>
    <t>8.60%</t>
  </si>
  <si>
    <t>2022-2030</t>
  </si>
  <si>
    <t>AVERAGE</t>
  </si>
  <si>
    <t>8.03%</t>
  </si>
  <si>
    <t>Company's Strategy / Extra Notes</t>
  </si>
  <si>
    <t>Invertir</t>
  </si>
  <si>
    <t>NO invertir</t>
  </si>
  <si>
    <t>Mantener sin elevar posición</t>
  </si>
  <si>
    <t>Mantener (y seguir comprando)</t>
  </si>
  <si>
    <t>Liquidar</t>
  </si>
  <si>
    <t>PENDIENTE</t>
  </si>
  <si>
    <t>Peer Logo</t>
  </si>
  <si>
    <t>Peer Name</t>
  </si>
  <si>
    <t>&gt;founded in 1945
&gt;a Danish manufacturer, seller, installer, and servicer of wind turbines 
&gt;The company operates manufacturing plants in Denmark, Germany, the Netherlands, Taiwan, India, Italy, Romania, UK, Spain, Sweden, Norway, Australia, China, Brazil, Poland US</t>
  </si>
  <si>
    <t xml:space="preserve">&gt; a Danish multinational energy company. Headquartered in Denmark
&gt;Ørsted is the largest energy company in Denmark
&gt;It was previously known as DONG.
</t>
  </si>
  <si>
    <t>&gt; a Spanish multinational electric utility company
&gt;based in Bilbao, Spain.
&gt; Iberdrola has a workforce of around 34,000 employees serving around 30 million customers
&gt; Subsidiaries include Scottish Power (United Kingdom) and a significant part of Avangrid (U.S)
&gt;largest shareholders of the company is the Qatar Investment Authority, BlackRock and Norges Bank.</t>
  </si>
  <si>
    <t>&gt;a German multinational electric utility company based in Essen, Germany.
&gt;one of the world's largest investor-owned electric utility service providers
&gt;It operates in over 30 countries and has over 50 million customers.</t>
  </si>
  <si>
    <t>The Nuclear Plant has been ruled out in 2022.</t>
  </si>
  <si>
    <t xml:space="preserve">&gt;an Italian multinational manufacturer and distributor of electricity and gas company.
&gt; was first established as a public body at the end of 1962
&gt;Enel is the 90th largest company in the world by revenue, with €140 billion in 2022
&gt;Enel is also the second largest power company in the world by revenue after the State Grid Corporation of China
</t>
  </si>
  <si>
    <t>In Millions USD (exc Market Cap)</t>
  </si>
  <si>
    <t>Company Info</t>
  </si>
  <si>
    <t>Market share</t>
  </si>
  <si>
    <t>Market Cap</t>
  </si>
  <si>
    <t>Net Sales (current)</t>
  </si>
  <si>
    <t>Profitability</t>
  </si>
  <si>
    <t>Sales Growth (ttm)</t>
  </si>
  <si>
    <t>Sales Growth (36m)</t>
  </si>
  <si>
    <t>Net Income Margin</t>
  </si>
  <si>
    <t>Return on Equity (RoE)</t>
  </si>
  <si>
    <t>Return on Invested Capital (ROIC)</t>
  </si>
  <si>
    <t>Solvency</t>
  </si>
  <si>
    <t>Net Debt/EBITDA</t>
  </si>
  <si>
    <t>Interest Coverage Ratio</t>
  </si>
  <si>
    <t>Liquidity</t>
  </si>
  <si>
    <t>Current Ratio</t>
  </si>
  <si>
    <t>Quick Ratio</t>
  </si>
  <si>
    <t>Activity</t>
  </si>
  <si>
    <t>Inventory Turnover</t>
  </si>
  <si>
    <t>Acc. Receivable Turnover</t>
  </si>
  <si>
    <t>Price/Sales</t>
  </si>
  <si>
    <t>Payables Turnover</t>
  </si>
  <si>
    <t>Fixed Asset Turnover</t>
  </si>
  <si>
    <t>Total Asset Turnover</t>
  </si>
  <si>
    <t>Price/Earnings</t>
  </si>
  <si>
    <t>Price/Book</t>
  </si>
  <si>
    <t>EV/Sales</t>
  </si>
  <si>
    <t>EV/EBITDA</t>
  </si>
  <si>
    <t>Stock Info</t>
  </si>
  <si>
    <r>
      <t xml:space="preserve">b </t>
    </r>
    <r>
      <rPr>
        <b/>
        <sz val="10"/>
        <rFont val="Arial"/>
        <family val="2"/>
      </rPr>
      <t>(Yahoo)</t>
    </r>
  </si>
  <si>
    <t>Dividend Yield (yahoo finance)</t>
  </si>
  <si>
    <t>Stock Performance</t>
  </si>
  <si>
    <t xml:space="preserve">1y </t>
  </si>
  <si>
    <t xml:space="preserve">3y </t>
  </si>
  <si>
    <t>Current Price</t>
  </si>
  <si>
    <t>Average Target Price</t>
  </si>
  <si>
    <t>Upside/Downside</t>
  </si>
  <si>
    <t>Financial Data</t>
  </si>
  <si>
    <t>IS</t>
  </si>
  <si>
    <t>Net Sales (36m ago)</t>
  </si>
  <si>
    <t>Net Sales (12m ago)</t>
  </si>
  <si>
    <t>COGS</t>
  </si>
  <si>
    <t>Operating Income</t>
  </si>
  <si>
    <t>Net Financial Cost</t>
  </si>
  <si>
    <t>Taxes</t>
  </si>
  <si>
    <t>BS</t>
  </si>
  <si>
    <t>Cash &amp; Eq.</t>
  </si>
  <si>
    <t>Acc. Receivables</t>
  </si>
  <si>
    <t>Inventory</t>
  </si>
  <si>
    <t>Current Assets</t>
  </si>
  <si>
    <t>Fixed Assets</t>
  </si>
  <si>
    <t>Acc. Payable</t>
  </si>
  <si>
    <t>Current Liabilities</t>
  </si>
  <si>
    <t>Total Debt</t>
  </si>
  <si>
    <t>Total Equity</t>
  </si>
  <si>
    <t>CapEx/revenues</t>
  </si>
  <si>
    <t>Debt structure/ maturities</t>
  </si>
  <si>
    <t>Company GICS Sector:</t>
  </si>
  <si>
    <t>Renewable Energy</t>
  </si>
  <si>
    <t>&lt;- Select Industry</t>
  </si>
  <si>
    <t>ESG Analysis</t>
  </si>
  <si>
    <t>Relative ESG Analysis</t>
  </si>
  <si>
    <t>Parameters</t>
  </si>
  <si>
    <t>Impact</t>
  </si>
  <si>
    <t>Do they report?</t>
  </si>
  <si>
    <t>Ranking</t>
  </si>
  <si>
    <t>Mitigation Plan</t>
  </si>
  <si>
    <t>Traffic Lights</t>
  </si>
  <si>
    <t>Improvement over time?</t>
  </si>
  <si>
    <t>Targets / Goals?</t>
  </si>
  <si>
    <t>Comments</t>
  </si>
  <si>
    <t>EDPR</t>
  </si>
  <si>
    <t>Vestas</t>
  </si>
  <si>
    <t>Orsted</t>
  </si>
  <si>
    <t>Iberdrola</t>
  </si>
  <si>
    <t>E On</t>
  </si>
  <si>
    <t>Enel</t>
  </si>
  <si>
    <t>Environmental</t>
  </si>
  <si>
    <t>Ratios</t>
  </si>
  <si>
    <t>Average</t>
  </si>
  <si>
    <t>CO2 Direct Emissions</t>
  </si>
  <si>
    <t>low</t>
  </si>
  <si>
    <t>They have been increasing their CO2 emissions.</t>
  </si>
  <si>
    <t>CO2 Emissions/$M Sales</t>
  </si>
  <si>
    <t>Total Water Consumption</t>
  </si>
  <si>
    <t>Water Consumption/$M Sales</t>
  </si>
  <si>
    <t>Total Energy Consumption</t>
  </si>
  <si>
    <t>They have increased their usage of energy over time.</t>
  </si>
  <si>
    <t>Energy Consumption/$M Sales</t>
  </si>
  <si>
    <t>Waste Management</t>
  </si>
  <si>
    <t>Medium High</t>
  </si>
  <si>
    <t>The main waste generated are turbines, which are 80-90% recyclable. 74% total waste recovered.</t>
  </si>
  <si>
    <t>Waste Production/$M Sales</t>
  </si>
  <si>
    <t>Land Degradation/Deforestation/Biodiversity loss/Animal sufering/…</t>
  </si>
  <si>
    <t>"Villain"</t>
  </si>
  <si>
    <t>They have booked €264,756.00 to restore sites and lands to its original condition.</t>
  </si>
  <si>
    <t>Inputs</t>
  </si>
  <si>
    <t>Social</t>
  </si>
  <si>
    <t>Net Sales ($M)</t>
  </si>
  <si>
    <t>Employee Turnover %</t>
  </si>
  <si>
    <t>CO2 Emissions Total (Tonnes)</t>
  </si>
  <si>
    <t>Salaries &amp; Compensation</t>
  </si>
  <si>
    <t>200 million on salaries.</t>
  </si>
  <si>
    <t>Water Consumption Total (Cubic Meters)</t>
  </si>
  <si>
    <t>Reputation</t>
  </si>
  <si>
    <t>Medium</t>
  </si>
  <si>
    <t>They seem to care but have no deep plans about it.</t>
  </si>
  <si>
    <t>Energy Consumption Total (Gigajoules)</t>
  </si>
  <si>
    <t>Discrimination Events</t>
  </si>
  <si>
    <t>"Best in class"</t>
  </si>
  <si>
    <t>Continue to have zero cases</t>
  </si>
  <si>
    <t>A strong code of ethics and no cases in the last 2 years.</t>
  </si>
  <si>
    <t>Waste Production Total (Tonnes)</t>
  </si>
  <si>
    <t>Work Safety</t>
  </si>
  <si>
    <t>Zero accidents overall</t>
  </si>
  <si>
    <t>Data-driven approach to identify and act on causes of accidents based on the ISO 45001 specifications. 65 work related injuries and 1 death-</t>
  </si>
  <si>
    <t>ESG Scores</t>
  </si>
  <si>
    <t>Damage to consumer health</t>
  </si>
  <si>
    <t>Bloomberg</t>
  </si>
  <si>
    <t>PXP?</t>
  </si>
  <si>
    <t>Sustainalytics</t>
  </si>
  <si>
    <t>Supply chain</t>
  </si>
  <si>
    <t>Perfoms audits and inspections on suppliers to make sure they are all aligned with their ESG criteria.</t>
  </si>
  <si>
    <t>ISS</t>
  </si>
  <si>
    <t>B+</t>
  </si>
  <si>
    <t>A-</t>
  </si>
  <si>
    <t>B-</t>
  </si>
  <si>
    <t>C+</t>
  </si>
  <si>
    <t>B</t>
  </si>
  <si>
    <t>Community involvement</t>
  </si>
  <si>
    <t>Commited to maintain their engagement on the community.</t>
  </si>
  <si>
    <t>They have several programs to help the community such as sponsoring regional leagues, helping in the education of the youth and improving quality of life to rural citizens.</t>
  </si>
  <si>
    <t>CDP</t>
  </si>
  <si>
    <t>A</t>
  </si>
  <si>
    <t>Public Sector</t>
  </si>
  <si>
    <t>Completely private company.</t>
  </si>
  <si>
    <t>Litigation</t>
  </si>
  <si>
    <t>Corporate Governance</t>
  </si>
  <si>
    <t>PARAMETERS</t>
  </si>
  <si>
    <t>Diversity (Gender, Age, Industry, Region)</t>
  </si>
  <si>
    <t>Keep the percentage of women above 36% and above 30% in leadership positions until 2025.</t>
  </si>
  <si>
    <t>33% are females, member of Bloomberg Gender Equality Index (GEI) since 2020, average of 4,7 years on tenure and 33% between 30-50 years old.</t>
  </si>
  <si>
    <t>IMPACT</t>
  </si>
  <si>
    <t>RANKING</t>
  </si>
  <si>
    <t>MITIGATION PLAN</t>
  </si>
  <si>
    <t>% Independence</t>
  </si>
  <si>
    <t xml:space="preserve">50% of independent directors, Audit, Control and Related party transactions 100% independent, Appointments and Remunerations 100% independent, ESG comittee 100% independent.  </t>
  </si>
  <si>
    <t>Low</t>
  </si>
  <si>
    <t>Evidence / plan?</t>
  </si>
  <si>
    <t>average time as independent directors</t>
  </si>
  <si>
    <t>2,5 years.</t>
  </si>
  <si>
    <t>Recent departures of directors / C-level executives?</t>
  </si>
  <si>
    <t>Miguel Stilwell is now in the place of Miguel Setas.</t>
  </si>
  <si>
    <t>The Executive Committee body – which included, up to that date, the Executive Board members – was dis-solved and the remaining members were integrated in a Management Team.
Miguel Setas (executive board and chairman) left the company in march of 2023 after 8 years.</t>
  </si>
  <si>
    <t>High</t>
  </si>
  <si>
    <t>CEO/Chairman duality</t>
  </si>
  <si>
    <t>Miguel Stilwell is the CEO and Chairman.</t>
  </si>
  <si>
    <t>Very high</t>
  </si>
  <si>
    <t>Transparency (ESG, segments, acquisitions, other)</t>
  </si>
  <si>
    <t>The information is transparent and avaiable easily.</t>
  </si>
  <si>
    <t>Time taken to report after the end of the quarter / year</t>
  </si>
  <si>
    <t>Reported on the end of february.</t>
  </si>
  <si>
    <t>Additional participation of the CEO in other boards or excessive participation of Ch.</t>
  </si>
  <si>
    <t>The CEO also participates in the Board of Directors.</t>
  </si>
  <si>
    <t>Audit / Consulting</t>
  </si>
  <si>
    <t>268,000 in non-audit fees an increase of more than 50% from 2021.</t>
  </si>
  <si>
    <t>ESG-compensation related</t>
  </si>
  <si>
    <t>Few performance compensations.</t>
  </si>
  <si>
    <t>Management compensation schemes</t>
  </si>
  <si>
    <t>Highest paid individuals have a significant bigger compensation.</t>
  </si>
  <si>
    <t xml:space="preserve">Major environmental concerns would be oil spils and fires. EDPR performs regular environmental drills and they recorded 71 near miss spils and fires, meaning there were zero significant spils. </t>
  </si>
  <si>
    <t>They claim their activity does no involve water consumption. Water is just for human use.</t>
  </si>
  <si>
    <r>
      <rPr>
        <sz val="10"/>
        <color rgb="FF000000"/>
        <rFont val="Arial"/>
      </rPr>
      <t xml:space="preserve">Part of EDPR’s EVP is a competitive remuneration package aligned with the best practices in the market. EDPR’s Compensation Package includes (i) an Annual Base Salary, (ii) a </t>
    </r>
    <r>
      <rPr>
        <b/>
        <sz val="10"/>
        <color rgb="FF000000"/>
        <rFont val="Arial"/>
      </rPr>
      <t>Variable Pay depending on the achievements of the Area, Company KPIs, and an Individual Global Assessment of the employee</t>
    </r>
  </si>
  <si>
    <t>Moreover, Cybersecurity is one of the main points for the operational business and strategic 
information definition of the Company. The BitSight rating is focused on the organisation's 
cybersecurity risk, with less elasticity. By the end of 2022, EDPR maintained the rating of 
"Advanced" with 780 points, exceeding the Group KPI of 740</t>
  </si>
  <si>
    <t>VALUATION MODEL</t>
  </si>
  <si>
    <t>Short Term</t>
  </si>
  <si>
    <t>Long Term</t>
  </si>
  <si>
    <t>Section</t>
  </si>
  <si>
    <t>Line #</t>
  </si>
  <si>
    <t>ITEM</t>
  </si>
  <si>
    <t>2020 (Real)</t>
  </si>
  <si>
    <t>2021 (Real)</t>
  </si>
  <si>
    <t>2022 (Real)</t>
  </si>
  <si>
    <t>INCOME STATEMENT</t>
  </si>
  <si>
    <t>Growth</t>
  </si>
  <si>
    <t>Revenues/Sales</t>
  </si>
  <si>
    <t>EBIT/Operating Margin</t>
  </si>
  <si>
    <t>5a</t>
  </si>
  <si>
    <t>(Dep)</t>
  </si>
  <si>
    <t>5b</t>
  </si>
  <si>
    <t>Amort</t>
  </si>
  <si>
    <t>5c</t>
  </si>
  <si>
    <t>(Stock based compensation)</t>
  </si>
  <si>
    <t>EBIDTA</t>
  </si>
  <si>
    <t>(Net financing cost)</t>
  </si>
  <si>
    <t>Other income/(cost)</t>
  </si>
  <si>
    <t>Earnings before taxes</t>
  </si>
  <si>
    <t>(Income tax)</t>
  </si>
  <si>
    <t>Net income</t>
  </si>
  <si>
    <t> </t>
  </si>
  <si>
    <t>CASH FLOW STATEMENT</t>
  </si>
  <si>
    <t>Operating cash flows before WK</t>
  </si>
  <si>
    <t>(Stock-based compensation)</t>
  </si>
  <si>
    <t>(Working Capital Flows)</t>
  </si>
  <si>
    <t>-Total Operating Cash Flow</t>
  </si>
  <si>
    <t>(CAPEX)</t>
  </si>
  <si>
    <t>Adq</t>
  </si>
  <si>
    <t>(Other investing flows)</t>
  </si>
  <si>
    <t>-Total Investing Flows</t>
  </si>
  <si>
    <t>(Flows related to leases)</t>
  </si>
  <si>
    <t>Flows related to debt</t>
  </si>
  <si>
    <t>(Respurchases)/Issuance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</si>
  <si>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</si>
  <si>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</si>
  <si>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</si>
  <si>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</si>
  <si>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</si>
  <si>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</si>
  <si>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</si>
  <si>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</si>
  <si>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</si>
  <si>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</si>
  <si>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</si>
  <si>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</si>
  <si>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</si>
  <si>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</si>
  <si>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</si>
  <si>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</si>
  <si>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</si>
  <si>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</si>
  <si>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</si>
  <si>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</si>
  <si>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</si>
  <si>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</si>
  <si>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</si>
  <si>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Total</t>
  </si>
  <si>
    <t>&lt;---</t>
  </si>
  <si>
    <t>WACC</t>
  </si>
  <si>
    <t>Modelling factors</t>
  </si>
  <si>
    <t>Reference (line)</t>
  </si>
  <si>
    <t>Depreciation factor</t>
  </si>
  <si>
    <t>% PPE</t>
  </si>
  <si>
    <t>Amortization factor</t>
  </si>
  <si>
    <t>% IA</t>
  </si>
  <si>
    <t>Stock-based comp</t>
  </si>
  <si>
    <t>% revenue</t>
  </si>
  <si>
    <t>Tax Rate</t>
  </si>
  <si>
    <t>% (line 9)</t>
  </si>
  <si>
    <t>Interest Rate on debt</t>
  </si>
  <si>
    <t>% debt (l29)</t>
  </si>
  <si>
    <t>Interest Rate on cash</t>
  </si>
  <si>
    <t>% of cash (l28)</t>
  </si>
  <si>
    <t>PPE+ROA</t>
  </si>
  <si>
    <t>--</t>
  </si>
  <si>
    <t>Growing with capex</t>
  </si>
  <si>
    <t>Working capital flows</t>
  </si>
  <si>
    <t>% of change revenues (l2)</t>
  </si>
  <si>
    <t>Intangible Assets</t>
  </si>
  <si>
    <t>- -</t>
  </si>
  <si>
    <t>Growing with amortization</t>
  </si>
  <si>
    <t xml:space="preserve">Capex </t>
  </si>
  <si>
    <t>% revenue (l2)</t>
  </si>
  <si>
    <t>terço</t>
  </si>
  <si>
    <t>Acquisition factor</t>
  </si>
  <si>
    <t xml:space="preserve"> </t>
  </si>
  <si>
    <t>% net income (11)</t>
  </si>
  <si>
    <t>Repurchases</t>
  </si>
  <si>
    <t>Leases</t>
  </si>
  <si>
    <t>Cash Costs for EBIT</t>
  </si>
  <si>
    <t xml:space="preserve">- - </t>
  </si>
  <si>
    <t>$ millions</t>
  </si>
  <si>
    <t>Value of flows</t>
  </si>
  <si>
    <t>Value of perpetuity</t>
  </si>
  <si>
    <t>Total Value</t>
  </si>
  <si>
    <t>Actual share price</t>
  </si>
  <si>
    <t>Total value vs Mkt Cap</t>
  </si>
  <si>
    <t>Estimated NPV per share</t>
  </si>
  <si>
    <t>Sensibility</t>
  </si>
  <si>
    <t>Sensitivity +0.1%</t>
  </si>
  <si>
    <t>Sensitivity +0.5%</t>
  </si>
  <si>
    <t>Notes</t>
  </si>
  <si>
    <t>mkt shareof peers * sector growth  + inflation rate + expectation</t>
  </si>
  <si>
    <t>w/out nuclear</t>
  </si>
  <si>
    <t>mkt share</t>
  </si>
  <si>
    <t>sector growth</t>
  </si>
  <si>
    <t>inflation rate ST</t>
  </si>
  <si>
    <t>Type 1</t>
  </si>
  <si>
    <t>expectation 2023/2024 (not used)</t>
  </si>
  <si>
    <t>growth</t>
  </si>
  <si>
    <t>expectation after 2026</t>
  </si>
  <si>
    <t>Expectation after 2030</t>
  </si>
  <si>
    <t>Type 2</t>
  </si>
  <si>
    <t>Expectation 2026</t>
  </si>
  <si>
    <t>inflation rate LT</t>
  </si>
  <si>
    <t>Margins</t>
  </si>
  <si>
    <t>linear</t>
  </si>
  <si>
    <t>EBIT margin sector average</t>
  </si>
  <si>
    <t>depreciation ST and LT</t>
  </si>
  <si>
    <t>PPE</t>
  </si>
  <si>
    <t>amortization ST and LT</t>
  </si>
  <si>
    <t xml:space="preserve"> Acc dep</t>
  </si>
  <si>
    <t>net PPE</t>
  </si>
  <si>
    <t>Default spread (Damodaran)</t>
  </si>
  <si>
    <t>depreciation of the year</t>
  </si>
  <si>
    <t>Div ST</t>
  </si>
  <si>
    <t>depreciation of the year/net PPE</t>
  </si>
  <si>
    <t>Div LT</t>
  </si>
  <si>
    <t>amortization of the year</t>
  </si>
  <si>
    <t>amortization of the year/net PPE</t>
  </si>
  <si>
    <t>not used</t>
  </si>
  <si>
    <t>NI</t>
  </si>
  <si>
    <t>275/NI</t>
  </si>
  <si>
    <t>changes in NWC</t>
  </si>
  <si>
    <t>rev</t>
  </si>
  <si>
    <t>changes NWC/ver</t>
  </si>
  <si>
    <t>NWC</t>
  </si>
  <si>
    <t>rev change</t>
  </si>
  <si>
    <t>NWC/rev change</t>
  </si>
  <si>
    <t>lease payments</t>
  </si>
  <si>
    <t>lease payments/revs</t>
  </si>
  <si>
    <t>%revs</t>
  </si>
  <si>
    <t>Debt</t>
  </si>
  <si>
    <t>Ebitda</t>
  </si>
  <si>
    <t>Debt/ebitda</t>
  </si>
  <si>
    <t>net debt</t>
  </si>
  <si>
    <t>net debt/ebitda</t>
  </si>
  <si>
    <t>analysis</t>
  </si>
  <si>
    <t>company</t>
  </si>
  <si>
    <t>market share</t>
  </si>
  <si>
    <t>Assumptions from investors presentation</t>
  </si>
  <si>
    <t xml:space="preserve">Build to sell </t>
  </si>
  <si>
    <t>=</t>
  </si>
  <si>
    <t>produce wind and solar farms to later on sell them to third parties</t>
  </si>
  <si>
    <t>Results</t>
  </si>
  <si>
    <t>Growth vs. Previous year</t>
  </si>
  <si>
    <t>Gross Profit</t>
  </si>
  <si>
    <t>% over sales</t>
  </si>
  <si>
    <t>Operating expenses</t>
  </si>
  <si>
    <t xml:space="preserve">     Growth vs. Previous year</t>
  </si>
  <si>
    <t>Other Expenses (Revenues)</t>
  </si>
  <si>
    <t>Changes Net Working Capital</t>
  </si>
  <si>
    <t>EBITDA Margin</t>
  </si>
  <si>
    <t>% Tax</t>
  </si>
  <si>
    <t>Cash Generated</t>
  </si>
  <si>
    <t>Share buyback</t>
  </si>
  <si>
    <t>FNP''</t>
  </si>
  <si>
    <t>FNP'</t>
  </si>
  <si>
    <t>Payout Ratio</t>
  </si>
  <si>
    <t>Assets</t>
  </si>
  <si>
    <t>Accounts Receivable</t>
  </si>
  <si>
    <t>Property, Plant and Equipment</t>
  </si>
  <si>
    <t>Other Assets</t>
  </si>
  <si>
    <t>Liabilities</t>
  </si>
  <si>
    <t xml:space="preserve">   Short-Term Debt</t>
  </si>
  <si>
    <t xml:space="preserve">   Short-Term Leases</t>
  </si>
  <si>
    <t>Other current liabilities</t>
  </si>
  <si>
    <t>Non-current Liabilities</t>
  </si>
  <si>
    <t xml:space="preserve">   Long-Term Debt</t>
  </si>
  <si>
    <t xml:space="preserve">   Long-Term Leases</t>
  </si>
  <si>
    <t>Other non-current liabilities</t>
  </si>
  <si>
    <t>Net Debt</t>
  </si>
  <si>
    <t>Minority Interest</t>
  </si>
  <si>
    <t xml:space="preserve">Shareholder's Equity </t>
  </si>
  <si>
    <t>Changes in cash</t>
  </si>
  <si>
    <t>Other Data</t>
  </si>
  <si>
    <t>Number of employees</t>
  </si>
  <si>
    <t xml:space="preserve">Shares Outstanding </t>
  </si>
  <si>
    <t>Fitch/ S&amp;P Rating</t>
  </si>
  <si>
    <t>Dividend Yield</t>
  </si>
  <si>
    <t>Daily Volume in Millions of USD</t>
  </si>
  <si>
    <t xml:space="preserve">Short % of Float </t>
  </si>
  <si>
    <t>Corporate Bonds 3, 5 Y 10</t>
  </si>
  <si>
    <t>Average Price</t>
  </si>
  <si>
    <t>Moody's</t>
  </si>
  <si>
    <t>YTM</t>
  </si>
  <si>
    <t>DIVISA</t>
  </si>
  <si>
    <t>Depreciation and Amortization</t>
  </si>
  <si>
    <t>FNP</t>
  </si>
  <si>
    <t>Figures in Millions of USD</t>
  </si>
  <si>
    <t>Company</t>
  </si>
  <si>
    <t>Report in millions</t>
  </si>
  <si>
    <t>RESULTS</t>
  </si>
  <si>
    <t>Hoja</t>
  </si>
  <si>
    <t>Nombre campo Bloomberg</t>
  </si>
  <si>
    <t>Cambio de signo</t>
  </si>
  <si>
    <t>Income Statement</t>
  </si>
  <si>
    <t>Sales</t>
  </si>
  <si>
    <t>Ingreso</t>
  </si>
  <si>
    <t xml:space="preserve">    + Coste de bienes y servicios</t>
  </si>
  <si>
    <t xml:space="preserve">    + Ventas, generales y admin</t>
  </si>
  <si>
    <t>investment income+other income expense+income loss+minority interest+non controlling interest+share onf net profit+gain8losses) on equity investments+share of result from associates nd joint ventures+non operating profit+</t>
  </si>
  <si>
    <t xml:space="preserve">    + Investigación y desarrollo</t>
  </si>
  <si>
    <t xml:space="preserve">    + Coste de financiación de beneficio</t>
  </si>
  <si>
    <t xml:space="preserve">    + Otro gasto operativo</t>
  </si>
  <si>
    <t xml:space="preserve">  - Beneficio (pérdida) de filiales</t>
  </si>
  <si>
    <t xml:space="preserve">  - Minoritarios</t>
  </si>
  <si>
    <t>interest expense+financial income and expenses+other financial expense-income+interest and other net+</t>
  </si>
  <si>
    <t xml:space="preserve">  - Ingreso (pérdida) no operacional</t>
  </si>
  <si>
    <t xml:space="preserve">  - Gasto de impuesto a la renta (Beneficio)</t>
  </si>
  <si>
    <t>Flujo de caja</t>
  </si>
  <si>
    <t xml:space="preserve">  + Ingreso neto</t>
  </si>
  <si>
    <t>FINANCIAL POSITION</t>
  </si>
  <si>
    <t>Weighted Average Shares (Basic NI)</t>
  </si>
  <si>
    <t>Weighted Average Shares (Diluted NI)</t>
  </si>
  <si>
    <t>Net gains (losses) from ForEx</t>
  </si>
  <si>
    <t>Total Comprehensive Income</t>
  </si>
  <si>
    <t>cash flows</t>
  </si>
  <si>
    <t>Net Working Capital</t>
  </si>
  <si>
    <t xml:space="preserve">  + Dividendos pagados</t>
  </si>
  <si>
    <t>Cambiar signo</t>
  </si>
  <si>
    <t xml:space="preserve">    + Aumento en capital</t>
  </si>
  <si>
    <t xml:space="preserve">    + Baja en capital</t>
  </si>
  <si>
    <t>Cambiar signo y hacer suma</t>
  </si>
  <si>
    <t>net</t>
  </si>
  <si>
    <t>ASSETS</t>
  </si>
  <si>
    <t>dep of year</t>
  </si>
  <si>
    <t>Current</t>
  </si>
  <si>
    <t>%</t>
  </si>
  <si>
    <t>Balance Sheet</t>
  </si>
  <si>
    <t>average</t>
  </si>
  <si>
    <t>Balance</t>
  </si>
  <si>
    <t xml:space="preserve">  + Efectivo, equivalentes y STI</t>
  </si>
  <si>
    <t>Other Current Assets</t>
  </si>
  <si>
    <t xml:space="preserve">  + Cuentas y notas por cobrar</t>
  </si>
  <si>
    <t xml:space="preserve">    + Activos derivados y de cobertura</t>
  </si>
  <si>
    <t xml:space="preserve">  + Inversiones y cuentas por cobrar a LP</t>
  </si>
  <si>
    <t>Non-current</t>
  </si>
  <si>
    <t xml:space="preserve">  + Inventarios</t>
  </si>
  <si>
    <t>delta NWC</t>
  </si>
  <si>
    <t>Operating leases</t>
  </si>
  <si>
    <t>Equity Method Investments</t>
  </si>
  <si>
    <t>Other Non-Current Assets</t>
  </si>
  <si>
    <t>Capex/revenues</t>
  </si>
  <si>
    <t xml:space="preserve">  + Propiedad, planta y equipo; neto</t>
  </si>
  <si>
    <t>average all years</t>
  </si>
  <si>
    <t>average last 3 years</t>
  </si>
  <si>
    <t>Activos totales</t>
  </si>
  <si>
    <t>I</t>
  </si>
  <si>
    <t>LIABILITIES</t>
  </si>
  <si>
    <t>Payables</t>
  </si>
  <si>
    <t>Short term Debt</t>
  </si>
  <si>
    <t>Pasivos totales corrientes</t>
  </si>
  <si>
    <t>debt over equity</t>
  </si>
  <si>
    <t xml:space="preserve">    + Préstamos CP</t>
  </si>
  <si>
    <t>Total non current liabilities</t>
  </si>
  <si>
    <t>acquisitions</t>
  </si>
  <si>
    <t>Long term debt</t>
  </si>
  <si>
    <t>acquisitions over capex</t>
  </si>
  <si>
    <t>Pasivos totales no corrientes</t>
  </si>
  <si>
    <t>acquisitions over PP&amp;E</t>
  </si>
  <si>
    <t>Other non current Liabilities</t>
  </si>
  <si>
    <t xml:space="preserve">    + Préstamos a largo plazo</t>
  </si>
  <si>
    <t>acquistions over nI t-1</t>
  </si>
  <si>
    <t>payout ratio</t>
  </si>
  <si>
    <t>avverage NWC</t>
  </si>
  <si>
    <t xml:space="preserve">  + Participación minoritaria/no dominante</t>
  </si>
  <si>
    <t>CASH FLOW</t>
  </si>
  <si>
    <t>Changes in assets and liabilities</t>
  </si>
  <si>
    <t>Other Adjustments</t>
  </si>
  <si>
    <t>Other Inflows (Outflows)</t>
  </si>
  <si>
    <t>Debt Borrowing</t>
  </si>
  <si>
    <t>Debt Repayment</t>
  </si>
  <si>
    <t>Lease Increases</t>
  </si>
  <si>
    <t>Lease Payments</t>
  </si>
  <si>
    <t>cash flows FINANCING</t>
  </si>
  <si>
    <t>Dividends paid</t>
  </si>
  <si>
    <t>(Vitalis will later fill this info)</t>
  </si>
  <si>
    <t xml:space="preserve">Other Data </t>
  </si>
  <si>
    <t xml:space="preserve">Average Price </t>
  </si>
  <si>
    <t xml:space="preserve">Number of employees </t>
  </si>
  <si>
    <t>10-K</t>
  </si>
  <si>
    <t>bloomberg</t>
  </si>
  <si>
    <t>Shares Outstanding (Thousands)</t>
  </si>
  <si>
    <t>Yahoo finance</t>
  </si>
  <si>
    <t>Dividend Yield(Yahoo Finance)</t>
  </si>
  <si>
    <t>Yahoo Finance</t>
  </si>
  <si>
    <t>Sector</t>
  </si>
  <si>
    <t>Sub-Industry</t>
  </si>
  <si>
    <t>Environment</t>
  </si>
  <si>
    <t>Communication Services</t>
  </si>
  <si>
    <t>Interactive Home Entertainment</t>
  </si>
  <si>
    <t>CO2</t>
  </si>
  <si>
    <t>Water</t>
  </si>
  <si>
    <t>Energy</t>
  </si>
  <si>
    <t>Waste</t>
  </si>
  <si>
    <t>Degradation</t>
  </si>
  <si>
    <t>Turnover</t>
  </si>
  <si>
    <t>Compensation</t>
  </si>
  <si>
    <t>Discrimination</t>
  </si>
  <si>
    <t>Security</t>
  </si>
  <si>
    <t>Damage</t>
  </si>
  <si>
    <t>Pension</t>
  </si>
  <si>
    <t>Supply</t>
  </si>
  <si>
    <t>Community</t>
  </si>
  <si>
    <t>Public</t>
  </si>
  <si>
    <t>Interactive Media &amp; Services</t>
  </si>
  <si>
    <t>Integrated Telecommunication Services</t>
  </si>
  <si>
    <t>Very High</t>
  </si>
  <si>
    <t>Consumer Discretionary</t>
  </si>
  <si>
    <t>Direct CO2 emissions</t>
  </si>
  <si>
    <t>Cable &amp; Satellite</t>
  </si>
  <si>
    <t>Consumer Staples</t>
  </si>
  <si>
    <t>Total Water Use</t>
  </si>
  <si>
    <t>Broadcasting</t>
  </si>
  <si>
    <t>Movies &amp; Entertainment</t>
  </si>
  <si>
    <t>Financials</t>
  </si>
  <si>
    <t>Forestry</t>
  </si>
  <si>
    <t>Advertising</t>
  </si>
  <si>
    <t>Health Care</t>
  </si>
  <si>
    <t>Land Degradation/Deforestation/Biodiversity loss/Animal sufering/...</t>
  </si>
  <si>
    <t>Alternative Carriers</t>
  </si>
  <si>
    <t>Industrials</t>
  </si>
  <si>
    <t>Publishing</t>
  </si>
  <si>
    <t>Information Technology</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</si>
  <si>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</si>
  <si>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</si>
  <si>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</si>
  <si>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</si>
  <si>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</si>
  <si>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</si>
  <si>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</si>
  <si>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</si>
  <si>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</si>
  <si>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</si>
  <si>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</si>
  <si>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</si>
  <si>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</si>
  <si>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</si>
  <si>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</si>
  <si>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</si>
  <si>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</si>
  <si>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</si>
  <si>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</si>
  <si>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</si>
  <si>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</si>
  <si>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</si>
  <si>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</si>
  <si>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</si>
  <si>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</si>
  <si>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</si>
  <si>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</si>
  <si>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</si>
  <si>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</si>
  <si>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</si>
  <si>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</si>
  <si>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</si>
  <si>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</si>
  <si>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</si>
  <si>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</si>
  <si>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Homebuilding</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</si>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</sst>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76" formatCode="_-&quot;$&quot;* #,##0.00_-;\-&quot;$&quot;* #,##0.00_-;_-&quot;$&quot;* &quot;-&quot;??_-;_-@_-"/>
    <numFmt numFmtId="177" formatCode="_-&quot;€&quot;* #,##0.00_-;\-&quot;€&quot;* #,##0.00_-;_-&quot;€&quot;* &quot;-&quot;??_-;_-@_-"/>
    <numFmt numFmtId="178" formatCode="&quot;$&quot;#,##0.00"/>
    <numFmt numFmtId="179" formatCode="&quot;$&quot;#,##0.0"/>
    <numFmt numFmtId="180" formatCode="&quot;$&quot;#,##0"/>
    <numFmt numFmtId="181" formatCode="0.0%"/>
    <numFmt numFmtId="182" formatCode="0.0"/>
    <numFmt numFmtId="183" formatCode="#,##0.0"/>
    <numFmt numFmtId="184" formatCode="[$$-409]#,##0.00_ ;\-[$$-409]#,##0.00\ "/>
    <numFmt numFmtId="185" formatCode="[$$-409]#,##0.00"/>
    <numFmt numFmtId="186" formatCode="[$$-409]#,##0"/>
    <numFmt numFmtId="187" formatCode="_-[$$-409]* #,##0.00_ ;_-[$$-409]* \-#,##0.00\ ;_-[$$-409]* &quot;-&quot;??_ ;_-@_ "/>
    <numFmt numFmtId="188" formatCode="[$$-409]#,##0.0"/>
    <numFmt numFmtId="189" formatCode="&quot;€&quot;#,##0.00"/>
  </numFmts>
  <fonts count="8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10"/>
      <color indexed="8"/>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i/>
      <sz val="10"/>
      <color indexed="8"/>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7.5"/>
      <color theme="0"/>
      <name val="Arial"/>
      <family val="2"/>
    </font>
    <font>
      <b/>
      <sz val="16"/>
      <name val="Arial"/>
      <family val="2"/>
    </font>
    <font>
      <b/>
      <u/>
      <sz val="10"/>
      <color theme="4"/>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b/>
      <sz val="12"/>
      <color indexed="9"/>
      <name val="Arial"/>
      <family val="2"/>
    </font>
    <font>
      <b/>
      <sz val="10"/>
      <color rgb="FFFF000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b/>
      <sz val="11"/>
      <name val="Calibri"/>
      <family val="2"/>
    </font>
    <font>
      <sz val="10"/>
      <color rgb="FFFFFFFF"/>
      <name val="Arial"/>
      <family val="2"/>
    </font>
    <font>
      <sz val="11"/>
      <name val="Calibri"/>
      <family val="2"/>
    </font>
    <font>
      <sz val="11"/>
      <color rgb="FFC00000"/>
      <name val="Calibri"/>
      <family val="2"/>
    </font>
    <font>
      <b/>
      <sz val="14"/>
      <color rgb="FF000000"/>
      <name val="Calibri"/>
      <family val="2"/>
    </font>
    <font>
      <sz val="11"/>
      <color theme="1"/>
      <name val="Calibri"/>
      <family val="2"/>
    </font>
    <font>
      <sz val="10"/>
      <color rgb="FF232A31"/>
      <name val="Arial"/>
      <family val="2"/>
    </font>
    <font>
      <b/>
      <sz val="10"/>
      <color rgb="FF000000"/>
      <name val="Arial"/>
      <family val="2"/>
    </font>
    <font>
      <b/>
      <sz val="11"/>
      <color theme="1"/>
      <name val="Calibri"/>
      <family val="2"/>
      <scheme val="minor"/>
    </font>
    <font>
      <sz val="11"/>
      <color theme="0"/>
      <name val="Calibri"/>
      <family val="2"/>
    </font>
    <font>
      <b/>
      <sz val="11"/>
      <color rgb="FF374151"/>
      <name val="Arial"/>
      <family val="2"/>
    </font>
    <font>
      <sz val="11"/>
      <color rgb="FFFF0000"/>
      <name val="Calibri"/>
      <family val="2"/>
    </font>
    <font>
      <sz val="14"/>
      <name val="Arial"/>
      <family val="2"/>
    </font>
    <font>
      <sz val="8"/>
      <color theme="0"/>
      <name val="Arial"/>
      <family val="2"/>
    </font>
    <font>
      <sz val="10"/>
      <name val="Arial"/>
      <family val="2"/>
    </font>
    <font>
      <sz val="12"/>
      <name val="Arial"/>
      <family val="2"/>
    </font>
    <font>
      <sz val="16"/>
      <name val="Arial"/>
      <family val="2"/>
    </font>
    <font>
      <sz val="9"/>
      <color rgb="FF000000"/>
      <name val="Calibri"/>
      <family val="2"/>
    </font>
    <font>
      <b/>
      <sz val="11"/>
      <color theme="0"/>
      <name val="Calibri"/>
      <family val="2"/>
      <scheme val="minor"/>
    </font>
    <font>
      <sz val="9"/>
      <color rgb="FF000000"/>
      <name val="Arial"/>
      <family val="2"/>
    </font>
    <font>
      <sz val="9"/>
      <color rgb="FF3174C5"/>
      <name val="Arial"/>
      <family val="2"/>
    </font>
    <font>
      <sz val="10"/>
      <color rgb="FF3174C5"/>
      <name val="Arial"/>
      <family val="2"/>
    </font>
    <font>
      <b/>
      <u/>
      <sz val="10"/>
      <color rgb="FF4F81BD"/>
      <name val="Arial"/>
      <family val="2"/>
    </font>
    <font>
      <b/>
      <sz val="10"/>
      <color rgb="FF4F81BD"/>
      <name val="Arial"/>
      <family val="2"/>
    </font>
    <font>
      <sz val="10"/>
      <color rgb="FF000000"/>
      <name val="Arial"/>
    </font>
    <font>
      <b/>
      <sz val="10"/>
      <color rgb="FF000000"/>
      <name val="Arial"/>
    </font>
  </fonts>
  <fills count="51">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theme="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00206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C5D9F1"/>
        <bgColor indexed="64"/>
      </patternFill>
    </fill>
    <fill>
      <patternFill patternType="solid">
        <fgColor rgb="FFDCE6F1"/>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0"/>
        <bgColor rgb="FF000000"/>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bgColor indexed="64"/>
      </patternFill>
    </fill>
    <fill>
      <patternFill patternType="solid">
        <fgColor rgb="FFA5A5A5"/>
      </patternFill>
    </fill>
    <fill>
      <patternFill patternType="solid">
        <fgColor theme="6"/>
        <bgColor indexed="64"/>
      </patternFill>
    </fill>
    <fill>
      <patternFill patternType="solid">
        <fgColor rgb="FF0070C0"/>
        <bgColor indexed="64"/>
      </patternFill>
    </fill>
    <fill>
      <patternFill patternType="solid">
        <fgColor theme="9" tint="0.59999389629810485"/>
        <bgColor indexed="64"/>
      </patternFill>
    </fill>
  </fills>
  <borders count="250">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style="thin">
        <color theme="0" tint="-0.499984740745262"/>
      </top>
      <bottom style="thin">
        <color theme="0" tint="-0.499984740745262"/>
      </bottom>
      <diagonal/>
    </border>
    <border>
      <left/>
      <right style="medium">
        <color theme="3"/>
      </right>
      <top/>
      <bottom/>
      <diagonal/>
    </border>
    <border>
      <left style="medium">
        <color theme="3"/>
      </left>
      <right/>
      <top/>
      <bottom style="thin">
        <color theme="0" tint="-0.499984740745262"/>
      </bottom>
      <diagonal/>
    </border>
    <border>
      <left style="medium">
        <color theme="3"/>
      </left>
      <right/>
      <top/>
      <bottom style="medium">
        <color theme="3"/>
      </bottom>
      <diagonal/>
    </border>
    <border>
      <left/>
      <right style="thin">
        <color theme="0" tint="-0.499984740745262"/>
      </right>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medium">
        <color theme="3"/>
      </bottom>
      <diagonal/>
    </border>
    <border>
      <left/>
      <right/>
      <top style="medium">
        <color theme="3"/>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3"/>
      </left>
      <right style="thin">
        <color theme="0" tint="-0.249977111117893"/>
      </right>
      <top style="medium">
        <color theme="3"/>
      </top>
      <bottom style="thin">
        <color theme="0" tint="-0.249977111117893"/>
      </bottom>
      <diagonal/>
    </border>
    <border>
      <left style="thin">
        <color theme="0" tint="-0.249977111117893"/>
      </left>
      <right style="thin">
        <color theme="0" tint="-0.249977111117893"/>
      </right>
      <top style="medium">
        <color theme="3"/>
      </top>
      <bottom style="thin">
        <color theme="0" tint="-0.249977111117893"/>
      </bottom>
      <diagonal/>
    </border>
    <border>
      <left style="medium">
        <color theme="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right/>
      <top style="medium">
        <color theme="3"/>
      </top>
      <bottom style="thin">
        <color theme="0" tint="-0.499984740745262"/>
      </bottom>
      <diagonal/>
    </border>
    <border>
      <left/>
      <right style="medium">
        <color theme="3"/>
      </right>
      <top style="medium">
        <color theme="3"/>
      </top>
      <bottom style="thin">
        <color theme="0" tint="-0.499984740745262"/>
      </bottom>
      <diagonal/>
    </border>
    <border>
      <left style="thin">
        <color theme="0" tint="-0.249977111117893"/>
      </left>
      <right/>
      <top style="thin">
        <color theme="0" tint="-0.249977111117893"/>
      </top>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3"/>
      </left>
      <right style="medium">
        <color theme="3"/>
      </right>
      <top style="thin">
        <color theme="0" tint="-0.499984740745262"/>
      </top>
      <bottom/>
      <diagonal/>
    </border>
    <border>
      <left/>
      <right/>
      <top style="medium">
        <color theme="3"/>
      </top>
      <bottom style="medium">
        <color theme="3"/>
      </bottom>
      <diagonal/>
    </border>
    <border>
      <left/>
      <right/>
      <top/>
      <bottom style="medium">
        <color theme="3"/>
      </bottom>
      <diagonal/>
    </border>
    <border>
      <left/>
      <right style="medium">
        <color indexed="64"/>
      </right>
      <top style="medium">
        <color indexed="64"/>
      </top>
      <bottom/>
      <diagonal/>
    </border>
    <border>
      <left/>
      <right style="medium">
        <color theme="3"/>
      </right>
      <top/>
      <bottom style="thin">
        <color theme="0" tint="-0.249977111117893"/>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medium">
        <color rgb="FF1F497D"/>
      </left>
      <right/>
      <top/>
      <bottom/>
      <diagonal/>
    </border>
    <border>
      <left/>
      <right style="medium">
        <color rgb="FF1F497D"/>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medium">
        <color theme="3"/>
      </right>
      <top/>
      <bottom style="thin">
        <color theme="0" tint="-0.249977111117893"/>
      </bottom>
      <diagonal/>
    </border>
    <border>
      <left style="thin">
        <color theme="0" tint="-0.14999847407452621"/>
      </left>
      <right style="thin">
        <color theme="0" tint="-0.14999847407452621"/>
      </right>
      <top style="medium">
        <color theme="3"/>
      </top>
      <bottom/>
      <diagonal/>
    </border>
    <border>
      <left style="thin">
        <color theme="0" tint="-0.249977111117893"/>
      </left>
      <right/>
      <top style="medium">
        <color theme="3"/>
      </top>
      <bottom/>
      <diagonal/>
    </border>
    <border>
      <left/>
      <right style="thin">
        <color theme="0" tint="-0.249977111117893"/>
      </right>
      <top style="medium">
        <color theme="3"/>
      </top>
      <bottom/>
      <diagonal/>
    </border>
    <border>
      <left style="thin">
        <color theme="0" tint="-0.249977111117893"/>
      </left>
      <right style="thin">
        <color theme="0" tint="-0.249977111117893"/>
      </right>
      <top style="medium">
        <color theme="3"/>
      </top>
      <bottom/>
      <diagonal/>
    </border>
    <border>
      <left style="thin">
        <color theme="0" tint="-0.249977111117893"/>
      </left>
      <right style="medium">
        <color theme="3"/>
      </right>
      <top style="medium">
        <color theme="3"/>
      </top>
      <bottom/>
      <diagonal/>
    </border>
    <border>
      <left style="thin">
        <color theme="0" tint="-0.24994659260841701"/>
      </left>
      <right style="medium">
        <color theme="3"/>
      </right>
      <top style="thin">
        <color theme="0" tint="-0.24994659260841701"/>
      </top>
      <bottom style="thin">
        <color theme="0" tint="-0.24994659260841701"/>
      </bottom>
      <diagonal/>
    </border>
    <border>
      <left style="medium">
        <color theme="3"/>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249977111117893"/>
      </left>
      <right style="medium">
        <color theme="3"/>
      </right>
      <top style="thin">
        <color theme="0" tint="-0.249977111117893"/>
      </top>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style="medium">
        <color theme="3"/>
      </right>
      <top/>
      <bottom style="medium">
        <color rgb="FF1F497D"/>
      </bottom>
      <diagonal/>
    </border>
    <border>
      <left style="medium">
        <color rgb="FF1F497D"/>
      </left>
      <right/>
      <top style="medium">
        <color rgb="FF1F497D"/>
      </top>
      <bottom/>
      <diagonal/>
    </border>
    <border>
      <left/>
      <right/>
      <top style="medium">
        <color rgb="FF1F497D"/>
      </top>
      <bottom/>
      <diagonal/>
    </border>
    <border>
      <left/>
      <right style="medium">
        <color rgb="FF1F497D"/>
      </right>
      <top style="medium">
        <color rgb="FF1F497D"/>
      </top>
      <bottom/>
      <diagonal/>
    </border>
    <border>
      <left style="medium">
        <color rgb="FF1F497D"/>
      </left>
      <right/>
      <top/>
      <bottom style="medium">
        <color rgb="FF1F497D"/>
      </bottom>
      <diagonal/>
    </border>
    <border>
      <left/>
      <right/>
      <top style="medium">
        <color theme="3"/>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right style="medium">
        <color rgb="FF1F497D"/>
      </right>
      <top style="medium">
        <color rgb="FF1F497D"/>
      </top>
      <bottom style="thin">
        <color theme="0" tint="-0.24994659260841701"/>
      </bottom>
      <diagonal/>
    </border>
    <border>
      <left style="medium">
        <color rgb="FF1F497D"/>
      </left>
      <right style="medium">
        <color theme="3"/>
      </right>
      <top style="medium">
        <color rgb="FF1F497D"/>
      </top>
      <bottom style="thin">
        <color theme="0" tint="-0.24994659260841701"/>
      </bottom>
      <diagonal/>
    </border>
    <border>
      <left style="medium">
        <color theme="3"/>
      </left>
      <right style="medium">
        <color theme="3"/>
      </right>
      <top style="medium">
        <color rgb="FF1F497D"/>
      </top>
      <bottom style="thin">
        <color theme="0" tint="-0.24994659260841701"/>
      </bottom>
      <diagonal/>
    </border>
    <border>
      <left style="medium">
        <color theme="3"/>
      </left>
      <right style="medium">
        <color rgb="FF1F497D"/>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right style="medium">
        <color rgb="FF1F497D"/>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rgb="FF1F497D"/>
      </left>
      <right/>
      <top style="thin">
        <color theme="0" tint="-0.24994659260841701"/>
      </top>
      <bottom style="medium">
        <color rgb="FF1F497D"/>
      </bottom>
      <diagonal/>
    </border>
    <border>
      <left/>
      <right style="medium">
        <color rgb="FF1F497D"/>
      </right>
      <top style="thin">
        <color theme="0" tint="-0.24994659260841701"/>
      </top>
      <bottom style="medium">
        <color rgb="FF1F497D"/>
      </bottom>
      <diagonal/>
    </border>
    <border>
      <left/>
      <right/>
      <top style="thin">
        <color theme="0" tint="-0.24994659260841701"/>
      </top>
      <bottom style="medium">
        <color rgb="FF1F497D"/>
      </bottom>
      <diagonal/>
    </border>
    <border>
      <left style="medium">
        <color rgb="FF1F497D"/>
      </left>
      <right style="medium">
        <color rgb="FF1F497D"/>
      </right>
      <top style="medium">
        <color rgb="FF1F497D"/>
      </top>
      <bottom style="thin">
        <color theme="0" tint="-0.24994659260841701"/>
      </bottom>
      <diagonal/>
    </border>
    <border>
      <left style="medium">
        <color rgb="FF1F497D"/>
      </left>
      <right style="medium">
        <color rgb="FF1F497D"/>
      </right>
      <top style="thin">
        <color theme="0" tint="-0.24994659260841701"/>
      </top>
      <bottom style="thin">
        <color theme="0" tint="-0.24994659260841701"/>
      </bottom>
      <diagonal/>
    </border>
    <border>
      <left style="medium">
        <color rgb="FF1F497D"/>
      </left>
      <right style="medium">
        <color rgb="FF1F497D"/>
      </right>
      <top style="medium">
        <color rgb="FF1F497D"/>
      </top>
      <bottom/>
      <diagonal/>
    </border>
    <border>
      <left style="medium">
        <color rgb="FF1F497D"/>
      </left>
      <right style="medium">
        <color rgb="FF1F497D"/>
      </right>
      <top/>
      <bottom/>
      <diagonal/>
    </border>
    <border>
      <left style="medium">
        <color rgb="FF1F497D"/>
      </left>
      <right style="medium">
        <color rgb="FF1F497D"/>
      </right>
      <top/>
      <bottom style="medium">
        <color rgb="FF1F497D"/>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theme="3"/>
      </left>
      <right style="medium">
        <color theme="3"/>
      </right>
      <top style="medium">
        <color theme="3"/>
      </top>
      <bottom style="medium">
        <color theme="3"/>
      </bottom>
      <diagonal/>
    </border>
    <border>
      <left style="medium">
        <color rgb="FF1F497D"/>
      </left>
      <right style="medium">
        <color rgb="FF1F497D"/>
      </right>
      <top style="thin">
        <color theme="0" tint="-0.24994659260841701"/>
      </top>
      <bottom/>
      <diagonal/>
    </border>
    <border>
      <left style="medium">
        <color rgb="FF1F497D"/>
      </left>
      <right/>
      <top style="medium">
        <color theme="3"/>
      </top>
      <bottom style="medium">
        <color theme="3"/>
      </bottom>
      <diagonal/>
    </border>
    <border>
      <left style="medium">
        <color rgb="FF1F497D"/>
      </left>
      <right/>
      <top style="medium">
        <color theme="3"/>
      </top>
      <bottom style="medium">
        <color rgb="FF1F497D"/>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right style="medium">
        <color indexed="64"/>
      </right>
      <top style="medium">
        <color rgb="FF1F497D"/>
      </top>
      <bottom style="medium">
        <color rgb="FF1F497D"/>
      </bottom>
      <diagonal/>
    </border>
    <border>
      <left style="medium">
        <color rgb="FF1F497D"/>
      </left>
      <right/>
      <top/>
      <bottom style="medium">
        <color theme="0" tint="-0.24994659260841701"/>
      </bottom>
      <diagonal/>
    </border>
    <border>
      <left style="medium">
        <color rgb="FF1F497D"/>
      </left>
      <right/>
      <top style="medium">
        <color theme="0" tint="-0.24994659260841701"/>
      </top>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style="medium">
        <color rgb="FF1F497D"/>
      </left>
      <right/>
      <top style="medium">
        <color rgb="FF1F497D"/>
      </top>
      <bottom style="medium">
        <color theme="0" tint="-0.24994659260841701"/>
      </bottom>
      <diagonal/>
    </border>
    <border>
      <left/>
      <right/>
      <top style="medium">
        <color rgb="FF1F497D"/>
      </top>
      <bottom style="medium">
        <color theme="0" tint="-0.24994659260841701"/>
      </bottom>
      <diagonal/>
    </border>
    <border>
      <left/>
      <right style="medium">
        <color rgb="FF1F497D"/>
      </right>
      <top style="medium">
        <color rgb="FF1F497D"/>
      </top>
      <bottom style="medium">
        <color theme="0" tint="-0.24994659260841701"/>
      </bottom>
      <diagonal/>
    </border>
    <border>
      <left style="thin">
        <color rgb="FF1F497D"/>
      </left>
      <right/>
      <top style="thin">
        <color rgb="FF1F497D"/>
      </top>
      <bottom style="thin">
        <color rgb="FF1F497D"/>
      </bottom>
      <diagonal/>
    </border>
    <border>
      <left/>
      <right/>
      <top style="thin">
        <color rgb="FF1F497D"/>
      </top>
      <bottom style="thin">
        <color rgb="FF1F497D"/>
      </bottom>
      <diagonal/>
    </border>
    <border>
      <left/>
      <right style="thin">
        <color rgb="FF1F497D"/>
      </right>
      <top style="thin">
        <color rgb="FF1F497D"/>
      </top>
      <bottom style="thin">
        <color rgb="FF1F497D"/>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indexed="64"/>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theme="1" tint="0.24994659260841701"/>
      </left>
      <right/>
      <top style="medium">
        <color theme="3"/>
      </top>
      <bottom style="thin">
        <color theme="0" tint="-0.499984740745262"/>
      </bottom>
      <diagonal/>
    </border>
    <border>
      <left style="thin">
        <color theme="0" tint="-0.499984740745262"/>
      </left>
      <right style="medium">
        <color theme="3"/>
      </right>
      <top style="thin">
        <color theme="0" tint="-0.499984740745262"/>
      </top>
      <bottom/>
      <diagonal/>
    </border>
    <border>
      <left style="thin">
        <color theme="0" tint="-0.499984740745262"/>
      </left>
      <right style="medium">
        <color theme="3"/>
      </right>
      <top/>
      <bottom/>
      <diagonal/>
    </border>
    <border>
      <left style="thin">
        <color theme="0" tint="-0.499984740745262"/>
      </left>
      <right style="medium">
        <color theme="3"/>
      </right>
      <top/>
      <bottom style="medium">
        <color theme="3"/>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style="medium">
        <color indexed="64"/>
      </top>
      <bottom style="medium">
        <color rgb="FF000000"/>
      </bottom>
      <diagonal/>
    </border>
    <border>
      <left/>
      <right style="thin">
        <color indexed="64"/>
      </right>
      <top style="medium">
        <color indexed="64"/>
      </top>
      <bottom style="medium">
        <color rgb="FF000000"/>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right style="thin">
        <color indexed="64"/>
      </right>
      <top style="medium">
        <color rgb="FF00000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theme="0" tint="-0.24994659260841701"/>
      </left>
      <right style="thin">
        <color theme="0" tint="-0.249977111117893"/>
      </right>
      <top style="thin">
        <color theme="0" tint="-0.249977111117893"/>
      </top>
      <bottom style="thin">
        <color theme="0" tint="-0.249977111117893"/>
      </bottom>
      <diagonal/>
    </border>
    <border>
      <left style="thin">
        <color rgb="FF000000"/>
      </left>
      <right/>
      <top/>
      <bottom/>
      <diagonal/>
    </border>
    <border>
      <left style="thin">
        <color indexed="64"/>
      </left>
      <right style="medium">
        <color indexed="64"/>
      </right>
      <top/>
      <bottom style="thin">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right style="medium">
        <color indexed="64"/>
      </right>
      <top style="medium">
        <color indexed="64"/>
      </top>
      <bottom style="medium">
        <color indexed="64"/>
      </bottom>
      <diagonal/>
    </border>
    <border>
      <left/>
      <right style="medium">
        <color indexed="64"/>
      </right>
      <top/>
      <bottom style="medium">
        <color rgb="FF000000"/>
      </bottom>
      <diagonal/>
    </border>
    <border>
      <left style="thin">
        <color rgb="FF000000"/>
      </left>
      <right/>
      <top style="thin">
        <color rgb="FF000000"/>
      </top>
      <bottom/>
      <diagonal/>
    </border>
    <border>
      <left style="thin">
        <color rgb="FF000000"/>
      </left>
      <right/>
      <top style="thin">
        <color indexed="64"/>
      </top>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rgb="FF000000"/>
      </bottom>
      <diagonal/>
    </border>
    <border>
      <left/>
      <right style="medium">
        <color rgb="FF1F497D"/>
      </right>
      <top style="medium">
        <color theme="3"/>
      </top>
      <bottom style="medium">
        <color theme="3"/>
      </bottom>
      <diagonal/>
    </border>
    <border>
      <left/>
      <right/>
      <top style="medium">
        <color rgb="FF1F497D"/>
      </top>
      <bottom style="thin">
        <color theme="0" tint="-0.24994659260841701"/>
      </bottom>
      <diagonal/>
    </border>
    <border>
      <left style="medium">
        <color theme="3"/>
      </left>
      <right/>
      <top style="thin">
        <color theme="0" tint="-0.24994659260841701"/>
      </top>
      <bottom/>
      <diagonal/>
    </border>
    <border>
      <left style="medium">
        <color theme="3"/>
      </left>
      <right/>
      <top/>
      <bottom style="thin">
        <color theme="0" tint="-0.24994659260841701"/>
      </bottom>
      <diagonal/>
    </border>
    <border>
      <left style="medium">
        <color auto="1"/>
      </left>
      <right style="medium">
        <color auto="1"/>
      </right>
      <top style="medium">
        <color auto="1"/>
      </top>
      <bottom style="medium">
        <color auto="1"/>
      </bottom>
      <diagonal/>
    </border>
    <border>
      <left style="medium">
        <color theme="3"/>
      </left>
      <right style="thin">
        <color theme="0" tint="-0.249977111117893"/>
      </right>
      <top style="thin">
        <color theme="0" tint="-0.249977111117893"/>
      </top>
      <bottom/>
      <diagonal/>
    </border>
    <border>
      <left style="medium">
        <color rgb="FF000000"/>
      </left>
      <right style="medium">
        <color rgb="FF000000"/>
      </right>
      <top style="medium">
        <color rgb="FF000000"/>
      </top>
      <bottom style="medium">
        <color rgb="FF000000"/>
      </bottom>
      <diagonal/>
    </border>
    <border>
      <left style="medium">
        <color theme="1" tint="0.24994659260841701"/>
      </left>
      <right style="medium">
        <color theme="1" tint="0.24994659260841701"/>
      </right>
      <top style="medium">
        <color theme="1" tint="0.24994659260841701"/>
      </top>
      <bottom/>
      <diagonal/>
    </border>
    <border>
      <left style="medium">
        <color theme="1" tint="0.24994659260841701"/>
      </left>
      <right style="medium">
        <color theme="1" tint="0.24994659260841701"/>
      </right>
      <top/>
      <bottom style="medium">
        <color theme="1" tint="0.24994659260841701"/>
      </bottom>
      <diagonal/>
    </border>
    <border>
      <left style="double">
        <color rgb="FF3F3F3F"/>
      </left>
      <right style="double">
        <color rgb="FF3F3F3F"/>
      </right>
      <top style="double">
        <color rgb="FF3F3F3F"/>
      </top>
      <bottom style="double">
        <color rgb="FF3F3F3F"/>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theme="0" tint="-0.14996795556505021"/>
      </top>
      <bottom style="medium">
        <color theme="0" tint="-0.14996795556505021"/>
      </bottom>
      <diagonal/>
    </border>
    <border>
      <left style="medium">
        <color theme="3"/>
      </left>
      <right/>
      <top style="thin">
        <color theme="0" tint="-0.24994659260841701"/>
      </top>
      <bottom style="thin">
        <color theme="0" tint="-0.24994659260841701"/>
      </bottom>
      <diagonal/>
    </border>
    <border>
      <left/>
      <right style="medium">
        <color theme="3"/>
      </right>
      <top style="thin">
        <color theme="0" tint="-0.24994659260841701"/>
      </top>
      <bottom/>
      <diagonal/>
    </border>
    <border>
      <left style="medium">
        <color theme="3"/>
      </left>
      <right style="medium">
        <color auto="1"/>
      </right>
      <top style="medium">
        <color auto="1"/>
      </top>
      <bottom style="medium">
        <color auto="1"/>
      </bottom>
      <diagonal/>
    </border>
    <border>
      <left style="medium">
        <color auto="1"/>
      </left>
      <right style="medium">
        <color theme="3"/>
      </right>
      <top style="medium">
        <color auto="1"/>
      </top>
      <bottom style="medium">
        <color auto="1"/>
      </bottom>
      <diagonal/>
    </border>
    <border>
      <left style="medium">
        <color theme="3" tint="-0.24994659260841701"/>
      </left>
      <right/>
      <top style="medium">
        <color theme="3" tint="-0.24994659260841701"/>
      </top>
      <bottom/>
      <diagonal/>
    </border>
    <border>
      <left/>
      <right/>
      <top style="medium">
        <color theme="3" tint="-0.24994659260841701"/>
      </top>
      <bottom/>
      <diagonal/>
    </border>
    <border>
      <left/>
      <right style="medium">
        <color theme="3" tint="-0.24994659260841701"/>
      </right>
      <top style="medium">
        <color theme="3" tint="-0.24994659260841701"/>
      </top>
      <bottom/>
      <diagonal/>
    </border>
    <border>
      <left style="medium">
        <color theme="3" tint="-0.24994659260841701"/>
      </left>
      <right/>
      <top/>
      <bottom/>
      <diagonal/>
    </border>
    <border>
      <left/>
      <right style="medium">
        <color theme="3" tint="-0.24994659260841701"/>
      </right>
      <top/>
      <bottom/>
      <diagonal/>
    </border>
    <border>
      <left style="medium">
        <color theme="3" tint="-0.24994659260841701"/>
      </left>
      <right/>
      <top/>
      <bottom style="medium">
        <color theme="3" tint="-0.24994659260841701"/>
      </bottom>
      <diagonal/>
    </border>
    <border>
      <left/>
      <right/>
      <top/>
      <bottom style="medium">
        <color theme="3" tint="-0.24994659260841701"/>
      </bottom>
      <diagonal/>
    </border>
    <border>
      <left/>
      <right style="medium">
        <color theme="3" tint="-0.24994659260841701"/>
      </right>
      <top/>
      <bottom style="medium">
        <color theme="3" tint="-0.24994659260841701"/>
      </bottom>
      <diagonal/>
    </border>
    <border>
      <left/>
      <right style="medium">
        <color theme="3"/>
      </right>
      <top/>
      <bottom style="thin">
        <color theme="0" tint="-0.24994659260841701"/>
      </bottom>
      <diagonal/>
    </border>
    <border>
      <left/>
      <right style="medium">
        <color theme="0" tint="-0.14996795556505021"/>
      </right>
      <top style="medium">
        <color theme="0" tint="-0.14996795556505021"/>
      </top>
      <bottom style="medium">
        <color theme="0" tint="-0.14996795556505021"/>
      </bottom>
      <diagonal/>
    </border>
    <border>
      <left style="medium">
        <color rgb="FF000000"/>
      </left>
      <right style="thin">
        <color indexed="64"/>
      </right>
      <top style="medium">
        <color rgb="FF000000"/>
      </top>
      <bottom style="thin">
        <color indexed="64"/>
      </bottom>
      <diagonal/>
    </border>
    <border>
      <left/>
      <right/>
      <top style="medium">
        <color rgb="FF000000"/>
      </top>
      <bottom style="thin">
        <color indexed="64"/>
      </bottom>
      <diagonal/>
    </border>
    <border>
      <left style="medium">
        <color indexed="64"/>
      </left>
      <right style="thin">
        <color indexed="64"/>
      </right>
      <top style="medium">
        <color rgb="FF000000"/>
      </top>
      <bottom style="thin">
        <color indexed="64"/>
      </bottom>
      <diagonal/>
    </border>
    <border>
      <left style="medium">
        <color indexed="64"/>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top style="medium">
        <color rgb="FF000000"/>
      </top>
      <bottom/>
      <diagonal/>
    </border>
    <border>
      <left style="thin">
        <color indexed="64"/>
      </left>
      <right style="medium">
        <color rgb="FF000000"/>
      </right>
      <top style="medium">
        <color rgb="FF000000"/>
      </top>
      <bottom/>
      <diagonal/>
    </border>
    <border>
      <left style="medium">
        <color rgb="FF000000"/>
      </left>
      <right style="thin">
        <color indexed="64"/>
      </right>
      <top/>
      <bottom style="thin">
        <color indexed="64"/>
      </bottom>
      <diagonal/>
    </border>
    <border>
      <left style="thin">
        <color indexed="64"/>
      </left>
      <right style="medium">
        <color rgb="FF000000"/>
      </right>
      <top style="thin">
        <color indexed="64"/>
      </top>
      <bottom/>
      <diagonal/>
    </border>
    <border>
      <left style="thin">
        <color indexed="64"/>
      </left>
      <right style="medium">
        <color rgb="FF000000"/>
      </right>
      <top style="thin">
        <color indexed="64"/>
      </top>
      <bottom style="thin">
        <color indexed="64"/>
      </bottom>
      <diagonal/>
    </border>
    <border>
      <left style="thin">
        <color indexed="64"/>
      </left>
      <right style="medium">
        <color rgb="FF000000"/>
      </right>
      <top/>
      <bottom style="thin">
        <color indexed="64"/>
      </bottom>
      <diagonal/>
    </border>
    <border>
      <left style="medium">
        <color rgb="FF000000"/>
      </left>
      <right style="thin">
        <color indexed="64"/>
      </right>
      <top/>
      <bottom style="medium">
        <color rgb="FF000000"/>
      </bottom>
      <diagonal/>
    </border>
    <border>
      <left style="medium">
        <color indexed="64"/>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medium">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s>
  <cellStyleXfs count="37">
    <xf numFmtId="0" fontId="0" fillId="0" borderId="0"/>
    <xf numFmtId="0" fontId="15" fillId="2" borderId="1" applyNumberFormat="0" applyProtection="0">
      <alignment horizontal="left" vertical="center" readingOrder="1"/>
    </xf>
    <xf numFmtId="0" fontId="16" fillId="2" borderId="2">
      <alignment horizontal="left"/>
    </xf>
    <xf numFmtId="0" fontId="16" fillId="2" borderId="3">
      <alignment horizontal="right"/>
    </xf>
    <xf numFmtId="0" fontId="16" fillId="2" borderId="3">
      <alignment horizontal="left"/>
    </xf>
    <xf numFmtId="3" fontId="17" fillId="3" borderId="4">
      <alignment horizontal="right"/>
    </xf>
    <xf numFmtId="183" fontId="10" fillId="3" borderId="4">
      <alignment horizontal="right"/>
    </xf>
    <xf numFmtId="4" fontId="10" fillId="3" borderId="4">
      <alignment horizontal="right"/>
    </xf>
    <xf numFmtId="0" fontId="19" fillId="4" borderId="5" applyNumberFormat="0" applyAlignment="0" applyProtection="0"/>
    <xf numFmtId="0" fontId="17" fillId="3" borderId="6"/>
    <xf numFmtId="0" fontId="18" fillId="3" borderId="6"/>
    <xf numFmtId="0" fontId="9" fillId="0" borderId="0" applyNumberFormat="0" applyFill="0" applyBorder="0" applyAlignment="0" applyProtection="0">
      <alignment vertical="top"/>
      <protection locked="0"/>
    </xf>
    <xf numFmtId="176" fontId="21" fillId="0" borderId="0" applyFont="0" applyFill="0" applyBorder="0" applyAlignment="0" applyProtection="0"/>
    <xf numFmtId="176" fontId="11" fillId="0" borderId="0" applyFont="0" applyFill="0" applyBorder="0" applyAlignment="0" applyProtection="0"/>
    <xf numFmtId="0" fontId="23" fillId="0" borderId="0"/>
    <xf numFmtId="0" fontId="11" fillId="0" borderId="0"/>
    <xf numFmtId="9" fontId="7" fillId="0" borderId="0" applyFont="0" applyFill="0" applyBorder="0" applyAlignment="0" applyProtection="0"/>
    <xf numFmtId="9" fontId="21" fillId="0" borderId="0" applyFont="0" applyFill="0" applyBorder="0" applyAlignment="0" applyProtection="0"/>
    <xf numFmtId="9" fontId="11" fillId="0" borderId="0" applyFont="0" applyFill="0" applyBorder="0" applyAlignment="0" applyProtection="0"/>
    <xf numFmtId="9" fontId="23" fillId="0" borderId="0" applyFont="0" applyFill="0" applyBorder="0" applyAlignment="0" applyProtection="0"/>
    <xf numFmtId="0" fontId="6" fillId="0" borderId="0"/>
    <xf numFmtId="0" fontId="6" fillId="0" borderId="0"/>
    <xf numFmtId="9"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5" fillId="0" borderId="0"/>
    <xf numFmtId="9" fontId="5" fillId="0" borderId="0" applyFont="0" applyFill="0" applyBorder="0" applyAlignment="0" applyProtection="0"/>
    <xf numFmtId="0" fontId="4" fillId="0" borderId="0"/>
    <xf numFmtId="0" fontId="3" fillId="0" borderId="0"/>
    <xf numFmtId="9" fontId="3" fillId="0" borderId="0" applyFont="0" applyFill="0" applyBorder="0" applyAlignment="0" applyProtection="0"/>
    <xf numFmtId="183" fontId="10" fillId="3" borderId="6">
      <alignment horizontal="right"/>
    </xf>
    <xf numFmtId="9" fontId="2" fillId="0" borderId="0" applyFont="0" applyFill="0" applyBorder="0" applyAlignment="0" applyProtection="0"/>
    <xf numFmtId="177" fontId="71" fillId="0" borderId="0" applyFont="0" applyFill="0" applyBorder="0" applyAlignment="0" applyProtection="0"/>
    <xf numFmtId="0" fontId="54" fillId="0" borderId="0" applyNumberFormat="0" applyAlignment="0"/>
    <xf numFmtId="0" fontId="75" fillId="47" borderId="209" applyNumberFormat="0" applyAlignment="0" applyProtection="0"/>
  </cellStyleXfs>
  <cellXfs count="1098">
    <xf numFmtId="0" fontId="0" fillId="0" borderId="0" xfId="0"/>
    <xf numFmtId="9" fontId="0" fillId="0" borderId="0" xfId="16" applyFont="1" applyAlignment="1">
      <alignment horizontal="center"/>
    </xf>
    <xf numFmtId="0" fontId="0" fillId="0" borderId="0" xfId="0" applyAlignment="1">
      <alignment horizontal="center"/>
    </xf>
    <xf numFmtId="180" fontId="0" fillId="0" borderId="0" xfId="0" applyNumberFormat="1"/>
    <xf numFmtId="10" fontId="0" fillId="0" borderId="0" xfId="0" applyNumberFormat="1" applyAlignment="1">
      <alignment horizontal="center"/>
    </xf>
    <xf numFmtId="181" fontId="0" fillId="0" borderId="0" xfId="0" applyNumberFormat="1" applyAlignment="1">
      <alignment horizontal="center"/>
    </xf>
    <xf numFmtId="0" fontId="12" fillId="0" borderId="0" xfId="0" applyFont="1" applyAlignment="1">
      <alignment horizontal="center"/>
    </xf>
    <xf numFmtId="0" fontId="25" fillId="0" borderId="0" xfId="0" applyFont="1"/>
    <xf numFmtId="0" fontId="14" fillId="0" borderId="19" xfId="0" applyFont="1" applyBorder="1"/>
    <xf numFmtId="0" fontId="12" fillId="0" borderId="22" xfId="0" applyFont="1" applyBorder="1" applyAlignment="1">
      <alignment horizontal="center"/>
    </xf>
    <xf numFmtId="0" fontId="22" fillId="0" borderId="0" xfId="0" applyFont="1"/>
    <xf numFmtId="0" fontId="7" fillId="0" borderId="0" xfId="0" applyFont="1"/>
    <xf numFmtId="0" fontId="7" fillId="0" borderId="19" xfId="0" applyFont="1" applyBorder="1"/>
    <xf numFmtId="0" fontId="7" fillId="0" borderId="19" xfId="0" applyFont="1" applyBorder="1" applyAlignment="1">
      <alignment horizontal="left"/>
    </xf>
    <xf numFmtId="0" fontId="12" fillId="0" borderId="0" xfId="0" applyFont="1"/>
    <xf numFmtId="180" fontId="12" fillId="0" borderId="0" xfId="0" applyNumberFormat="1" applyFont="1" applyAlignment="1">
      <alignment horizontal="center"/>
    </xf>
    <xf numFmtId="9" fontId="12" fillId="0" borderId="0" xfId="16" applyFont="1"/>
    <xf numFmtId="9" fontId="7" fillId="8" borderId="19" xfId="16" applyFont="1" applyFill="1" applyBorder="1" applyAlignment="1">
      <alignment horizontal="center"/>
    </xf>
    <xf numFmtId="10" fontId="7" fillId="8" borderId="19" xfId="0" applyNumberFormat="1" applyFont="1" applyFill="1" applyBorder="1" applyAlignment="1">
      <alignment horizontal="center"/>
    </xf>
    <xf numFmtId="0" fontId="25" fillId="8" borderId="0" xfId="0" applyFont="1" applyFill="1"/>
    <xf numFmtId="0" fontId="32" fillId="0" borderId="0" xfId="0" applyFont="1"/>
    <xf numFmtId="0" fontId="25" fillId="8" borderId="0" xfId="0" applyFont="1" applyFill="1" applyAlignment="1">
      <alignment horizontal="center"/>
    </xf>
    <xf numFmtId="0" fontId="34" fillId="0" borderId="0" xfId="0" applyFont="1"/>
    <xf numFmtId="0" fontId="34" fillId="12" borderId="0" xfId="0" applyFont="1" applyFill="1"/>
    <xf numFmtId="3" fontId="34" fillId="0" borderId="0" xfId="0" applyNumberFormat="1" applyFont="1" applyAlignment="1">
      <alignment horizontal="center"/>
    </xf>
    <xf numFmtId="0" fontId="34" fillId="0" borderId="0" xfId="0" applyFont="1" applyAlignment="1">
      <alignment horizontal="left"/>
    </xf>
    <xf numFmtId="0" fontId="34" fillId="19" borderId="0" xfId="0" applyFont="1" applyFill="1"/>
    <xf numFmtId="3" fontId="34" fillId="19" borderId="0" xfId="0" applyNumberFormat="1" applyFont="1" applyFill="1" applyAlignment="1">
      <alignment horizontal="center"/>
    </xf>
    <xf numFmtId="0" fontId="0" fillId="12" borderId="0" xfId="0" applyFill="1"/>
    <xf numFmtId="3" fontId="34" fillId="0" borderId="0" xfId="0" applyNumberFormat="1" applyFont="1"/>
    <xf numFmtId="3" fontId="35" fillId="19" borderId="0" xfId="0" applyNumberFormat="1" applyFont="1" applyFill="1" applyAlignment="1">
      <alignment horizontal="center"/>
    </xf>
    <xf numFmtId="3" fontId="34" fillId="12" borderId="0" xfId="0" applyNumberFormat="1" applyFont="1" applyFill="1" applyAlignment="1">
      <alignment horizontal="center"/>
    </xf>
    <xf numFmtId="3" fontId="35" fillId="12" borderId="0" xfId="0" applyNumberFormat="1" applyFont="1" applyFill="1" applyAlignment="1">
      <alignment horizontal="center"/>
    </xf>
    <xf numFmtId="0" fontId="18" fillId="3" borderId="6" xfId="10"/>
    <xf numFmtId="0" fontId="0" fillId="20" borderId="0" xfId="0" applyFill="1"/>
    <xf numFmtId="3" fontId="22" fillId="0" borderId="0" xfId="0" applyNumberFormat="1" applyFont="1" applyAlignment="1">
      <alignment horizontal="center"/>
    </xf>
    <xf numFmtId="3" fontId="22" fillId="0" borderId="0" xfId="0" applyNumberFormat="1" applyFont="1"/>
    <xf numFmtId="0" fontId="0" fillId="21" borderId="0" xfId="0" applyFill="1"/>
    <xf numFmtId="3" fontId="22" fillId="19" borderId="0" xfId="0" applyNumberFormat="1" applyFont="1" applyFill="1" applyAlignment="1">
      <alignment horizontal="center"/>
    </xf>
    <xf numFmtId="0" fontId="22" fillId="19" borderId="0" xfId="0" applyFont="1" applyFill="1"/>
    <xf numFmtId="0" fontId="0" fillId="22" borderId="0" xfId="0" applyFill="1"/>
    <xf numFmtId="183" fontId="34" fillId="0" borderId="0" xfId="0" applyNumberFormat="1" applyFont="1" applyAlignment="1">
      <alignment horizontal="center"/>
    </xf>
    <xf numFmtId="0" fontId="0" fillId="0" borderId="47" xfId="0" applyBorder="1"/>
    <xf numFmtId="0" fontId="37" fillId="0" borderId="0" xfId="0" applyFont="1"/>
    <xf numFmtId="0" fontId="38" fillId="0" borderId="0" xfId="0" applyFont="1"/>
    <xf numFmtId="0" fontId="39" fillId="0" borderId="0" xfId="0" applyFont="1" applyAlignment="1">
      <alignment horizontal="center"/>
    </xf>
    <xf numFmtId="0" fontId="39" fillId="0" borderId="0" xfId="0" applyFont="1"/>
    <xf numFmtId="182" fontId="38" fillId="0" borderId="0" xfId="0" applyNumberFormat="1" applyFont="1" applyAlignment="1">
      <alignment horizontal="center"/>
    </xf>
    <xf numFmtId="0" fontId="40" fillId="0" borderId="0" xfId="0" applyFont="1"/>
    <xf numFmtId="0" fontId="41" fillId="0" borderId="0" xfId="0" applyFont="1"/>
    <xf numFmtId="0" fontId="42" fillId="0" borderId="0" xfId="0" applyFont="1"/>
    <xf numFmtId="0" fontId="22" fillId="0" borderId="0" xfId="0" applyFont="1" applyAlignment="1">
      <alignment horizontal="center"/>
    </xf>
    <xf numFmtId="0" fontId="38" fillId="0" borderId="0" xfId="0" applyFont="1" applyAlignment="1">
      <alignment horizontal="center"/>
    </xf>
    <xf numFmtId="180" fontId="7" fillId="24" borderId="19" xfId="0" applyNumberFormat="1" applyFont="1" applyFill="1" applyBorder="1" applyAlignment="1">
      <alignment horizontal="center"/>
    </xf>
    <xf numFmtId="3" fontId="37" fillId="0" borderId="0" xfId="0" applyNumberFormat="1" applyFont="1"/>
    <xf numFmtId="0" fontId="39" fillId="17" borderId="0" xfId="0" applyFont="1" applyFill="1" applyAlignment="1">
      <alignment horizontal="center"/>
    </xf>
    <xf numFmtId="0" fontId="38" fillId="17" borderId="48" xfId="0" applyFont="1" applyFill="1" applyBorder="1"/>
    <xf numFmtId="3" fontId="0" fillId="25" borderId="1" xfId="0" applyNumberFormat="1" applyFill="1" applyBorder="1" applyAlignment="1">
      <alignment horizontal="center"/>
    </xf>
    <xf numFmtId="3" fontId="0" fillId="25" borderId="49" xfId="0" applyNumberFormat="1" applyFill="1" applyBorder="1" applyAlignment="1">
      <alignment horizontal="center"/>
    </xf>
    <xf numFmtId="0" fontId="38" fillId="0" borderId="48" xfId="0" applyFont="1" applyBorder="1" applyAlignment="1">
      <alignment horizontal="left" indent="1"/>
    </xf>
    <xf numFmtId="181" fontId="12" fillId="26" borderId="1" xfId="16" applyNumberFormat="1" applyFont="1" applyFill="1" applyBorder="1" applyAlignment="1">
      <alignment horizontal="center"/>
    </xf>
    <xf numFmtId="181" fontId="12" fillId="26" borderId="49" xfId="16" applyNumberFormat="1" applyFont="1" applyFill="1" applyBorder="1" applyAlignment="1">
      <alignment horizontal="center"/>
    </xf>
    <xf numFmtId="0" fontId="38" fillId="0" borderId="48" xfId="0" applyFont="1" applyBorder="1" applyAlignment="1">
      <alignment horizontal="left"/>
    </xf>
    <xf numFmtId="3" fontId="0" fillId="25" borderId="1" xfId="16" applyNumberFormat="1" applyFont="1" applyFill="1" applyBorder="1" applyAlignment="1">
      <alignment horizontal="center"/>
    </xf>
    <xf numFmtId="3" fontId="0" fillId="25" borderId="49" xfId="16" applyNumberFormat="1" applyFont="1" applyFill="1" applyBorder="1" applyAlignment="1">
      <alignment horizontal="center"/>
    </xf>
    <xf numFmtId="0" fontId="38" fillId="17" borderId="48" xfId="0" applyFont="1" applyFill="1" applyBorder="1" applyAlignment="1">
      <alignment horizontal="left" indent="1"/>
    </xf>
    <xf numFmtId="0" fontId="39" fillId="0" borderId="48" xfId="0" applyFont="1" applyBorder="1" applyAlignment="1">
      <alignment horizontal="left"/>
    </xf>
    <xf numFmtId="3" fontId="12" fillId="27" borderId="1" xfId="16" applyNumberFormat="1" applyFont="1" applyFill="1" applyBorder="1" applyAlignment="1">
      <alignment horizontal="center"/>
    </xf>
    <xf numFmtId="3" fontId="12" fillId="27" borderId="49" xfId="16" applyNumberFormat="1" applyFont="1" applyFill="1" applyBorder="1" applyAlignment="1">
      <alignment horizontal="center"/>
    </xf>
    <xf numFmtId="0" fontId="39" fillId="17" borderId="48" xfId="0" applyFont="1" applyFill="1" applyBorder="1"/>
    <xf numFmtId="0" fontId="38" fillId="0" borderId="48" xfId="0" applyFont="1" applyBorder="1"/>
    <xf numFmtId="3" fontId="0" fillId="0" borderId="0" xfId="0" applyNumberFormat="1" applyAlignment="1">
      <alignment horizontal="center"/>
    </xf>
    <xf numFmtId="182" fontId="0" fillId="0" borderId="0" xfId="0" applyNumberFormat="1" applyAlignment="1">
      <alignment horizontal="center"/>
    </xf>
    <xf numFmtId="10" fontId="34" fillId="19" borderId="0" xfId="16" applyNumberFormat="1" applyFont="1" applyFill="1" applyAlignment="1">
      <alignment horizontal="center"/>
    </xf>
    <xf numFmtId="9" fontId="34" fillId="19" borderId="0" xfId="16" applyFont="1" applyFill="1" applyAlignment="1">
      <alignment horizontal="center"/>
    </xf>
    <xf numFmtId="181" fontId="34" fillId="19" borderId="0" xfId="16" applyNumberFormat="1" applyFont="1" applyFill="1" applyAlignment="1">
      <alignment horizontal="center"/>
    </xf>
    <xf numFmtId="10" fontId="34" fillId="19" borderId="0" xfId="0" applyNumberFormat="1" applyFont="1" applyFill="1" applyAlignment="1">
      <alignment horizontal="center"/>
    </xf>
    <xf numFmtId="4" fontId="34" fillId="19" borderId="0" xfId="0" applyNumberFormat="1" applyFont="1" applyFill="1" applyAlignment="1">
      <alignment horizontal="center"/>
    </xf>
    <xf numFmtId="0" fontId="34" fillId="19" borderId="0" xfId="0" applyFont="1" applyFill="1" applyAlignment="1">
      <alignment horizontal="center"/>
    </xf>
    <xf numFmtId="181" fontId="34" fillId="19" borderId="0" xfId="0" applyNumberFormat="1" applyFont="1" applyFill="1" applyAlignment="1">
      <alignment horizontal="center"/>
    </xf>
    <xf numFmtId="9" fontId="34" fillId="0" borderId="0" xfId="16" applyFont="1" applyFill="1" applyAlignment="1">
      <alignment horizontal="center"/>
    </xf>
    <xf numFmtId="181" fontId="34" fillId="0" borderId="0" xfId="16" applyNumberFormat="1" applyFont="1" applyFill="1" applyAlignment="1">
      <alignment horizontal="center"/>
    </xf>
    <xf numFmtId="9" fontId="34" fillId="0" borderId="0" xfId="22" applyFont="1" applyFill="1" applyAlignment="1">
      <alignment horizontal="center"/>
    </xf>
    <xf numFmtId="185" fontId="7" fillId="24" borderId="19" xfId="0" applyNumberFormat="1" applyFont="1" applyFill="1" applyBorder="1" applyAlignment="1">
      <alignment horizontal="center"/>
    </xf>
    <xf numFmtId="181" fontId="32" fillId="24" borderId="19" xfId="16" applyNumberFormat="1" applyFont="1" applyFill="1" applyBorder="1" applyAlignment="1">
      <alignment horizontal="center"/>
    </xf>
    <xf numFmtId="0" fontId="12" fillId="0" borderId="40" xfId="0" applyFont="1" applyBorder="1"/>
    <xf numFmtId="0" fontId="16" fillId="5" borderId="8" xfId="4" applyFill="1" applyBorder="1" applyAlignment="1"/>
    <xf numFmtId="0" fontId="7" fillId="0" borderId="0" xfId="26"/>
    <xf numFmtId="0" fontId="26" fillId="5" borderId="7" xfId="26" applyFont="1" applyFill="1" applyBorder="1" applyAlignment="1">
      <alignment horizontal="center"/>
    </xf>
    <xf numFmtId="0" fontId="26" fillId="5" borderId="11" xfId="26" applyFont="1" applyFill="1" applyBorder="1" applyAlignment="1">
      <alignment horizontal="center"/>
    </xf>
    <xf numFmtId="0" fontId="28" fillId="3" borderId="10" xfId="10" applyFont="1" applyBorder="1"/>
    <xf numFmtId="0" fontId="7" fillId="0" borderId="0" xfId="26" applyAlignment="1">
      <alignment vertical="center"/>
    </xf>
    <xf numFmtId="0" fontId="28" fillId="3" borderId="13" xfId="10" applyFont="1" applyBorder="1"/>
    <xf numFmtId="0" fontId="28" fillId="0" borderId="10" xfId="10" applyFont="1" applyFill="1" applyBorder="1"/>
    <xf numFmtId="0" fontId="19" fillId="0" borderId="0" xfId="8" applyFill="1" applyBorder="1"/>
    <xf numFmtId="9" fontId="7" fillId="0" borderId="0" xfId="28" applyFont="1"/>
    <xf numFmtId="0" fontId="29" fillId="0" borderId="0" xfId="11" applyFont="1" applyAlignment="1" applyProtection="1"/>
    <xf numFmtId="4" fontId="24" fillId="28" borderId="0" xfId="7" applyFont="1" applyFill="1" applyBorder="1">
      <alignment horizontal="right"/>
    </xf>
    <xf numFmtId="4" fontId="31" fillId="9" borderId="0" xfId="7" applyFont="1" applyFill="1" applyBorder="1">
      <alignment horizontal="right"/>
    </xf>
    <xf numFmtId="0" fontId="26" fillId="29" borderId="0" xfId="26" applyFont="1" applyFill="1" applyAlignment="1">
      <alignment horizontal="center" vertical="center"/>
    </xf>
    <xf numFmtId="0" fontId="27" fillId="0" borderId="9" xfId="9" applyFont="1" applyFill="1" applyBorder="1"/>
    <xf numFmtId="0" fontId="18" fillId="3" borderId="13" xfId="10" applyBorder="1"/>
    <xf numFmtId="0" fontId="18" fillId="3" borderId="10" xfId="10" applyBorder="1"/>
    <xf numFmtId="0" fontId="25" fillId="0" borderId="0" xfId="26" applyFont="1"/>
    <xf numFmtId="0" fontId="12" fillId="0" borderId="35" xfId="0" applyFont="1" applyBorder="1"/>
    <xf numFmtId="0" fontId="12" fillId="0" borderId="41" xfId="0" applyFont="1" applyBorder="1"/>
    <xf numFmtId="0" fontId="0" fillId="0" borderId="4" xfId="0" applyBorder="1"/>
    <xf numFmtId="0" fontId="0" fillId="0" borderId="6" xfId="0" applyBorder="1"/>
    <xf numFmtId="0" fontId="0" fillId="0" borderId="39" xfId="0" applyBorder="1"/>
    <xf numFmtId="0" fontId="0" fillId="0" borderId="2" xfId="0" applyBorder="1"/>
    <xf numFmtId="0" fontId="0" fillId="0" borderId="40" xfId="0" applyBorder="1"/>
    <xf numFmtId="0" fontId="0" fillId="0" borderId="35" xfId="0" applyBorder="1"/>
    <xf numFmtId="0" fontId="0" fillId="0" borderId="41" xfId="0" applyBorder="1"/>
    <xf numFmtId="0" fontId="12" fillId="0" borderId="48" xfId="0" applyFont="1" applyBorder="1"/>
    <xf numFmtId="0" fontId="12" fillId="0" borderId="1" xfId="0" applyFont="1" applyBorder="1"/>
    <xf numFmtId="0" fontId="12" fillId="0" borderId="49" xfId="0" applyFont="1" applyBorder="1"/>
    <xf numFmtId="0" fontId="0" fillId="8" borderId="0" xfId="0" applyFill="1"/>
    <xf numFmtId="4" fontId="7" fillId="12" borderId="0" xfId="7" applyFont="1" applyFill="1" applyBorder="1">
      <alignment horizontal="right"/>
    </xf>
    <xf numFmtId="0" fontId="34" fillId="19" borderId="0" xfId="0" applyFont="1" applyFill="1" applyAlignment="1">
      <alignment horizontal="left" indent="1"/>
    </xf>
    <xf numFmtId="183" fontId="34" fillId="19" borderId="0" xfId="0" applyNumberFormat="1" applyFont="1" applyFill="1" applyAlignment="1">
      <alignment horizontal="left" indent="1"/>
    </xf>
    <xf numFmtId="0" fontId="34" fillId="30" borderId="0" xfId="0" applyFont="1" applyFill="1" applyAlignment="1">
      <alignment horizontal="left" indent="1"/>
    </xf>
    <xf numFmtId="0" fontId="22" fillId="0" borderId="0" xfId="0" applyFont="1" applyAlignment="1">
      <alignment horizontal="left"/>
    </xf>
    <xf numFmtId="0" fontId="26" fillId="32" borderId="29" xfId="0" applyFont="1" applyFill="1" applyBorder="1" applyAlignment="1">
      <alignment horizontal="center"/>
    </xf>
    <xf numFmtId="0" fontId="26" fillId="32" borderId="25" xfId="0" applyFont="1" applyFill="1" applyBorder="1" applyAlignment="1">
      <alignment horizontal="center"/>
    </xf>
    <xf numFmtId="9" fontId="32" fillId="8" borderId="56" xfId="16" applyFont="1" applyFill="1" applyBorder="1" applyAlignment="1">
      <alignment horizontal="center"/>
    </xf>
    <xf numFmtId="9" fontId="7" fillId="8" borderId="56" xfId="16" applyFont="1" applyFill="1" applyBorder="1" applyAlignment="1">
      <alignment horizontal="center"/>
    </xf>
    <xf numFmtId="0" fontId="12" fillId="0" borderId="56" xfId="0" applyFont="1" applyBorder="1" applyAlignment="1">
      <alignment horizontal="center"/>
    </xf>
    <xf numFmtId="181" fontId="32" fillId="24" borderId="56" xfId="16" applyNumberFormat="1" applyFont="1" applyFill="1" applyBorder="1" applyAlignment="1">
      <alignment horizontal="center"/>
    </xf>
    <xf numFmtId="0" fontId="26" fillId="32" borderId="19" xfId="0" applyFont="1" applyFill="1" applyBorder="1" applyAlignment="1">
      <alignment horizontal="center" vertical="center" wrapText="1"/>
    </xf>
    <xf numFmtId="0" fontId="26" fillId="32" borderId="19" xfId="0" applyFont="1" applyFill="1" applyBorder="1" applyAlignment="1">
      <alignment horizontal="center"/>
    </xf>
    <xf numFmtId="0" fontId="26" fillId="32" borderId="23" xfId="0" applyFont="1" applyFill="1" applyBorder="1" applyAlignment="1">
      <alignment horizontal="center" vertical="center" wrapText="1"/>
    </xf>
    <xf numFmtId="0" fontId="7" fillId="8" borderId="19" xfId="0" applyFont="1" applyFill="1" applyBorder="1" applyAlignment="1">
      <alignment vertical="center" wrapText="1"/>
    </xf>
    <xf numFmtId="0" fontId="26" fillId="32" borderId="56" xfId="0" applyFont="1" applyFill="1" applyBorder="1" applyAlignment="1">
      <alignment horizontal="center"/>
    </xf>
    <xf numFmtId="3" fontId="7" fillId="0" borderId="0" xfId="0" applyNumberFormat="1" applyFont="1"/>
    <xf numFmtId="0" fontId="7" fillId="17" borderId="48" xfId="0" applyFont="1" applyFill="1" applyBorder="1"/>
    <xf numFmtId="0" fontId="7" fillId="0" borderId="48" xfId="0" applyFont="1" applyBorder="1" applyAlignment="1">
      <alignment horizontal="left" indent="1"/>
    </xf>
    <xf numFmtId="0" fontId="7" fillId="0" borderId="48" xfId="0" applyFont="1" applyBorder="1" applyAlignment="1">
      <alignment horizontal="left"/>
    </xf>
    <xf numFmtId="0" fontId="7" fillId="17" borderId="48" xfId="0" applyFont="1" applyFill="1" applyBorder="1" applyAlignment="1">
      <alignment horizontal="left" indent="1"/>
    </xf>
    <xf numFmtId="0" fontId="12" fillId="0" borderId="48" xfId="0" applyFont="1" applyBorder="1" applyAlignment="1">
      <alignment horizontal="left"/>
    </xf>
    <xf numFmtId="0" fontId="12" fillId="17" borderId="48" xfId="0" applyFont="1" applyFill="1" applyBorder="1"/>
    <xf numFmtId="0" fontId="7" fillId="0" borderId="48" xfId="0" applyFont="1" applyBorder="1"/>
    <xf numFmtId="186" fontId="7" fillId="24" borderId="19" xfId="0" applyNumberFormat="1" applyFont="1" applyFill="1" applyBorder="1" applyAlignment="1">
      <alignment horizontal="center"/>
    </xf>
    <xf numFmtId="9" fontId="7" fillId="24" borderId="19" xfId="16" applyFont="1" applyFill="1" applyBorder="1" applyAlignment="1">
      <alignment horizontal="center"/>
    </xf>
    <xf numFmtId="185" fontId="7" fillId="0" borderId="19" xfId="0" applyNumberFormat="1" applyFont="1" applyBorder="1" applyAlignment="1">
      <alignment horizontal="center"/>
    </xf>
    <xf numFmtId="180" fontId="7" fillId="7" borderId="19" xfId="0" applyNumberFormat="1" applyFont="1" applyFill="1" applyBorder="1" applyAlignment="1">
      <alignment horizontal="center"/>
    </xf>
    <xf numFmtId="4" fontId="7" fillId="7" borderId="19" xfId="0" applyNumberFormat="1" applyFont="1" applyFill="1" applyBorder="1" applyAlignment="1">
      <alignment horizontal="center"/>
    </xf>
    <xf numFmtId="9" fontId="32" fillId="7" borderId="56" xfId="16" applyFont="1" applyFill="1" applyBorder="1" applyAlignment="1">
      <alignment horizontal="center"/>
    </xf>
    <xf numFmtId="0" fontId="7" fillId="7" borderId="19" xfId="0" applyFont="1" applyFill="1" applyBorder="1"/>
    <xf numFmtId="9" fontId="7" fillId="7" borderId="19" xfId="16" applyFont="1" applyFill="1" applyBorder="1"/>
    <xf numFmtId="186" fontId="32" fillId="8" borderId="56" xfId="16" applyNumberFormat="1" applyFont="1" applyFill="1" applyBorder="1" applyAlignment="1">
      <alignment horizontal="center"/>
    </xf>
    <xf numFmtId="186" fontId="7" fillId="8" borderId="56" xfId="0" applyNumberFormat="1" applyFont="1" applyFill="1" applyBorder="1" applyAlignment="1">
      <alignment horizontal="center"/>
    </xf>
    <xf numFmtId="0" fontId="48" fillId="32" borderId="56" xfId="0" applyFont="1" applyFill="1" applyBorder="1" applyAlignment="1">
      <alignment horizontal="center"/>
    </xf>
    <xf numFmtId="0" fontId="49" fillId="32" borderId="56" xfId="0" applyFont="1" applyFill="1" applyBorder="1" applyAlignment="1">
      <alignment horizontal="center"/>
    </xf>
    <xf numFmtId="180" fontId="12" fillId="24" borderId="19" xfId="0" applyNumberFormat="1" applyFont="1" applyFill="1" applyBorder="1" applyAlignment="1">
      <alignment horizontal="center"/>
    </xf>
    <xf numFmtId="0" fontId="12" fillId="14" borderId="12" xfId="0" applyFont="1" applyFill="1" applyBorder="1" applyAlignment="1">
      <alignment horizontal="center"/>
    </xf>
    <xf numFmtId="0" fontId="0" fillId="0" borderId="54" xfId="0" applyBorder="1"/>
    <xf numFmtId="0" fontId="0" fillId="0" borderId="74" xfId="0" applyBorder="1"/>
    <xf numFmtId="0" fontId="12" fillId="0" borderId="92" xfId="0" applyFont="1" applyBorder="1" applyAlignment="1">
      <alignment horizontal="left"/>
    </xf>
    <xf numFmtId="0" fontId="12" fillId="0" borderId="93" xfId="0" applyFont="1" applyBorder="1" applyAlignment="1">
      <alignment horizontal="left"/>
    </xf>
    <xf numFmtId="180" fontId="12" fillId="0" borderId="79" xfId="0" applyNumberFormat="1" applyFont="1" applyBorder="1" applyAlignment="1">
      <alignment horizontal="center"/>
    </xf>
    <xf numFmtId="9" fontId="0" fillId="0" borderId="93" xfId="16" applyFont="1" applyBorder="1"/>
    <xf numFmtId="0" fontId="12" fillId="0" borderId="92" xfId="0" applyFont="1" applyBorder="1" applyAlignment="1">
      <alignment horizontal="center"/>
    </xf>
    <xf numFmtId="9" fontId="0" fillId="0" borderId="70" xfId="0" applyNumberFormat="1" applyBorder="1"/>
    <xf numFmtId="180" fontId="0" fillId="0" borderId="87" xfId="0" applyNumberFormat="1" applyBorder="1" applyAlignment="1">
      <alignment horizontal="center"/>
    </xf>
    <xf numFmtId="0" fontId="0" fillId="33" borderId="94" xfId="0" applyFill="1" applyBorder="1"/>
    <xf numFmtId="0" fontId="0" fillId="33" borderId="95" xfId="0" applyFill="1" applyBorder="1"/>
    <xf numFmtId="10" fontId="0" fillId="33" borderId="95" xfId="0" applyNumberFormat="1" applyFill="1" applyBorder="1"/>
    <xf numFmtId="10" fontId="0" fillId="33" borderId="96" xfId="0" applyNumberFormat="1" applyFill="1" applyBorder="1"/>
    <xf numFmtId="0" fontId="12" fillId="8" borderId="42" xfId="0" applyFont="1" applyFill="1" applyBorder="1" applyAlignment="1">
      <alignment horizontal="center"/>
    </xf>
    <xf numFmtId="9" fontId="0" fillId="0" borderId="97" xfId="16" applyFont="1" applyBorder="1"/>
    <xf numFmtId="0" fontId="12" fillId="0" borderId="97" xfId="0" applyFont="1" applyBorder="1"/>
    <xf numFmtId="0" fontId="12" fillId="14" borderId="69" xfId="0" applyFont="1" applyFill="1" applyBorder="1" applyAlignment="1">
      <alignment horizontal="center"/>
    </xf>
    <xf numFmtId="9" fontId="12" fillId="14" borderId="69" xfId="16" applyFont="1" applyFill="1" applyBorder="1" applyAlignment="1">
      <alignment horizontal="center"/>
    </xf>
    <xf numFmtId="0" fontId="12" fillId="0" borderId="69" xfId="0" applyFont="1" applyBorder="1" applyAlignment="1">
      <alignment horizontal="center"/>
    </xf>
    <xf numFmtId="180" fontId="0" fillId="0" borderId="98" xfId="0" applyNumberFormat="1" applyBorder="1" applyAlignment="1">
      <alignment horizontal="center"/>
    </xf>
    <xf numFmtId="0" fontId="12" fillId="0" borderId="100" xfId="0" applyFont="1" applyBorder="1"/>
    <xf numFmtId="0" fontId="12" fillId="0" borderId="99" xfId="0" applyFont="1" applyBorder="1" applyAlignment="1">
      <alignment horizontal="center"/>
    </xf>
    <xf numFmtId="0" fontId="0" fillId="0" borderId="71" xfId="0" applyBorder="1"/>
    <xf numFmtId="0" fontId="9" fillId="0" borderId="72" xfId="11" applyBorder="1" applyAlignment="1" applyProtection="1">
      <alignment horizontal="center"/>
    </xf>
    <xf numFmtId="0" fontId="0" fillId="0" borderId="72" xfId="0" applyBorder="1" applyAlignment="1">
      <alignment horizontal="center"/>
    </xf>
    <xf numFmtId="0" fontId="0" fillId="0" borderId="72" xfId="0" applyBorder="1"/>
    <xf numFmtId="0" fontId="0" fillId="0" borderId="73" xfId="0" applyBorder="1"/>
    <xf numFmtId="0" fontId="0" fillId="0" borderId="55" xfId="0" applyBorder="1"/>
    <xf numFmtId="0" fontId="0" fillId="0" borderId="79" xfId="0" applyBorder="1"/>
    <xf numFmtId="0" fontId="0" fillId="0" borderId="79" xfId="0" applyBorder="1" applyAlignment="1">
      <alignment horizontal="center"/>
    </xf>
    <xf numFmtId="0" fontId="0" fillId="0" borderId="80" xfId="0" applyBorder="1"/>
    <xf numFmtId="9" fontId="0" fillId="0" borderId="0" xfId="0" applyNumberFormat="1"/>
    <xf numFmtId="0" fontId="12" fillId="14" borderId="96" xfId="0" applyFont="1" applyFill="1" applyBorder="1" applyAlignment="1">
      <alignment horizontal="center"/>
    </xf>
    <xf numFmtId="0" fontId="0" fillId="33" borderId="76" xfId="0" applyFill="1" applyBorder="1"/>
    <xf numFmtId="0" fontId="0" fillId="33" borderId="78" xfId="0" applyFill="1" applyBorder="1"/>
    <xf numFmtId="0" fontId="12" fillId="0" borderId="76" xfId="0" applyFont="1" applyBorder="1" applyAlignment="1">
      <alignment horizontal="center"/>
    </xf>
    <xf numFmtId="180" fontId="0" fillId="0" borderId="88" xfId="0" applyNumberFormat="1" applyBorder="1" applyAlignment="1">
      <alignment horizontal="center"/>
    </xf>
    <xf numFmtId="0" fontId="12" fillId="8" borderId="9" xfId="0" applyFont="1" applyFill="1" applyBorder="1" applyAlignment="1">
      <alignment horizontal="center"/>
    </xf>
    <xf numFmtId="186" fontId="0" fillId="0" borderId="103" xfId="0" applyNumberFormat="1" applyBorder="1" applyAlignment="1">
      <alignment horizontal="center"/>
    </xf>
    <xf numFmtId="186" fontId="0" fillId="0" borderId="105" xfId="0" applyNumberFormat="1" applyBorder="1" applyAlignment="1">
      <alignment horizontal="center"/>
    </xf>
    <xf numFmtId="0" fontId="0" fillId="31" borderId="77" xfId="0" applyFill="1" applyBorder="1"/>
    <xf numFmtId="0" fontId="26" fillId="31" borderId="77" xfId="0" applyFont="1" applyFill="1" applyBorder="1" applyAlignment="1">
      <alignment horizontal="left"/>
    </xf>
    <xf numFmtId="9" fontId="0" fillId="31" borderId="77" xfId="16" applyFont="1" applyFill="1" applyBorder="1" applyAlignment="1">
      <alignment horizontal="center" vertical="center"/>
    </xf>
    <xf numFmtId="184" fontId="26" fillId="31" borderId="78" xfId="0" applyNumberFormat="1" applyFont="1" applyFill="1" applyBorder="1" applyAlignment="1">
      <alignment horizontal="center" vertical="center"/>
    </xf>
    <xf numFmtId="0" fontId="12" fillId="17" borderId="109" xfId="0" applyFont="1" applyFill="1" applyBorder="1"/>
    <xf numFmtId="0" fontId="12" fillId="17" borderId="111" xfId="0" applyFont="1" applyFill="1" applyBorder="1"/>
    <xf numFmtId="186" fontId="0" fillId="0" borderId="112" xfId="0" applyNumberFormat="1" applyBorder="1" applyAlignment="1">
      <alignment horizontal="center"/>
    </xf>
    <xf numFmtId="0" fontId="26" fillId="32" borderId="114" xfId="0" applyFont="1" applyFill="1" applyBorder="1" applyAlignment="1">
      <alignment horizontal="center"/>
    </xf>
    <xf numFmtId="0" fontId="0" fillId="32" borderId="115" xfId="0" applyFill="1" applyBorder="1"/>
    <xf numFmtId="0" fontId="0" fillId="32" borderId="116" xfId="0" applyFill="1" applyBorder="1"/>
    <xf numFmtId="0" fontId="26" fillId="32" borderId="109" xfId="0" applyFont="1" applyFill="1" applyBorder="1" applyAlignment="1">
      <alignment horizontal="center"/>
    </xf>
    <xf numFmtId="0" fontId="0" fillId="32" borderId="105" xfId="0" applyFill="1" applyBorder="1"/>
    <xf numFmtId="186" fontId="0" fillId="24" borderId="104" xfId="0" applyNumberFormat="1" applyFill="1" applyBorder="1" applyAlignment="1">
      <alignment horizontal="center"/>
    </xf>
    <xf numFmtId="0" fontId="12" fillId="0" borderId="107" xfId="0" applyFont="1" applyBorder="1" applyAlignment="1">
      <alignment horizontal="left" vertical="center"/>
    </xf>
    <xf numFmtId="0" fontId="12" fillId="0" borderId="109" xfId="0" applyFont="1" applyBorder="1" applyAlignment="1">
      <alignment horizontal="left" vertical="center"/>
    </xf>
    <xf numFmtId="0" fontId="12" fillId="0" borderId="108" xfId="0" applyFont="1" applyBorder="1" applyAlignment="1">
      <alignment horizontal="left" vertical="center"/>
    </xf>
    <xf numFmtId="0" fontId="47" fillId="5" borderId="76" xfId="0" applyFont="1" applyFill="1" applyBorder="1" applyAlignment="1">
      <alignment horizontal="left" vertical="center"/>
    </xf>
    <xf numFmtId="0" fontId="47" fillId="31" borderId="76" xfId="0" applyFont="1" applyFill="1" applyBorder="1" applyAlignment="1">
      <alignment horizontal="left" vertical="center"/>
    </xf>
    <xf numFmtId="0" fontId="47" fillId="13" borderId="78" xfId="0" applyFont="1" applyFill="1" applyBorder="1" applyAlignment="1">
      <alignment horizontal="center"/>
    </xf>
    <xf numFmtId="0" fontId="13" fillId="8" borderId="109" xfId="0" applyFont="1" applyFill="1" applyBorder="1" applyAlignment="1">
      <alignment horizontal="left" vertical="center"/>
    </xf>
    <xf numFmtId="0" fontId="12" fillId="8" borderId="108" xfId="0" applyFont="1" applyFill="1" applyBorder="1" applyAlignment="1">
      <alignment horizontal="left" vertical="center"/>
    </xf>
    <xf numFmtId="0" fontId="12" fillId="8" borderId="107" xfId="0" applyFont="1" applyFill="1" applyBorder="1" applyAlignment="1">
      <alignment horizontal="left" vertical="center"/>
    </xf>
    <xf numFmtId="0" fontId="12" fillId="8" borderId="109" xfId="0" applyFont="1" applyFill="1" applyBorder="1" applyAlignment="1">
      <alignment horizontal="left" vertical="center"/>
    </xf>
    <xf numFmtId="0" fontId="12" fillId="8" borderId="111" xfId="0" applyFont="1" applyFill="1" applyBorder="1" applyAlignment="1">
      <alignment horizontal="left" vertical="center"/>
    </xf>
    <xf numFmtId="9" fontId="0" fillId="24" borderId="103" xfId="16" applyFont="1" applyFill="1" applyBorder="1" applyAlignment="1">
      <alignment horizontal="center"/>
    </xf>
    <xf numFmtId="9" fontId="0" fillId="24" borderId="105" xfId="16" applyFont="1" applyFill="1" applyBorder="1" applyAlignment="1">
      <alignment horizontal="center"/>
    </xf>
    <xf numFmtId="9" fontId="0" fillId="24" borderId="104" xfId="16" applyFont="1" applyFill="1" applyBorder="1" applyAlignment="1">
      <alignment horizontal="center"/>
    </xf>
    <xf numFmtId="0" fontId="0" fillId="31" borderId="77" xfId="0" applyFill="1" applyBorder="1" applyAlignment="1">
      <alignment horizontal="center"/>
    </xf>
    <xf numFmtId="186" fontId="25" fillId="18" borderId="103" xfId="0" applyNumberFormat="1" applyFont="1" applyFill="1" applyBorder="1" applyAlignment="1">
      <alignment horizontal="center"/>
    </xf>
    <xf numFmtId="186" fontId="25" fillId="18" borderId="104" xfId="0" applyNumberFormat="1" applyFont="1" applyFill="1" applyBorder="1" applyAlignment="1">
      <alignment horizontal="center"/>
    </xf>
    <xf numFmtId="9" fontId="25" fillId="31" borderId="77" xfId="16" applyFont="1" applyFill="1" applyBorder="1" applyAlignment="1">
      <alignment horizontal="center" vertical="center"/>
    </xf>
    <xf numFmtId="9" fontId="25" fillId="18" borderId="103" xfId="16" applyFont="1" applyFill="1" applyBorder="1" applyAlignment="1">
      <alignment horizontal="center"/>
    </xf>
    <xf numFmtId="9" fontId="25" fillId="18" borderId="105" xfId="16" applyFont="1" applyFill="1" applyBorder="1" applyAlignment="1">
      <alignment horizontal="center"/>
    </xf>
    <xf numFmtId="9" fontId="25" fillId="18" borderId="104" xfId="16" applyFont="1" applyFill="1" applyBorder="1" applyAlignment="1">
      <alignment horizontal="center"/>
    </xf>
    <xf numFmtId="0" fontId="25" fillId="31" borderId="77" xfId="0" applyFont="1" applyFill="1" applyBorder="1" applyAlignment="1">
      <alignment horizontal="center" vertical="center"/>
    </xf>
    <xf numFmtId="10" fontId="25" fillId="31" borderId="77" xfId="0" applyNumberFormat="1" applyFont="1" applyFill="1" applyBorder="1" applyAlignment="1">
      <alignment horizontal="center" vertical="center"/>
    </xf>
    <xf numFmtId="184" fontId="25" fillId="31" borderId="77" xfId="19" applyNumberFormat="1" applyFont="1" applyFill="1" applyBorder="1" applyAlignment="1">
      <alignment horizontal="center" vertical="center"/>
    </xf>
    <xf numFmtId="0" fontId="25" fillId="31" borderId="77" xfId="0" applyFont="1" applyFill="1" applyBorder="1" applyAlignment="1">
      <alignment horizontal="center"/>
    </xf>
    <xf numFmtId="0" fontId="7" fillId="0" borderId="71" xfId="0" applyFont="1" applyBorder="1"/>
    <xf numFmtId="0" fontId="50" fillId="5" borderId="68" xfId="0" applyFont="1" applyFill="1" applyBorder="1" applyAlignment="1">
      <alignment horizontal="center"/>
    </xf>
    <xf numFmtId="0" fontId="50" fillId="5" borderId="68" xfId="0" applyFont="1" applyFill="1" applyBorder="1"/>
    <xf numFmtId="0" fontId="0" fillId="0" borderId="68" xfId="0" applyBorder="1"/>
    <xf numFmtId="2" fontId="25" fillId="18" borderId="105" xfId="16" applyNumberFormat="1" applyFont="1" applyFill="1" applyBorder="1" applyAlignment="1">
      <alignment horizontal="center"/>
    </xf>
    <xf numFmtId="186" fontId="0" fillId="24" borderId="105" xfId="0" applyNumberFormat="1" applyFill="1" applyBorder="1" applyAlignment="1">
      <alignment horizontal="center"/>
    </xf>
    <xf numFmtId="186" fontId="0" fillId="24" borderId="112" xfId="0" applyNumberFormat="1" applyFill="1" applyBorder="1" applyAlignment="1">
      <alignment horizontal="center"/>
    </xf>
    <xf numFmtId="0" fontId="28" fillId="0" borderId="10" xfId="26" applyFont="1" applyBorder="1" applyAlignment="1">
      <alignment horizontal="center"/>
    </xf>
    <xf numFmtId="0" fontId="28" fillId="0" borderId="16" xfId="26" applyFont="1" applyBorder="1" applyAlignment="1">
      <alignment horizontal="center"/>
    </xf>
    <xf numFmtId="0" fontId="28" fillId="0" borderId="10" xfId="26" applyFont="1" applyBorder="1" applyAlignment="1">
      <alignment horizontal="center" vertical="center"/>
    </xf>
    <xf numFmtId="0" fontId="28" fillId="0" borderId="16" xfId="26" applyFont="1" applyBorder="1" applyAlignment="1">
      <alignment horizontal="center" vertical="center"/>
    </xf>
    <xf numFmtId="0" fontId="28" fillId="0" borderId="14" xfId="26" applyFont="1" applyBorder="1" applyAlignment="1">
      <alignment horizontal="center"/>
    </xf>
    <xf numFmtId="0" fontId="28" fillId="0" borderId="17" xfId="26" applyFont="1" applyBorder="1" applyAlignment="1">
      <alignment horizontal="center"/>
    </xf>
    <xf numFmtId="0" fontId="51" fillId="5" borderId="120" xfId="4" applyFont="1" applyFill="1" applyBorder="1" applyAlignment="1">
      <alignment horizontal="center" vertical="center"/>
    </xf>
    <xf numFmtId="0" fontId="51" fillId="5" borderId="120" xfId="3" applyFont="1" applyFill="1" applyBorder="1" applyAlignment="1">
      <alignment horizontal="center" vertical="center" wrapText="1"/>
    </xf>
    <xf numFmtId="0" fontId="51" fillId="5" borderId="120" xfId="3" applyFont="1" applyFill="1" applyBorder="1" applyAlignment="1">
      <alignment horizontal="center" vertical="center"/>
    </xf>
    <xf numFmtId="0" fontId="7" fillId="3" borderId="120" xfId="10" applyFont="1" applyBorder="1" applyAlignment="1">
      <alignment horizontal="center" vertical="center"/>
    </xf>
    <xf numFmtId="183" fontId="7" fillId="8" borderId="120" xfId="6" applyFont="1" applyFill="1" applyBorder="1" applyAlignment="1">
      <alignment horizontal="right" vertical="center" wrapText="1"/>
    </xf>
    <xf numFmtId="0" fontId="28" fillId="3" borderId="120" xfId="10" applyFont="1" applyBorder="1" applyAlignment="1">
      <alignment vertical="center"/>
    </xf>
    <xf numFmtId="183" fontId="7" fillId="3" borderId="120" xfId="6" applyFont="1" applyBorder="1" applyAlignment="1">
      <alignment horizontal="right" vertical="center" wrapText="1"/>
    </xf>
    <xf numFmtId="0" fontId="28" fillId="3" borderId="120" xfId="10" applyFont="1" applyBorder="1" applyAlignment="1">
      <alignment horizontal="center" vertical="center"/>
    </xf>
    <xf numFmtId="3" fontId="12" fillId="34" borderId="122" xfId="5" applyFont="1" applyFill="1" applyBorder="1" applyAlignment="1">
      <alignment horizontal="center" vertical="center"/>
    </xf>
    <xf numFmtId="0" fontId="12" fillId="0" borderId="0" xfId="26" applyFont="1" applyAlignment="1">
      <alignment vertical="center"/>
    </xf>
    <xf numFmtId="0" fontId="7" fillId="12" borderId="0" xfId="26" applyFill="1" applyAlignment="1">
      <alignment vertical="center"/>
    </xf>
    <xf numFmtId="0" fontId="27" fillId="0" borderId="120" xfId="9" applyFont="1" applyFill="1" applyBorder="1" applyAlignment="1">
      <alignment horizontal="center" vertical="center"/>
    </xf>
    <xf numFmtId="3" fontId="52" fillId="34" borderId="121" xfId="5" applyFont="1" applyFill="1" applyBorder="1" applyAlignment="1">
      <alignment horizontal="right" vertical="center"/>
    </xf>
    <xf numFmtId="3" fontId="52" fillId="34" borderId="122" xfId="5" applyFont="1" applyFill="1" applyBorder="1" applyAlignment="1">
      <alignment horizontal="right" vertical="center"/>
    </xf>
    <xf numFmtId="3" fontId="52" fillId="34" borderId="123" xfId="5" applyFont="1" applyFill="1" applyBorder="1" applyAlignment="1">
      <alignment horizontal="right" vertical="center"/>
    </xf>
    <xf numFmtId="183" fontId="7" fillId="3" borderId="120" xfId="6" applyFont="1" applyBorder="1" applyAlignment="1">
      <alignment horizontal="center" vertical="center"/>
    </xf>
    <xf numFmtId="4" fontId="31" fillId="0" borderId="120" xfId="7" applyFont="1" applyFill="1" applyBorder="1" applyAlignment="1">
      <alignment horizontal="right" vertical="center"/>
    </xf>
    <xf numFmtId="0" fontId="0" fillId="34" borderId="122" xfId="0" applyFill="1" applyBorder="1" applyAlignment="1">
      <alignment horizontal="center" vertical="center"/>
    </xf>
    <xf numFmtId="4" fontId="7" fillId="34" borderId="122" xfId="7" applyFont="1" applyFill="1" applyBorder="1" applyAlignment="1">
      <alignment horizontal="right" vertical="center"/>
    </xf>
    <xf numFmtId="3" fontId="12" fillId="34" borderId="123" xfId="5" applyFont="1" applyFill="1" applyBorder="1" applyAlignment="1">
      <alignment horizontal="right" vertical="center" wrapText="1"/>
    </xf>
    <xf numFmtId="4" fontId="7" fillId="8" borderId="120" xfId="7" applyFont="1" applyFill="1" applyBorder="1" applyAlignment="1">
      <alignment horizontal="right" vertical="center" wrapText="1"/>
    </xf>
    <xf numFmtId="4" fontId="7" fillId="3" borderId="120" xfId="7" applyFont="1" applyBorder="1" applyAlignment="1">
      <alignment horizontal="center" vertical="center"/>
    </xf>
    <xf numFmtId="4" fontId="7" fillId="3" borderId="120" xfId="7" applyFont="1" applyBorder="1" applyAlignment="1">
      <alignment horizontal="right" vertical="center" wrapText="1"/>
    </xf>
    <xf numFmtId="0" fontId="28" fillId="0" borderId="120" xfId="10" applyFont="1" applyFill="1" applyBorder="1" applyAlignment="1">
      <alignment vertical="center"/>
    </xf>
    <xf numFmtId="0" fontId="7" fillId="0" borderId="120" xfId="10" applyFont="1" applyFill="1" applyBorder="1" applyAlignment="1">
      <alignment horizontal="center" vertical="center"/>
    </xf>
    <xf numFmtId="0" fontId="7" fillId="0" borderId="120" xfId="27" applyFont="1" applyBorder="1" applyAlignment="1">
      <alignment horizontal="right" vertical="center" wrapText="1"/>
    </xf>
    <xf numFmtId="3" fontId="12" fillId="34" borderId="121" xfId="5" applyFont="1" applyFill="1" applyBorder="1" applyAlignment="1">
      <alignment horizontal="right" vertical="center"/>
    </xf>
    <xf numFmtId="4" fontId="7" fillId="6" borderId="120" xfId="7" applyFont="1" applyFill="1" applyBorder="1" applyAlignment="1">
      <alignment horizontal="right" vertical="center"/>
    </xf>
    <xf numFmtId="4" fontId="7" fillId="6" borderId="120" xfId="7" applyFont="1" applyFill="1" applyBorder="1" applyAlignment="1">
      <alignment horizontal="center" vertical="center"/>
    </xf>
    <xf numFmtId="4" fontId="7" fillId="0" borderId="120" xfId="7" applyFont="1" applyFill="1" applyBorder="1" applyAlignment="1">
      <alignment horizontal="right" vertical="center" wrapText="1"/>
    </xf>
    <xf numFmtId="0" fontId="28" fillId="3" borderId="120" xfId="10" applyFont="1" applyBorder="1" applyAlignment="1">
      <alignment vertical="center" wrapText="1"/>
    </xf>
    <xf numFmtId="4" fontId="7" fillId="0" borderId="120" xfId="7" applyFont="1" applyFill="1" applyBorder="1" applyAlignment="1">
      <alignment horizontal="center" vertical="center"/>
    </xf>
    <xf numFmtId="0" fontId="51" fillId="32" borderId="120" xfId="3" applyFont="1" applyFill="1" applyBorder="1" applyAlignment="1">
      <alignment horizontal="center" vertical="center" wrapText="1"/>
    </xf>
    <xf numFmtId="0" fontId="7" fillId="0" borderId="120" xfId="26" applyBorder="1"/>
    <xf numFmtId="0" fontId="7" fillId="0" borderId="120" xfId="26" applyBorder="1" applyAlignment="1">
      <alignment vertical="center"/>
    </xf>
    <xf numFmtId="0" fontId="34" fillId="12" borderId="120" xfId="26" applyFont="1" applyFill="1" applyBorder="1" applyAlignment="1">
      <alignment horizontal="center" vertical="center"/>
    </xf>
    <xf numFmtId="2" fontId="0" fillId="8" borderId="105" xfId="16" applyNumberFormat="1" applyFont="1" applyFill="1" applyBorder="1" applyAlignment="1">
      <alignment horizontal="center"/>
    </xf>
    <xf numFmtId="0" fontId="26" fillId="5" borderId="32" xfId="26" applyFont="1" applyFill="1" applyBorder="1" applyAlignment="1">
      <alignment horizontal="center" vertical="center"/>
    </xf>
    <xf numFmtId="0" fontId="26" fillId="5" borderId="33" xfId="26" applyFont="1" applyFill="1" applyBorder="1" applyAlignment="1">
      <alignment horizontal="center" vertical="center"/>
    </xf>
    <xf numFmtId="0" fontId="54" fillId="0" borderId="0" xfId="0" applyFont="1"/>
    <xf numFmtId="0" fontId="56" fillId="0" borderId="41" xfId="0" applyFont="1" applyBorder="1"/>
    <xf numFmtId="0" fontId="56" fillId="0" borderId="0" xfId="0" applyFont="1"/>
    <xf numFmtId="0" fontId="12" fillId="0" borderId="41" xfId="0" applyFont="1" applyBorder="1" applyAlignment="1">
      <alignment horizontal="center"/>
    </xf>
    <xf numFmtId="0" fontId="12" fillId="0" borderId="39" xfId="0" applyFont="1" applyBorder="1" applyAlignment="1">
      <alignment horizontal="center"/>
    </xf>
    <xf numFmtId="0" fontId="56" fillId="0" borderId="41" xfId="0" applyFont="1" applyBorder="1" applyAlignment="1">
      <alignment horizontal="center"/>
    </xf>
    <xf numFmtId="0" fontId="56" fillId="0" borderId="39" xfId="0" applyFont="1" applyBorder="1" applyAlignment="1">
      <alignment horizontal="center"/>
    </xf>
    <xf numFmtId="0" fontId="56" fillId="0" borderId="35" xfId="0" applyFont="1" applyBorder="1"/>
    <xf numFmtId="0" fontId="56" fillId="0" borderId="125" xfId="0" applyFont="1" applyBorder="1" applyAlignment="1">
      <alignment horizontal="center" vertical="center"/>
    </xf>
    <xf numFmtId="0" fontId="56" fillId="0" borderId="129" xfId="0" applyFont="1" applyBorder="1" applyAlignment="1">
      <alignment horizontal="center" vertical="center"/>
    </xf>
    <xf numFmtId="0" fontId="7" fillId="0" borderId="35" xfId="0" applyFont="1" applyBorder="1"/>
    <xf numFmtId="0" fontId="12" fillId="12" borderId="132" xfId="0" applyFont="1" applyFill="1" applyBorder="1" applyAlignment="1">
      <alignment horizontal="center"/>
    </xf>
    <xf numFmtId="0" fontId="56" fillId="12" borderId="132" xfId="0" applyFont="1" applyFill="1" applyBorder="1"/>
    <xf numFmtId="0" fontId="56" fillId="12" borderId="139" xfId="0" applyFont="1" applyFill="1" applyBorder="1"/>
    <xf numFmtId="0" fontId="54" fillId="12" borderId="139" xfId="0" applyFont="1" applyFill="1" applyBorder="1"/>
    <xf numFmtId="10" fontId="0" fillId="0" borderId="136" xfId="0" applyNumberFormat="1" applyBorder="1" applyAlignment="1">
      <alignment horizontal="center" vertical="center"/>
    </xf>
    <xf numFmtId="10" fontId="0" fillId="0" borderId="141" xfId="0" applyNumberFormat="1" applyBorder="1" applyAlignment="1">
      <alignment horizontal="center" vertical="center"/>
    </xf>
    <xf numFmtId="10" fontId="0" fillId="0" borderId="142" xfId="0" applyNumberFormat="1" applyBorder="1" applyAlignment="1">
      <alignment horizontal="center" vertical="center"/>
    </xf>
    <xf numFmtId="0" fontId="56" fillId="0" borderId="143" xfId="0" applyFont="1" applyBorder="1" applyAlignment="1">
      <alignment horizontal="center" vertical="center"/>
    </xf>
    <xf numFmtId="0" fontId="56" fillId="0" borderId="144" xfId="0" applyFont="1" applyBorder="1" applyAlignment="1">
      <alignment horizontal="center" vertical="center"/>
    </xf>
    <xf numFmtId="0" fontId="26" fillId="5" borderId="145" xfId="26" applyFont="1" applyFill="1" applyBorder="1" applyAlignment="1">
      <alignment horizontal="center" vertical="center"/>
    </xf>
    <xf numFmtId="0" fontId="28" fillId="0" borderId="146" xfId="26" applyFont="1" applyBorder="1" applyAlignment="1">
      <alignment horizontal="center" vertical="center" wrapText="1"/>
    </xf>
    <xf numFmtId="0" fontId="28" fillId="0" borderId="147" xfId="26" applyFont="1" applyBorder="1" applyAlignment="1">
      <alignment horizontal="center" vertical="center" wrapText="1"/>
    </xf>
    <xf numFmtId="0" fontId="28" fillId="0" borderId="148" xfId="26" applyFont="1" applyBorder="1" applyAlignment="1">
      <alignment horizontal="center" vertical="center" wrapText="1"/>
    </xf>
    <xf numFmtId="0" fontId="26" fillId="5" borderId="8" xfId="26" applyFont="1" applyFill="1" applyBorder="1" applyAlignment="1">
      <alignment horizontal="center"/>
    </xf>
    <xf numFmtId="0" fontId="54" fillId="8" borderId="0" xfId="0" applyFont="1" applyFill="1"/>
    <xf numFmtId="0" fontId="58" fillId="43" borderId="0" xfId="0" applyFont="1" applyFill="1"/>
    <xf numFmtId="0" fontId="7" fillId="38" borderId="35" xfId="0" applyFont="1" applyFill="1" applyBorder="1"/>
    <xf numFmtId="0" fontId="56" fillId="0" borderId="149" xfId="0" applyFont="1" applyBorder="1" applyAlignment="1">
      <alignment horizontal="center"/>
    </xf>
    <xf numFmtId="0" fontId="56" fillId="0" borderId="151" xfId="0" applyFont="1" applyBorder="1" applyAlignment="1">
      <alignment horizontal="center"/>
    </xf>
    <xf numFmtId="0" fontId="57" fillId="0" borderId="152" xfId="0" applyFont="1" applyBorder="1" applyAlignment="1">
      <alignment horizontal="center"/>
    </xf>
    <xf numFmtId="0" fontId="12" fillId="0" borderId="153" xfId="0" applyFont="1" applyBorder="1" applyAlignment="1">
      <alignment horizontal="center"/>
    </xf>
    <xf numFmtId="0" fontId="12" fillId="0" borderId="156" xfId="0" applyFont="1" applyBorder="1" applyAlignment="1">
      <alignment horizontal="center"/>
    </xf>
    <xf numFmtId="0" fontId="7" fillId="40" borderId="0" xfId="0" applyFont="1" applyFill="1"/>
    <xf numFmtId="0" fontId="12" fillId="42" borderId="35" xfId="0" quotePrefix="1" applyFont="1" applyFill="1" applyBorder="1"/>
    <xf numFmtId="0" fontId="54" fillId="40" borderId="0" xfId="0" applyFont="1" applyFill="1"/>
    <xf numFmtId="0" fontId="12" fillId="38" borderId="35" xfId="0" applyFont="1" applyFill="1" applyBorder="1"/>
    <xf numFmtId="0" fontId="7" fillId="0" borderId="166" xfId="0" applyFont="1" applyBorder="1"/>
    <xf numFmtId="0" fontId="12" fillId="0" borderId="167" xfId="0" applyFont="1" applyBorder="1" applyAlignment="1">
      <alignment horizontal="center"/>
    </xf>
    <xf numFmtId="0" fontId="12" fillId="0" borderId="45" xfId="0" applyFont="1" applyBorder="1" applyAlignment="1">
      <alignment horizontal="center"/>
    </xf>
    <xf numFmtId="0" fontId="12" fillId="0" borderId="168" xfId="0" applyFont="1" applyBorder="1" applyAlignment="1">
      <alignment horizontal="center"/>
    </xf>
    <xf numFmtId="0" fontId="12" fillId="0" borderId="159" xfId="0" applyFont="1" applyBorder="1" applyAlignment="1">
      <alignment horizontal="center"/>
    </xf>
    <xf numFmtId="0" fontId="7" fillId="40" borderId="133" xfId="0" applyFont="1" applyFill="1" applyBorder="1"/>
    <xf numFmtId="14" fontId="12" fillId="0" borderId="21" xfId="0" applyNumberFormat="1" applyFont="1" applyBorder="1" applyAlignment="1">
      <alignment horizontal="center" vertical="center"/>
    </xf>
    <xf numFmtId="0" fontId="7" fillId="0" borderId="61" xfId="0" applyFont="1" applyBorder="1" applyAlignment="1">
      <alignment horizontal="center" vertical="center"/>
    </xf>
    <xf numFmtId="10" fontId="0" fillId="0" borderId="0" xfId="16" applyNumberFormat="1" applyFont="1"/>
    <xf numFmtId="9" fontId="32" fillId="39" borderId="161" xfId="16" applyFont="1" applyFill="1" applyBorder="1" applyAlignment="1">
      <alignment horizontal="center" vertical="center"/>
    </xf>
    <xf numFmtId="3" fontId="22" fillId="0" borderId="0" xfId="0" applyNumberFormat="1" applyFont="1" applyAlignment="1">
      <alignment horizontal="center" vertical="center"/>
    </xf>
    <xf numFmtId="3" fontId="34" fillId="19" borderId="0" xfId="0" applyNumberFormat="1" applyFont="1" applyFill="1" applyAlignment="1">
      <alignment horizontal="center" vertical="center"/>
    </xf>
    <xf numFmtId="181" fontId="32" fillId="44" borderId="162" xfId="30" applyNumberFormat="1" applyFont="1" applyFill="1" applyBorder="1" applyAlignment="1">
      <alignment horizontal="center" vertical="center"/>
    </xf>
    <xf numFmtId="3" fontId="3" fillId="44" borderId="164" xfId="30" applyNumberFormat="1" applyFill="1" applyBorder="1" applyAlignment="1">
      <alignment horizontal="center" vertical="center"/>
    </xf>
    <xf numFmtId="0" fontId="59" fillId="0" borderId="164" xfId="0" applyFont="1" applyBorder="1" applyAlignment="1">
      <alignment horizontal="center" vertical="center"/>
    </xf>
    <xf numFmtId="0" fontId="59" fillId="0" borderId="50" xfId="0" applyFont="1" applyBorder="1" applyAlignment="1">
      <alignment horizontal="center" vertical="center"/>
    </xf>
    <xf numFmtId="3" fontId="59" fillId="41" borderId="50" xfId="0" applyNumberFormat="1" applyFont="1" applyFill="1" applyBorder="1" applyAlignment="1">
      <alignment horizontal="center" vertical="center"/>
    </xf>
    <xf numFmtId="3" fontId="59" fillId="41" borderId="164" xfId="0" applyNumberFormat="1" applyFont="1" applyFill="1" applyBorder="1" applyAlignment="1">
      <alignment horizontal="center" vertical="center"/>
    </xf>
    <xf numFmtId="0" fontId="62" fillId="0" borderId="164" xfId="0" applyFont="1" applyBorder="1" applyAlignment="1">
      <alignment horizontal="center" vertical="center"/>
    </xf>
    <xf numFmtId="0" fontId="62" fillId="0" borderId="50" xfId="0" applyFont="1" applyBorder="1" applyAlignment="1">
      <alignment horizontal="center" vertical="center"/>
    </xf>
    <xf numFmtId="9" fontId="37" fillId="0" borderId="0" xfId="16" applyFont="1"/>
    <xf numFmtId="183" fontId="10" fillId="3" borderId="6" xfId="32">
      <alignment horizontal="right"/>
    </xf>
    <xf numFmtId="9" fontId="0" fillId="0" borderId="98" xfId="0" applyNumberFormat="1" applyBorder="1" applyAlignment="1">
      <alignment horizontal="center"/>
    </xf>
    <xf numFmtId="9" fontId="12" fillId="0" borderId="76" xfId="0" applyNumberFormat="1" applyFont="1" applyBorder="1" applyAlignment="1">
      <alignment horizontal="center"/>
    </xf>
    <xf numFmtId="9" fontId="12" fillId="0" borderId="77" xfId="0" applyNumberFormat="1" applyFont="1" applyBorder="1" applyAlignment="1">
      <alignment horizontal="center"/>
    </xf>
    <xf numFmtId="9" fontId="7" fillId="0" borderId="81" xfId="0" applyNumberFormat="1" applyFont="1" applyBorder="1" applyAlignment="1">
      <alignment horizontal="center"/>
    </xf>
    <xf numFmtId="9" fontId="7" fillId="0" borderId="86" xfId="0" applyNumberFormat="1" applyFont="1" applyBorder="1" applyAlignment="1">
      <alignment horizontal="center"/>
    </xf>
    <xf numFmtId="9" fontId="7" fillId="0" borderId="89" xfId="0" applyNumberFormat="1" applyFont="1" applyBorder="1" applyAlignment="1">
      <alignment horizontal="center"/>
    </xf>
    <xf numFmtId="0" fontId="9" fillId="0" borderId="54" xfId="11" applyBorder="1" applyAlignment="1" applyProtection="1"/>
    <xf numFmtId="10" fontId="0" fillId="0" borderId="0" xfId="0" applyNumberFormat="1"/>
    <xf numFmtId="4" fontId="31" fillId="12" borderId="120" xfId="7" applyFont="1" applyFill="1" applyBorder="1" applyAlignment="1">
      <alignment horizontal="right" vertical="center"/>
    </xf>
    <xf numFmtId="4" fontId="7" fillId="0" borderId="0" xfId="7" applyFont="1" applyFill="1" applyBorder="1">
      <alignment horizontal="right"/>
    </xf>
    <xf numFmtId="4" fontId="31" fillId="0" borderId="0" xfId="7" applyFont="1" applyFill="1" applyBorder="1">
      <alignment horizontal="right"/>
    </xf>
    <xf numFmtId="4" fontId="31" fillId="9" borderId="120" xfId="7" applyFont="1" applyFill="1" applyBorder="1" applyAlignment="1">
      <alignment horizontal="right" vertical="center"/>
    </xf>
    <xf numFmtId="4" fontId="31" fillId="28" borderId="120" xfId="7" applyFont="1" applyFill="1" applyBorder="1" applyAlignment="1">
      <alignment horizontal="right" vertical="center"/>
    </xf>
    <xf numFmtId="4" fontId="24" fillId="12" borderId="120" xfId="7" applyFont="1" applyFill="1" applyBorder="1" applyAlignment="1">
      <alignment horizontal="right" vertical="center"/>
    </xf>
    <xf numFmtId="1" fontId="59" fillId="42" borderId="155" xfId="0" applyNumberFormat="1" applyFont="1" applyFill="1" applyBorder="1" applyAlignment="1">
      <alignment horizontal="center" vertical="center"/>
    </xf>
    <xf numFmtId="3" fontId="59" fillId="41" borderId="50" xfId="0" quotePrefix="1" applyNumberFormat="1" applyFont="1" applyFill="1" applyBorder="1" applyAlignment="1">
      <alignment horizontal="center" vertical="center"/>
    </xf>
    <xf numFmtId="3" fontId="59" fillId="41" borderId="164" xfId="0" quotePrefix="1" applyNumberFormat="1" applyFont="1" applyFill="1" applyBorder="1" applyAlignment="1">
      <alignment horizontal="center" vertical="center"/>
    </xf>
    <xf numFmtId="1" fontId="54" fillId="41" borderId="41" xfId="0" applyNumberFormat="1" applyFont="1" applyFill="1" applyBorder="1" applyAlignment="1">
      <alignment horizontal="center" vertical="center"/>
    </xf>
    <xf numFmtId="4" fontId="4" fillId="0" borderId="50" xfId="29" applyNumberFormat="1" applyBorder="1" applyAlignment="1">
      <alignment horizontal="center"/>
    </xf>
    <xf numFmtId="0" fontId="25" fillId="0" borderId="0" xfId="0" applyFont="1" applyAlignment="1">
      <alignment horizontal="center"/>
    </xf>
    <xf numFmtId="0" fontId="66" fillId="0" borderId="0" xfId="0" applyFont="1"/>
    <xf numFmtId="0" fontId="0" fillId="0" borderId="50" xfId="0" applyBorder="1"/>
    <xf numFmtId="0" fontId="65" fillId="0" borderId="0" xfId="0" applyFont="1"/>
    <xf numFmtId="3" fontId="54" fillId="0" borderId="41" xfId="0" applyNumberFormat="1" applyFont="1" applyBorder="1" applyAlignment="1">
      <alignment horizontal="center" vertical="center"/>
    </xf>
    <xf numFmtId="0" fontId="54" fillId="0" borderId="41" xfId="0" applyFont="1" applyBorder="1" applyAlignment="1">
      <alignment horizontal="center" vertical="center"/>
    </xf>
    <xf numFmtId="3" fontId="54" fillId="8" borderId="35" xfId="0" applyNumberFormat="1" applyFont="1" applyFill="1" applyBorder="1" applyAlignment="1">
      <alignment horizontal="center" vertical="center"/>
    </xf>
    <xf numFmtId="3" fontId="7" fillId="8" borderId="15" xfId="0" applyNumberFormat="1" applyFont="1" applyFill="1" applyBorder="1" applyAlignment="1">
      <alignment horizontal="center"/>
    </xf>
    <xf numFmtId="181" fontId="32" fillId="39" borderId="50" xfId="16" applyNumberFormat="1" applyFont="1" applyFill="1" applyBorder="1" applyAlignment="1">
      <alignment horizontal="center" vertical="center"/>
    </xf>
    <xf numFmtId="3" fontId="62" fillId="0" borderId="50" xfId="0" applyNumberFormat="1" applyFont="1" applyBorder="1" applyAlignment="1">
      <alignment horizontal="center" vertical="center"/>
    </xf>
    <xf numFmtId="3" fontId="62" fillId="39" borderId="50" xfId="0" applyNumberFormat="1" applyFont="1" applyFill="1" applyBorder="1" applyAlignment="1">
      <alignment horizontal="center" vertical="center"/>
    </xf>
    <xf numFmtId="181" fontId="32" fillId="39" borderId="164" xfId="16" applyNumberFormat="1" applyFont="1" applyFill="1" applyBorder="1" applyAlignment="1">
      <alignment horizontal="center" vertical="center"/>
    </xf>
    <xf numFmtId="3" fontId="62" fillId="0" borderId="164" xfId="0" applyNumberFormat="1" applyFont="1" applyBorder="1" applyAlignment="1">
      <alignment horizontal="center" vertical="center"/>
    </xf>
    <xf numFmtId="3" fontId="62" fillId="39" borderId="164" xfId="0" applyNumberFormat="1" applyFont="1" applyFill="1" applyBorder="1" applyAlignment="1">
      <alignment horizontal="center" vertical="center"/>
    </xf>
    <xf numFmtId="0" fontId="62" fillId="39" borderId="165" xfId="0" applyFont="1" applyFill="1" applyBorder="1" applyAlignment="1">
      <alignment horizontal="center" vertical="center"/>
    </xf>
    <xf numFmtId="181" fontId="32" fillId="44" borderId="181" xfId="30" applyNumberFormat="1" applyFont="1" applyFill="1" applyBorder="1" applyAlignment="1">
      <alignment horizontal="center" vertical="center"/>
    </xf>
    <xf numFmtId="3" fontId="3" fillId="44" borderId="48" xfId="30" applyNumberFormat="1" applyFill="1" applyBorder="1" applyAlignment="1">
      <alignment horizontal="center" vertical="center"/>
    </xf>
    <xf numFmtId="181" fontId="32" fillId="39" borderId="48" xfId="16" applyNumberFormat="1" applyFont="1" applyFill="1" applyBorder="1" applyAlignment="1">
      <alignment horizontal="center" vertical="center"/>
    </xf>
    <xf numFmtId="3" fontId="62" fillId="0" borderId="48" xfId="0" applyNumberFormat="1" applyFont="1" applyBorder="1" applyAlignment="1">
      <alignment horizontal="center" vertical="center"/>
    </xf>
    <xf numFmtId="0" fontId="62" fillId="0" borderId="48" xfId="0" applyFont="1" applyBorder="1" applyAlignment="1">
      <alignment horizontal="center" vertical="center"/>
    </xf>
    <xf numFmtId="3" fontId="62" fillId="39" borderId="48" xfId="0" applyNumberFormat="1" applyFont="1" applyFill="1" applyBorder="1" applyAlignment="1">
      <alignment horizontal="center" vertical="center"/>
    </xf>
    <xf numFmtId="0" fontId="62" fillId="39" borderId="182" xfId="0" applyFont="1" applyFill="1" applyBorder="1" applyAlignment="1">
      <alignment horizontal="center" vertical="center"/>
    </xf>
    <xf numFmtId="1" fontId="54" fillId="0" borderId="50" xfId="0" applyNumberFormat="1" applyFont="1" applyBorder="1" applyAlignment="1">
      <alignment horizontal="center" vertical="center"/>
    </xf>
    <xf numFmtId="1" fontId="59" fillId="0" borderId="50" xfId="0" applyNumberFormat="1" applyFont="1" applyBorder="1" applyAlignment="1">
      <alignment horizontal="center" vertical="center"/>
    </xf>
    <xf numFmtId="1" fontId="54" fillId="0" borderId="164" xfId="0" applyNumberFormat="1" applyFont="1" applyBorder="1" applyAlignment="1">
      <alignment horizontal="center" vertical="center"/>
    </xf>
    <xf numFmtId="1" fontId="54" fillId="0" borderId="155" xfId="0" applyNumberFormat="1" applyFont="1" applyBorder="1" applyAlignment="1">
      <alignment horizontal="center" vertical="center"/>
    </xf>
    <xf numFmtId="1" fontId="59" fillId="0" borderId="164" xfId="0" applyNumberFormat="1" applyFont="1" applyBorder="1" applyAlignment="1">
      <alignment horizontal="center" vertical="center"/>
    </xf>
    <xf numFmtId="1" fontId="59" fillId="0" borderId="155" xfId="0" applyNumberFormat="1" applyFont="1" applyBorder="1" applyAlignment="1">
      <alignment horizontal="center" vertical="center"/>
    </xf>
    <xf numFmtId="1" fontId="62" fillId="39" borderId="165" xfId="0" applyNumberFormat="1" applyFont="1" applyFill="1" applyBorder="1" applyAlignment="1">
      <alignment horizontal="center" vertical="center"/>
    </xf>
    <xf numFmtId="1" fontId="62" fillId="39" borderId="179" xfId="0" applyNumberFormat="1" applyFont="1" applyFill="1" applyBorder="1" applyAlignment="1">
      <alignment horizontal="center" vertical="center"/>
    </xf>
    <xf numFmtId="1" fontId="62" fillId="39" borderId="180" xfId="0" applyNumberFormat="1" applyFont="1" applyFill="1" applyBorder="1" applyAlignment="1">
      <alignment horizontal="center" vertical="center"/>
    </xf>
    <xf numFmtId="181" fontId="7" fillId="0" borderId="162" xfId="16" applyNumberFormat="1" applyFont="1" applyFill="1" applyBorder="1" applyAlignment="1">
      <alignment horizontal="center" vertical="center"/>
    </xf>
    <xf numFmtId="181" fontId="0" fillId="0" borderId="163" xfId="16" applyNumberFormat="1" applyFont="1" applyFill="1" applyBorder="1" applyAlignment="1">
      <alignment horizontal="center" vertical="center"/>
    </xf>
    <xf numFmtId="181" fontId="32" fillId="0" borderId="164" xfId="16" applyNumberFormat="1" applyFont="1" applyFill="1" applyBorder="1" applyAlignment="1">
      <alignment horizontal="center" vertical="center"/>
    </xf>
    <xf numFmtId="1" fontId="62" fillId="0" borderId="164" xfId="0" applyNumberFormat="1" applyFont="1" applyBorder="1" applyAlignment="1">
      <alignment horizontal="center" vertical="center"/>
    </xf>
    <xf numFmtId="1" fontId="62" fillId="0" borderId="50" xfId="0" applyNumberFormat="1" applyFont="1" applyBorder="1" applyAlignment="1">
      <alignment horizontal="center" vertical="center"/>
    </xf>
    <xf numFmtId="1" fontId="62" fillId="0" borderId="155" xfId="0" applyNumberFormat="1" applyFont="1" applyBorder="1" applyAlignment="1">
      <alignment horizontal="center" vertical="center"/>
    </xf>
    <xf numFmtId="0" fontId="59" fillId="0" borderId="48" xfId="0" applyFont="1" applyBorder="1" applyAlignment="1">
      <alignment horizontal="center" vertical="center"/>
    </xf>
    <xf numFmtId="0" fontId="59" fillId="42" borderId="48" xfId="0" applyFont="1" applyFill="1" applyBorder="1" applyAlignment="1">
      <alignment horizontal="center" vertical="center"/>
    </xf>
    <xf numFmtId="3" fontId="59" fillId="41" borderId="48" xfId="0" quotePrefix="1" applyNumberFormat="1" applyFont="1" applyFill="1" applyBorder="1" applyAlignment="1">
      <alignment horizontal="center" vertical="center"/>
    </xf>
    <xf numFmtId="3" fontId="59" fillId="41" borderId="48" xfId="0" applyNumberFormat="1" applyFont="1" applyFill="1" applyBorder="1" applyAlignment="1">
      <alignment horizontal="center" vertical="center"/>
    </xf>
    <xf numFmtId="1" fontId="59" fillId="42" borderId="50" xfId="0" applyNumberFormat="1" applyFont="1" applyFill="1" applyBorder="1" applyAlignment="1">
      <alignment horizontal="center" vertical="center"/>
    </xf>
    <xf numFmtId="1" fontId="59" fillId="42" borderId="164" xfId="0" applyNumberFormat="1" applyFont="1" applyFill="1" applyBorder="1" applyAlignment="1">
      <alignment horizontal="center" vertical="center"/>
    </xf>
    <xf numFmtId="0" fontId="7" fillId="0" borderId="164" xfId="0" quotePrefix="1" applyFont="1" applyBorder="1" applyAlignment="1">
      <alignment horizontal="center" vertical="center"/>
    </xf>
    <xf numFmtId="1" fontId="54" fillId="41" borderId="50" xfId="0" applyNumberFormat="1" applyFont="1" applyFill="1" applyBorder="1" applyAlignment="1">
      <alignment horizontal="center" vertical="center"/>
    </xf>
    <xf numFmtId="1" fontId="54" fillId="41" borderId="161" xfId="0" applyNumberFormat="1" applyFont="1" applyFill="1" applyBorder="1" applyAlignment="1">
      <alignment horizontal="center" vertical="center"/>
    </xf>
    <xf numFmtId="1" fontId="54" fillId="41" borderId="162" xfId="0" applyNumberFormat="1" applyFont="1" applyFill="1" applyBorder="1" applyAlignment="1">
      <alignment horizontal="center" vertical="center"/>
    </xf>
    <xf numFmtId="1" fontId="54" fillId="41" borderId="164" xfId="0" applyNumberFormat="1" applyFont="1" applyFill="1" applyBorder="1" applyAlignment="1">
      <alignment horizontal="center" vertical="center"/>
    </xf>
    <xf numFmtId="1" fontId="54" fillId="41" borderId="165" xfId="0" applyNumberFormat="1" applyFont="1" applyFill="1" applyBorder="1" applyAlignment="1">
      <alignment horizontal="center" vertical="center"/>
    </xf>
    <xf numFmtId="1" fontId="54" fillId="41" borderId="179" xfId="0" applyNumberFormat="1" applyFont="1" applyFill="1" applyBorder="1" applyAlignment="1">
      <alignment horizontal="center" vertical="center"/>
    </xf>
    <xf numFmtId="1" fontId="54" fillId="41" borderId="181" xfId="0" applyNumberFormat="1" applyFont="1" applyFill="1" applyBorder="1" applyAlignment="1">
      <alignment horizontal="center" vertical="center"/>
    </xf>
    <xf numFmtId="1" fontId="54" fillId="41" borderId="48" xfId="0" applyNumberFormat="1" applyFont="1" applyFill="1" applyBorder="1" applyAlignment="1">
      <alignment horizontal="center" vertical="center"/>
    </xf>
    <xf numFmtId="1" fontId="54" fillId="41" borderId="182" xfId="0" applyNumberFormat="1" applyFont="1" applyFill="1" applyBorder="1" applyAlignment="1">
      <alignment horizontal="center" vertical="center"/>
    </xf>
    <xf numFmtId="1" fontId="0" fillId="0" borderId="50" xfId="0" applyNumberFormat="1" applyBorder="1" applyAlignment="1">
      <alignment horizontal="center" vertical="center"/>
    </xf>
    <xf numFmtId="1" fontId="0" fillId="0" borderId="161" xfId="0" applyNumberFormat="1" applyBorder="1" applyAlignment="1">
      <alignment horizontal="center" vertical="center"/>
    </xf>
    <xf numFmtId="1" fontId="0" fillId="0" borderId="162" xfId="0" applyNumberFormat="1" applyBorder="1" applyAlignment="1">
      <alignment horizontal="center" vertical="center"/>
    </xf>
    <xf numFmtId="1" fontId="0" fillId="0" borderId="163" xfId="0" applyNumberFormat="1" applyBorder="1" applyAlignment="1">
      <alignment horizontal="center" vertical="center"/>
    </xf>
    <xf numFmtId="1" fontId="0" fillId="0" borderId="164" xfId="0" applyNumberFormat="1" applyBorder="1" applyAlignment="1">
      <alignment horizontal="center" vertical="center"/>
    </xf>
    <xf numFmtId="1" fontId="0" fillId="0" borderId="155" xfId="0" applyNumberFormat="1" applyBorder="1" applyAlignment="1">
      <alignment horizontal="center" vertical="center"/>
    </xf>
    <xf numFmtId="1" fontId="0" fillId="0" borderId="165" xfId="0" applyNumberFormat="1" applyBorder="1" applyAlignment="1">
      <alignment horizontal="center" vertical="center"/>
    </xf>
    <xf numFmtId="1" fontId="0" fillId="0" borderId="179" xfId="0" applyNumberFormat="1" applyBorder="1" applyAlignment="1">
      <alignment horizontal="center" vertical="center"/>
    </xf>
    <xf numFmtId="1" fontId="0" fillId="0" borderId="180" xfId="0" applyNumberFormat="1" applyBorder="1" applyAlignment="1">
      <alignment horizontal="center" vertical="center"/>
    </xf>
    <xf numFmtId="1" fontId="54" fillId="41" borderId="153" xfId="0" applyNumberFormat="1" applyFont="1" applyFill="1" applyBorder="1" applyAlignment="1">
      <alignment horizontal="center" vertical="center"/>
    </xf>
    <xf numFmtId="1" fontId="54" fillId="41" borderId="154" xfId="0" applyNumberFormat="1" applyFont="1" applyFill="1" applyBorder="1" applyAlignment="1">
      <alignment horizontal="center" vertical="center"/>
    </xf>
    <xf numFmtId="1" fontId="54" fillId="41" borderId="156" xfId="0" applyNumberFormat="1" applyFont="1" applyFill="1" applyBorder="1" applyAlignment="1">
      <alignment horizontal="center" vertical="center"/>
    </xf>
    <xf numFmtId="1" fontId="54" fillId="41" borderId="157" xfId="0" applyNumberFormat="1" applyFont="1" applyFill="1" applyBorder="1" applyAlignment="1">
      <alignment horizontal="center" vertical="center"/>
    </xf>
    <xf numFmtId="1" fontId="54" fillId="41" borderId="158" xfId="0" applyNumberFormat="1" applyFont="1" applyFill="1" applyBorder="1" applyAlignment="1">
      <alignment horizontal="center" vertical="center"/>
    </xf>
    <xf numFmtId="1" fontId="54" fillId="0" borderId="162" xfId="0" applyNumberFormat="1" applyFont="1" applyBorder="1" applyAlignment="1">
      <alignment horizontal="center" vertical="center"/>
    </xf>
    <xf numFmtId="1" fontId="54" fillId="0" borderId="163" xfId="0" applyNumberFormat="1" applyFont="1" applyBorder="1" applyAlignment="1">
      <alignment horizontal="center" vertical="center"/>
    </xf>
    <xf numFmtId="4" fontId="4" fillId="0" borderId="164" xfId="29" applyNumberFormat="1" applyBorder="1" applyAlignment="1">
      <alignment horizontal="center"/>
    </xf>
    <xf numFmtId="4" fontId="4" fillId="0" borderId="155" xfId="29" applyNumberFormat="1" applyBorder="1" applyAlignment="1">
      <alignment horizontal="center"/>
    </xf>
    <xf numFmtId="4" fontId="4" fillId="0" borderId="165" xfId="29" applyNumberFormat="1" applyBorder="1" applyAlignment="1">
      <alignment horizontal="center"/>
    </xf>
    <xf numFmtId="4" fontId="4" fillId="0" borderId="179" xfId="29" applyNumberFormat="1" applyBorder="1" applyAlignment="1">
      <alignment horizontal="center"/>
    </xf>
    <xf numFmtId="4" fontId="4" fillId="0" borderId="180" xfId="29" applyNumberFormat="1" applyBorder="1" applyAlignment="1">
      <alignment horizontal="center"/>
    </xf>
    <xf numFmtId="9" fontId="0" fillId="0" borderId="0" xfId="16" applyFont="1" applyBorder="1" applyAlignment="1">
      <alignment horizontal="left"/>
    </xf>
    <xf numFmtId="3" fontId="59" fillId="0" borderId="48" xfId="0" applyNumberFormat="1" applyFont="1" applyBorder="1" applyAlignment="1">
      <alignment horizontal="center" vertical="center"/>
    </xf>
    <xf numFmtId="3" fontId="59" fillId="0" borderId="50" xfId="0" applyNumberFormat="1" applyFont="1" applyBorder="1" applyAlignment="1">
      <alignment horizontal="center" vertical="center"/>
    </xf>
    <xf numFmtId="3" fontId="59" fillId="0" borderId="164" xfId="0" applyNumberFormat="1" applyFont="1" applyBorder="1" applyAlignment="1">
      <alignment horizontal="center" vertical="center"/>
    </xf>
    <xf numFmtId="2" fontId="7" fillId="24" borderId="19" xfId="0" applyNumberFormat="1" applyFont="1" applyFill="1" applyBorder="1" applyAlignment="1">
      <alignment horizontal="center"/>
    </xf>
    <xf numFmtId="0" fontId="22" fillId="0" borderId="0" xfId="0" applyFont="1" applyAlignment="1">
      <alignment horizontal="center" vertical="center"/>
    </xf>
    <xf numFmtId="3" fontId="34" fillId="19" borderId="0" xfId="21" applyNumberFormat="1" applyFont="1" applyFill="1" applyAlignment="1">
      <alignment horizontal="center" vertical="center"/>
    </xf>
    <xf numFmtId="3" fontId="35" fillId="19" borderId="0" xfId="21" applyNumberFormat="1" applyFont="1" applyFill="1" applyAlignment="1">
      <alignment horizontal="center" vertical="center"/>
    </xf>
    <xf numFmtId="3" fontId="35" fillId="19" borderId="0" xfId="0" applyNumberFormat="1" applyFont="1" applyFill="1" applyAlignment="1">
      <alignment horizontal="center" vertical="center"/>
    </xf>
    <xf numFmtId="3" fontId="34" fillId="0" borderId="0" xfId="0" applyNumberFormat="1" applyFont="1" applyAlignment="1">
      <alignment horizontal="center" vertical="center"/>
    </xf>
    <xf numFmtId="4" fontId="34" fillId="19" borderId="0" xfId="0" applyNumberFormat="1" applyFont="1" applyFill="1" applyAlignment="1">
      <alignment horizontal="center" vertical="center"/>
    </xf>
    <xf numFmtId="4" fontId="34" fillId="19" borderId="0" xfId="21" applyNumberFormat="1" applyFont="1" applyFill="1" applyAlignment="1">
      <alignment horizontal="center" vertical="center"/>
    </xf>
    <xf numFmtId="0" fontId="0" fillId="0" borderId="0" xfId="0" applyAlignment="1">
      <alignment horizontal="center" vertical="center"/>
    </xf>
    <xf numFmtId="0" fontId="25" fillId="0" borderId="0" xfId="0" applyFont="1" applyAlignment="1">
      <alignment horizontal="center" vertical="center"/>
    </xf>
    <xf numFmtId="0" fontId="7" fillId="8" borderId="19" xfId="0" applyFont="1" applyFill="1" applyBorder="1" applyAlignment="1">
      <alignment horizontal="center" vertical="center" wrapText="1"/>
    </xf>
    <xf numFmtId="0" fontId="33" fillId="8" borderId="19" xfId="0" applyFont="1" applyFill="1" applyBorder="1" applyAlignment="1">
      <alignment horizontal="center" vertical="center" wrapText="1"/>
    </xf>
    <xf numFmtId="186" fontId="0" fillId="0" borderId="105" xfId="0" applyNumberFormat="1" applyBorder="1" applyAlignment="1">
      <alignment horizontal="center" wrapText="1"/>
    </xf>
    <xf numFmtId="2" fontId="0" fillId="24" borderId="103" xfId="0" applyNumberFormat="1" applyFill="1" applyBorder="1" applyAlignment="1">
      <alignment horizontal="center"/>
    </xf>
    <xf numFmtId="2" fontId="0" fillId="24" borderId="105" xfId="0" applyNumberFormat="1" applyFill="1" applyBorder="1" applyAlignment="1">
      <alignment horizontal="center"/>
    </xf>
    <xf numFmtId="2" fontId="0" fillId="24" borderId="104" xfId="0" applyNumberFormat="1" applyFill="1" applyBorder="1" applyAlignment="1">
      <alignment horizontal="center"/>
    </xf>
    <xf numFmtId="182" fontId="0" fillId="24" borderId="103" xfId="0" applyNumberFormat="1" applyFill="1" applyBorder="1" applyAlignment="1">
      <alignment horizontal="center"/>
    </xf>
    <xf numFmtId="182" fontId="0" fillId="24" borderId="105" xfId="0" applyNumberFormat="1" applyFill="1" applyBorder="1" applyAlignment="1">
      <alignment horizontal="center"/>
    </xf>
    <xf numFmtId="0" fontId="47" fillId="9" borderId="76" xfId="0" applyFont="1" applyFill="1" applyBorder="1" applyAlignment="1">
      <alignment horizontal="center" vertical="center" wrapText="1"/>
    </xf>
    <xf numFmtId="0" fontId="47" fillId="10" borderId="77" xfId="0" applyFont="1" applyFill="1" applyBorder="1" applyAlignment="1">
      <alignment horizontal="center" vertical="center" wrapText="1"/>
    </xf>
    <xf numFmtId="0" fontId="47" fillId="11" borderId="77" xfId="0" applyFont="1" applyFill="1" applyBorder="1" applyAlignment="1">
      <alignment horizontal="center" vertical="center" wrapText="1"/>
    </xf>
    <xf numFmtId="0" fontId="47" fillId="15" borderId="77" xfId="0" applyFont="1" applyFill="1" applyBorder="1" applyAlignment="1">
      <alignment horizontal="center" vertical="center" wrapText="1"/>
    </xf>
    <xf numFmtId="0" fontId="47" fillId="23" borderId="106" xfId="0" applyFont="1" applyFill="1" applyBorder="1" applyAlignment="1">
      <alignment horizontal="center" vertical="center" wrapText="1"/>
    </xf>
    <xf numFmtId="0" fontId="47" fillId="16" borderId="77" xfId="0" applyFont="1" applyFill="1" applyBorder="1" applyAlignment="1">
      <alignment horizontal="center" vertical="center" wrapText="1"/>
    </xf>
    <xf numFmtId="0" fontId="47" fillId="10" borderId="68" xfId="0" applyFont="1" applyFill="1" applyBorder="1" applyAlignment="1">
      <alignment horizontal="center" vertical="center" wrapText="1"/>
    </xf>
    <xf numFmtId="0" fontId="47" fillId="11" borderId="68" xfId="0" applyFont="1" applyFill="1" applyBorder="1" applyAlignment="1">
      <alignment horizontal="center" vertical="center" wrapText="1"/>
    </xf>
    <xf numFmtId="0" fontId="47" fillId="15" borderId="68" xfId="0" applyFont="1" applyFill="1" applyBorder="1" applyAlignment="1">
      <alignment horizontal="center" vertical="center" wrapText="1"/>
    </xf>
    <xf numFmtId="0" fontId="47" fillId="23" borderId="68" xfId="0" applyFont="1" applyFill="1" applyBorder="1" applyAlignment="1">
      <alignment horizontal="center" vertical="center" wrapText="1"/>
    </xf>
    <xf numFmtId="0" fontId="47" fillId="16" borderId="68" xfId="0" applyFont="1" applyFill="1" applyBorder="1" applyAlignment="1">
      <alignment horizontal="center" vertical="center" wrapText="1"/>
    </xf>
    <xf numFmtId="0" fontId="56" fillId="0" borderId="0" xfId="0" applyFont="1" applyAlignment="1">
      <alignment horizontal="center" vertical="center"/>
    </xf>
    <xf numFmtId="14" fontId="12" fillId="0" borderId="20" xfId="0" applyNumberFormat="1" applyFont="1" applyBorder="1" applyAlignment="1">
      <alignment horizontal="center" vertical="center"/>
    </xf>
    <xf numFmtId="14" fontId="12" fillId="0" borderId="58" xfId="0" applyNumberFormat="1" applyFont="1" applyBorder="1" applyAlignment="1">
      <alignment horizontal="center" vertical="center"/>
    </xf>
    <xf numFmtId="0" fontId="0" fillId="0" borderId="0" xfId="0" applyAlignment="1">
      <alignment horizontal="left"/>
    </xf>
    <xf numFmtId="2" fontId="7" fillId="24" borderId="56" xfId="0" applyNumberFormat="1" applyFont="1" applyFill="1" applyBorder="1" applyAlignment="1">
      <alignment horizontal="center"/>
    </xf>
    <xf numFmtId="2" fontId="32" fillId="24" borderId="56" xfId="16" applyNumberFormat="1" applyFont="1" applyFill="1" applyBorder="1" applyAlignment="1">
      <alignment horizontal="center"/>
    </xf>
    <xf numFmtId="0" fontId="7" fillId="7" borderId="183" xfId="0" applyFont="1" applyFill="1" applyBorder="1"/>
    <xf numFmtId="0" fontId="26" fillId="32" borderId="63" xfId="0" applyFont="1" applyFill="1" applyBorder="1" applyAlignment="1">
      <alignment horizontal="center"/>
    </xf>
    <xf numFmtId="0" fontId="12" fillId="0" borderId="63" xfId="0" applyFont="1" applyBorder="1" applyAlignment="1">
      <alignment horizontal="center"/>
    </xf>
    <xf numFmtId="180" fontId="12" fillId="24" borderId="23" xfId="0" applyNumberFormat="1" applyFont="1" applyFill="1" applyBorder="1" applyAlignment="1">
      <alignment horizontal="center"/>
    </xf>
    <xf numFmtId="2" fontId="32" fillId="24" borderId="63" xfId="16" applyNumberFormat="1" applyFont="1" applyFill="1" applyBorder="1" applyAlignment="1">
      <alignment horizontal="center"/>
    </xf>
    <xf numFmtId="10" fontId="64" fillId="8" borderId="63" xfId="0" applyNumberFormat="1" applyFont="1" applyFill="1" applyBorder="1" applyAlignment="1">
      <alignment horizontal="center"/>
    </xf>
    <xf numFmtId="10" fontId="7" fillId="0" borderId="131" xfId="0" applyNumberFormat="1" applyFont="1" applyBorder="1" applyAlignment="1">
      <alignment horizontal="center" vertical="center"/>
    </xf>
    <xf numFmtId="10" fontId="7" fillId="0" borderId="5" xfId="0" applyNumberFormat="1" applyFont="1" applyBorder="1" applyAlignment="1">
      <alignment horizontal="center" vertical="center"/>
    </xf>
    <xf numFmtId="10" fontId="0" fillId="0" borderId="126" xfId="0" applyNumberFormat="1" applyBorder="1" applyAlignment="1">
      <alignment horizontal="center" vertical="center"/>
    </xf>
    <xf numFmtId="10" fontId="0" fillId="0" borderId="124" xfId="0" applyNumberFormat="1" applyBorder="1" applyAlignment="1">
      <alignment horizontal="center" vertical="center"/>
    </xf>
    <xf numFmtId="10" fontId="0" fillId="0" borderId="130" xfId="0" applyNumberFormat="1" applyBorder="1" applyAlignment="1">
      <alignment horizontal="center" vertical="center"/>
    </xf>
    <xf numFmtId="10" fontId="7" fillId="0" borderId="124" xfId="0" applyNumberFormat="1" applyFont="1" applyBorder="1" applyAlignment="1">
      <alignment horizontal="center" vertical="center"/>
    </xf>
    <xf numFmtId="1" fontId="59" fillId="41" borderId="165" xfId="0" applyNumberFormat="1" applyFont="1" applyFill="1" applyBorder="1" applyAlignment="1">
      <alignment horizontal="center" vertical="center"/>
    </xf>
    <xf numFmtId="1" fontId="59" fillId="41" borderId="179" xfId="0" applyNumberFormat="1" applyFont="1" applyFill="1" applyBorder="1" applyAlignment="1">
      <alignment horizontal="center" vertical="center"/>
    </xf>
    <xf numFmtId="10" fontId="7" fillId="0" borderId="126" xfId="0" applyNumberFormat="1" applyFont="1" applyBorder="1" applyAlignment="1">
      <alignment horizontal="center" vertical="center"/>
    </xf>
    <xf numFmtId="0" fontId="54" fillId="0" borderId="140" xfId="0" applyFont="1" applyBorder="1"/>
    <xf numFmtId="10" fontId="4" fillId="0" borderId="0" xfId="29" quotePrefix="1" applyNumberFormat="1" applyAlignment="1">
      <alignment horizontal="right"/>
    </xf>
    <xf numFmtId="0" fontId="0" fillId="0" borderId="50" xfId="0" applyBorder="1" applyAlignment="1">
      <alignment horizontal="center"/>
    </xf>
    <xf numFmtId="180" fontId="0" fillId="0" borderId="50" xfId="0" applyNumberFormat="1" applyBorder="1" applyAlignment="1">
      <alignment horizontal="center"/>
    </xf>
    <xf numFmtId="181" fontId="65" fillId="0" borderId="50" xfId="16" applyNumberFormat="1" applyFont="1" applyBorder="1" applyAlignment="1">
      <alignment horizontal="center"/>
    </xf>
    <xf numFmtId="0" fontId="65" fillId="0" borderId="50" xfId="0" applyFont="1" applyBorder="1"/>
    <xf numFmtId="178" fontId="65" fillId="0" borderId="50" xfId="0" applyNumberFormat="1" applyFont="1" applyBorder="1" applyAlignment="1">
      <alignment horizontal="center"/>
    </xf>
    <xf numFmtId="9" fontId="0" fillId="0" borderId="0" xfId="16" applyFont="1" applyAlignment="1">
      <alignment horizontal="left"/>
    </xf>
    <xf numFmtId="0" fontId="54" fillId="0" borderId="37" xfId="0" applyFont="1" applyBorder="1"/>
    <xf numFmtId="4" fontId="4" fillId="0" borderId="49" xfId="29" applyNumberFormat="1" applyBorder="1" applyAlignment="1">
      <alignment horizontal="center"/>
    </xf>
    <xf numFmtId="0" fontId="54" fillId="0" borderId="184" xfId="0" applyFont="1" applyBorder="1"/>
    <xf numFmtId="0" fontId="54" fillId="0" borderId="38" xfId="0" applyFont="1" applyBorder="1"/>
    <xf numFmtId="2" fontId="25" fillId="18" borderId="105" xfId="0" applyNumberFormat="1" applyFont="1" applyFill="1" applyBorder="1" applyAlignment="1">
      <alignment horizontal="center"/>
    </xf>
    <xf numFmtId="2" fontId="25" fillId="18" borderId="104" xfId="0" applyNumberFormat="1" applyFont="1" applyFill="1" applyBorder="1" applyAlignment="1">
      <alignment horizontal="center"/>
    </xf>
    <xf numFmtId="2" fontId="25" fillId="31" borderId="77" xfId="16" applyNumberFormat="1" applyFont="1" applyFill="1" applyBorder="1" applyAlignment="1">
      <alignment horizontal="center" vertical="center"/>
    </xf>
    <xf numFmtId="2" fontId="25" fillId="18" borderId="103" xfId="0" applyNumberFormat="1" applyFont="1" applyFill="1" applyBorder="1" applyAlignment="1">
      <alignment horizontal="center"/>
    </xf>
    <xf numFmtId="3" fontId="68" fillId="0" borderId="164" xfId="0" quotePrefix="1" applyNumberFormat="1" applyFont="1" applyBorder="1" applyAlignment="1">
      <alignment horizontal="center" vertical="center"/>
    </xf>
    <xf numFmtId="3" fontId="68" fillId="0" borderId="50" xfId="0" quotePrefix="1" applyNumberFormat="1" applyFont="1" applyBorder="1" applyAlignment="1">
      <alignment horizontal="center" vertical="center"/>
    </xf>
    <xf numFmtId="3" fontId="68" fillId="0" borderId="155" xfId="0" quotePrefix="1" applyNumberFormat="1" applyFont="1" applyBorder="1" applyAlignment="1">
      <alignment horizontal="center" vertical="center"/>
    </xf>
    <xf numFmtId="1" fontId="54" fillId="41" borderId="129" xfId="0" applyNumberFormat="1" applyFont="1" applyFill="1" applyBorder="1" applyAlignment="1">
      <alignment horizontal="center" vertical="center"/>
    </xf>
    <xf numFmtId="1" fontId="54" fillId="41" borderId="186" xfId="0" applyNumberFormat="1" applyFont="1" applyFill="1" applyBorder="1" applyAlignment="1">
      <alignment horizontal="center" vertical="center"/>
    </xf>
    <xf numFmtId="3" fontId="60" fillId="12" borderId="0" xfId="0" applyNumberFormat="1" applyFont="1" applyFill="1" applyAlignment="1">
      <alignment horizontal="center" vertical="center"/>
    </xf>
    <xf numFmtId="3" fontId="60" fillId="12" borderId="188" xfId="0" applyNumberFormat="1" applyFont="1" applyFill="1" applyBorder="1" applyAlignment="1">
      <alignment horizontal="center" vertical="center"/>
    </xf>
    <xf numFmtId="0" fontId="65" fillId="0" borderId="0" xfId="29" applyFont="1" applyAlignment="1">
      <alignment horizontal="center" vertical="center"/>
    </xf>
    <xf numFmtId="0" fontId="4" fillId="0" borderId="0" xfId="29"/>
    <xf numFmtId="0" fontId="4" fillId="0" borderId="39" xfId="29" applyBorder="1"/>
    <xf numFmtId="0" fontId="54" fillId="0" borderId="190" xfId="0" applyFont="1" applyBorder="1"/>
    <xf numFmtId="0" fontId="56" fillId="0" borderId="127" xfId="0" applyFont="1" applyBorder="1" applyAlignment="1">
      <alignment horizontal="center" vertical="center"/>
    </xf>
    <xf numFmtId="0" fontId="56" fillId="0" borderId="128" xfId="0" applyFont="1" applyBorder="1" applyAlignment="1">
      <alignment horizontal="center" vertical="center"/>
    </xf>
    <xf numFmtId="0" fontId="54" fillId="0" borderId="191" xfId="0" applyFont="1" applyBorder="1"/>
    <xf numFmtId="0" fontId="54" fillId="0" borderId="126" xfId="0" applyFont="1" applyBorder="1" applyAlignment="1">
      <alignment horizontal="center" vertical="center"/>
    </xf>
    <xf numFmtId="0" fontId="54" fillId="0" borderId="192" xfId="0" applyFont="1" applyBorder="1"/>
    <xf numFmtId="0" fontId="54" fillId="0" borderId="130" xfId="0" applyFont="1" applyBorder="1" applyAlignment="1">
      <alignment horizontal="center" vertical="center"/>
    </xf>
    <xf numFmtId="10" fontId="0" fillId="0" borderId="0" xfId="0" applyNumberFormat="1" applyAlignment="1">
      <alignment horizontal="center" vertical="center"/>
    </xf>
    <xf numFmtId="0" fontId="54" fillId="0" borderId="127" xfId="0" applyFont="1" applyBorder="1" applyAlignment="1">
      <alignment horizontal="center" vertical="center"/>
    </xf>
    <xf numFmtId="0" fontId="54" fillId="0" borderId="126" xfId="0" applyFont="1" applyBorder="1"/>
    <xf numFmtId="0" fontId="56" fillId="0" borderId="50" xfId="0" applyFont="1" applyBorder="1"/>
    <xf numFmtId="9" fontId="22" fillId="0" borderId="0" xfId="16" applyFont="1" applyAlignment="1">
      <alignment horizontal="center" vertical="center"/>
    </xf>
    <xf numFmtId="9" fontId="34" fillId="0" borderId="0" xfId="16" applyFont="1" applyAlignment="1">
      <alignment horizontal="center" vertical="center"/>
    </xf>
    <xf numFmtId="1" fontId="59" fillId="42" borderId="153" xfId="0" applyNumberFormat="1" applyFont="1" applyFill="1" applyBorder="1" applyAlignment="1">
      <alignment horizontal="center" vertical="center"/>
    </xf>
    <xf numFmtId="1" fontId="59" fillId="42" borderId="2" xfId="0" applyNumberFormat="1" applyFont="1" applyFill="1" applyBorder="1" applyAlignment="1">
      <alignment horizontal="center" vertical="center"/>
    </xf>
    <xf numFmtId="1" fontId="59" fillId="42" borderId="185" xfId="0" applyNumberFormat="1" applyFont="1" applyFill="1" applyBorder="1" applyAlignment="1">
      <alignment horizontal="center" vertical="center"/>
    </xf>
    <xf numFmtId="181" fontId="37" fillId="0" borderId="0" xfId="0" applyNumberFormat="1" applyFont="1"/>
    <xf numFmtId="10" fontId="54" fillId="0" borderId="126" xfId="0" applyNumberFormat="1" applyFont="1" applyBorder="1" applyAlignment="1">
      <alignment horizontal="center" vertical="center"/>
    </xf>
    <xf numFmtId="10" fontId="0" fillId="0" borderId="126" xfId="16" applyNumberFormat="1" applyFont="1" applyFill="1" applyBorder="1" applyAlignment="1">
      <alignment horizontal="center" vertical="center"/>
    </xf>
    <xf numFmtId="1" fontId="54" fillId="41" borderId="193" xfId="0" applyNumberFormat="1" applyFont="1" applyFill="1" applyBorder="1" applyAlignment="1">
      <alignment horizontal="center" vertical="center"/>
    </xf>
    <xf numFmtId="0" fontId="54" fillId="41" borderId="40" xfId="0" applyFont="1" applyFill="1" applyBorder="1" applyAlignment="1">
      <alignment horizontal="center" vertical="center"/>
    </xf>
    <xf numFmtId="1" fontId="54" fillId="41" borderId="194" xfId="0" applyNumberFormat="1" applyFont="1" applyFill="1" applyBorder="1" applyAlignment="1">
      <alignment horizontal="center" vertical="center"/>
    </xf>
    <xf numFmtId="1" fontId="54" fillId="41" borderId="195" xfId="0" applyNumberFormat="1" applyFont="1" applyFill="1" applyBorder="1" applyAlignment="1">
      <alignment horizontal="center" vertical="center"/>
    </xf>
    <xf numFmtId="1" fontId="54" fillId="41" borderId="196" xfId="0" applyNumberFormat="1" applyFont="1" applyFill="1" applyBorder="1" applyAlignment="1">
      <alignment horizontal="center" vertical="center"/>
    </xf>
    <xf numFmtId="1" fontId="0" fillId="0" borderId="197" xfId="0" applyNumberFormat="1" applyBorder="1" applyAlignment="1">
      <alignment horizontal="center" vertical="center"/>
    </xf>
    <xf numFmtId="1" fontId="0" fillId="0" borderId="49" xfId="0" applyNumberFormat="1" applyBorder="1" applyAlignment="1">
      <alignment horizontal="center" vertical="center"/>
    </xf>
    <xf numFmtId="1" fontId="0" fillId="0" borderId="198" xfId="0" applyNumberFormat="1" applyBorder="1" applyAlignment="1">
      <alignment horizontal="center" vertical="center"/>
    </xf>
    <xf numFmtId="4" fontId="4" fillId="0" borderId="198" xfId="29" applyNumberFormat="1" applyBorder="1" applyAlignment="1">
      <alignment horizontal="center"/>
    </xf>
    <xf numFmtId="4" fontId="4" fillId="0" borderId="1" xfId="29" applyNumberFormat="1" applyBorder="1" applyAlignment="1">
      <alignment horizontal="center"/>
    </xf>
    <xf numFmtId="4" fontId="4" fillId="0" borderId="48" xfId="29" applyNumberFormat="1" applyBorder="1" applyAlignment="1">
      <alignment horizontal="center"/>
    </xf>
    <xf numFmtId="4" fontId="4" fillId="0" borderId="199" xfId="29" applyNumberFormat="1" applyBorder="1" applyAlignment="1">
      <alignment horizontal="center"/>
    </xf>
    <xf numFmtId="2" fontId="0" fillId="24" borderId="63" xfId="0" applyNumberFormat="1" applyFill="1" applyBorder="1" applyAlignment="1">
      <alignment horizontal="center"/>
    </xf>
    <xf numFmtId="180" fontId="0" fillId="24" borderId="23" xfId="0" applyNumberFormat="1" applyFill="1" applyBorder="1" applyAlignment="1">
      <alignment horizontal="center"/>
    </xf>
    <xf numFmtId="181" fontId="0" fillId="8" borderId="23" xfId="25" applyNumberFormat="1" applyFont="1" applyFill="1" applyBorder="1" applyAlignment="1">
      <alignment horizontal="center"/>
    </xf>
    <xf numFmtId="181" fontId="0" fillId="8" borderId="23" xfId="16" quotePrefix="1" applyNumberFormat="1" applyFont="1" applyFill="1" applyBorder="1" applyAlignment="1">
      <alignment horizontal="center"/>
    </xf>
    <xf numFmtId="182" fontId="0" fillId="24" borderId="23" xfId="0" applyNumberFormat="1" applyFill="1" applyBorder="1" applyAlignment="1">
      <alignment horizontal="center"/>
    </xf>
    <xf numFmtId="182" fontId="0" fillId="24" borderId="23" xfId="16" applyNumberFormat="1" applyFont="1" applyFill="1" applyBorder="1" applyAlignment="1">
      <alignment horizontal="center"/>
    </xf>
    <xf numFmtId="181" fontId="0" fillId="24" borderId="23" xfId="16" applyNumberFormat="1" applyFont="1" applyFill="1" applyBorder="1" applyAlignment="1">
      <alignment horizontal="center"/>
    </xf>
    <xf numFmtId="2" fontId="0" fillId="24" borderId="23" xfId="16" applyNumberFormat="1" applyFont="1" applyFill="1" applyBorder="1" applyAlignment="1">
      <alignment horizontal="center"/>
    </xf>
    <xf numFmtId="181" fontId="0" fillId="8" borderId="23" xfId="16" applyNumberFormat="1" applyFont="1" applyFill="1" applyBorder="1" applyAlignment="1">
      <alignment horizontal="center"/>
    </xf>
    <xf numFmtId="0" fontId="0" fillId="0" borderId="22" xfId="0" quotePrefix="1" applyBorder="1"/>
    <xf numFmtId="10" fontId="0" fillId="8" borderId="23" xfId="16" applyNumberFormat="1" applyFont="1" applyFill="1" applyBorder="1" applyAlignment="1">
      <alignment horizontal="center"/>
    </xf>
    <xf numFmtId="0" fontId="0" fillId="0" borderId="22" xfId="0" applyBorder="1"/>
    <xf numFmtId="0" fontId="0" fillId="0" borderId="62" xfId="0" applyBorder="1" applyAlignment="1">
      <alignment horizontal="center" vertical="center"/>
    </xf>
    <xf numFmtId="1" fontId="59" fillId="0" borderId="153" xfId="0" applyNumberFormat="1" applyFont="1" applyBorder="1" applyAlignment="1">
      <alignment horizontal="center" vertical="center"/>
    </xf>
    <xf numFmtId="1" fontId="59" fillId="0" borderId="2" xfId="0" applyNumberFormat="1" applyFont="1" applyBorder="1" applyAlignment="1">
      <alignment horizontal="center" vertical="center"/>
    </xf>
    <xf numFmtId="1" fontId="7" fillId="0" borderId="187" xfId="0" applyNumberFormat="1" applyFont="1" applyBorder="1" applyAlignment="1">
      <alignment horizontal="center" vertical="center"/>
    </xf>
    <xf numFmtId="10" fontId="69" fillId="35" borderId="120" xfId="26" applyNumberFormat="1" applyFont="1" applyFill="1" applyBorder="1"/>
    <xf numFmtId="187" fontId="7" fillId="0" borderId="120" xfId="26" applyNumberFormat="1" applyBorder="1"/>
    <xf numFmtId="181" fontId="54" fillId="0" borderId="0" xfId="16" applyNumberFormat="1" applyFont="1"/>
    <xf numFmtId="3" fontId="68" fillId="39" borderId="164" xfId="0" quotePrefix="1" applyNumberFormat="1" applyFont="1" applyFill="1" applyBorder="1" applyAlignment="1">
      <alignment horizontal="center" vertical="center"/>
    </xf>
    <xf numFmtId="3" fontId="68" fillId="39" borderId="50" xfId="0" quotePrefix="1" applyNumberFormat="1" applyFont="1" applyFill="1" applyBorder="1" applyAlignment="1">
      <alignment horizontal="center" vertical="center"/>
    </xf>
    <xf numFmtId="3" fontId="68" fillId="39" borderId="48" xfId="0" quotePrefix="1" applyNumberFormat="1" applyFont="1" applyFill="1" applyBorder="1" applyAlignment="1">
      <alignment horizontal="center" vertical="center"/>
    </xf>
    <xf numFmtId="3" fontId="24" fillId="39" borderId="164" xfId="0" applyNumberFormat="1" applyFont="1" applyFill="1" applyBorder="1" applyAlignment="1">
      <alignment horizontal="center" vertical="center"/>
    </xf>
    <xf numFmtId="3" fontId="24" fillId="39" borderId="50" xfId="0" applyNumberFormat="1" applyFont="1" applyFill="1" applyBorder="1" applyAlignment="1">
      <alignment horizontal="center" vertical="center"/>
    </xf>
    <xf numFmtId="3" fontId="24" fillId="39" borderId="48" xfId="0" applyNumberFormat="1" applyFont="1" applyFill="1" applyBorder="1" applyAlignment="1">
      <alignment horizontal="center" vertical="center"/>
    </xf>
    <xf numFmtId="0" fontId="68" fillId="39" borderId="164" xfId="0" applyFont="1" applyFill="1" applyBorder="1" applyAlignment="1">
      <alignment horizontal="center" vertical="center"/>
    </xf>
    <xf numFmtId="0" fontId="68" fillId="39" borderId="50" xfId="0" applyFont="1" applyFill="1" applyBorder="1" applyAlignment="1">
      <alignment horizontal="center" vertical="center"/>
    </xf>
    <xf numFmtId="0" fontId="68" fillId="39" borderId="48" xfId="0" applyFont="1" applyFill="1" applyBorder="1" applyAlignment="1">
      <alignment horizontal="center" vertical="center"/>
    </xf>
    <xf numFmtId="1" fontId="68" fillId="0" borderId="164" xfId="0" applyNumberFormat="1" applyFont="1" applyBorder="1" applyAlignment="1">
      <alignment horizontal="center" vertical="center"/>
    </xf>
    <xf numFmtId="1" fontId="24" fillId="0" borderId="164" xfId="0" applyNumberFormat="1" applyFont="1" applyBorder="1" applyAlignment="1">
      <alignment horizontal="center" vertical="center"/>
    </xf>
    <xf numFmtId="1" fontId="24" fillId="0" borderId="50" xfId="0" applyNumberFormat="1" applyFont="1" applyBorder="1" applyAlignment="1">
      <alignment horizontal="center" vertical="center"/>
    </xf>
    <xf numFmtId="1" fontId="24" fillId="0" borderId="155" xfId="0" applyNumberFormat="1" applyFont="1" applyBorder="1" applyAlignment="1">
      <alignment horizontal="center" vertical="center"/>
    </xf>
    <xf numFmtId="1" fontId="68" fillId="0" borderId="50" xfId="0" applyNumberFormat="1" applyFont="1" applyBorder="1" applyAlignment="1">
      <alignment horizontal="center" vertical="center"/>
    </xf>
    <xf numFmtId="1" fontId="68" fillId="0" borderId="155" xfId="0" applyNumberFormat="1" applyFont="1" applyBorder="1" applyAlignment="1">
      <alignment horizontal="center" vertical="center"/>
    </xf>
    <xf numFmtId="1" fontId="7" fillId="0" borderId="3" xfId="0" applyNumberFormat="1" applyFont="1" applyBorder="1" applyAlignment="1">
      <alignment horizontal="center" vertical="center"/>
    </xf>
    <xf numFmtId="0" fontId="66" fillId="0" borderId="0" xfId="0" applyFont="1" applyAlignment="1">
      <alignment horizontal="center"/>
    </xf>
    <xf numFmtId="1" fontId="66" fillId="0" borderId="0" xfId="0" applyNumberFormat="1" applyFont="1" applyAlignment="1">
      <alignment horizontal="center"/>
    </xf>
    <xf numFmtId="1" fontId="70" fillId="0" borderId="0" xfId="0" applyNumberFormat="1" applyFont="1" applyAlignment="1">
      <alignment horizontal="left"/>
    </xf>
    <xf numFmtId="0" fontId="7" fillId="0" borderId="0" xfId="26" applyAlignment="1">
      <alignment vertical="center" wrapText="1"/>
    </xf>
    <xf numFmtId="3" fontId="52" fillId="34" borderId="122" xfId="5" applyFont="1" applyFill="1" applyBorder="1" applyAlignment="1">
      <alignment horizontal="right" vertical="center" wrapText="1"/>
    </xf>
    <xf numFmtId="4" fontId="7" fillId="34" borderId="122" xfId="7" applyFont="1" applyFill="1" applyBorder="1" applyAlignment="1">
      <alignment horizontal="right" vertical="center" wrapText="1"/>
    </xf>
    <xf numFmtId="4" fontId="31" fillId="0" borderId="120" xfId="7" applyFont="1" applyFill="1" applyBorder="1" applyAlignment="1">
      <alignment horizontal="right" vertical="center" wrapText="1"/>
    </xf>
    <xf numFmtId="0" fontId="7" fillId="0" borderId="120" xfId="10" applyFont="1" applyFill="1" applyBorder="1" applyAlignment="1">
      <alignment horizontal="right" vertical="center" wrapText="1"/>
    </xf>
    <xf numFmtId="0" fontId="19" fillId="0" borderId="0" xfId="8" applyFill="1" applyBorder="1" applyAlignment="1">
      <alignment wrapText="1"/>
    </xf>
    <xf numFmtId="0" fontId="7" fillId="0" borderId="0" xfId="26" applyAlignment="1">
      <alignment wrapText="1"/>
    </xf>
    <xf numFmtId="0" fontId="0" fillId="0" borderId="0" xfId="0" applyAlignment="1">
      <alignment wrapText="1"/>
    </xf>
    <xf numFmtId="9" fontId="0" fillId="8" borderId="23" xfId="16" applyFont="1" applyFill="1" applyBorder="1" applyAlignment="1">
      <alignment horizontal="center"/>
    </xf>
    <xf numFmtId="0" fontId="0" fillId="0" borderId="0" xfId="26" applyFont="1"/>
    <xf numFmtId="2" fontId="7" fillId="0" borderId="0" xfId="26" applyNumberFormat="1"/>
    <xf numFmtId="2" fontId="0" fillId="0" borderId="0" xfId="26" applyNumberFormat="1" applyFont="1"/>
    <xf numFmtId="10" fontId="0" fillId="8" borderId="104" xfId="16" applyNumberFormat="1" applyFont="1" applyFill="1" applyBorder="1" applyAlignment="1">
      <alignment horizontal="center"/>
    </xf>
    <xf numFmtId="188" fontId="7" fillId="24" borderId="19" xfId="0" applyNumberFormat="1" applyFont="1" applyFill="1" applyBorder="1" applyAlignment="1">
      <alignment horizontal="center"/>
    </xf>
    <xf numFmtId="0" fontId="0" fillId="0" borderId="0" xfId="0" applyAlignment="1">
      <alignment vertical="center" wrapText="1"/>
    </xf>
    <xf numFmtId="0" fontId="59" fillId="0" borderId="0" xfId="0" applyFont="1"/>
    <xf numFmtId="0" fontId="59" fillId="0" borderId="0" xfId="0" applyFont="1" applyAlignment="1">
      <alignment horizontal="center"/>
    </xf>
    <xf numFmtId="180" fontId="7" fillId="0" borderId="0" xfId="0" applyNumberFormat="1" applyFont="1"/>
    <xf numFmtId="178" fontId="7" fillId="0" borderId="0" xfId="0" applyNumberFormat="1" applyFont="1"/>
    <xf numFmtId="180" fontId="25" fillId="0" borderId="0" xfId="0" applyNumberFormat="1" applyFont="1"/>
    <xf numFmtId="181" fontId="7" fillId="24" borderId="19" xfId="16" applyNumberFormat="1" applyFont="1" applyFill="1" applyBorder="1" applyAlignment="1">
      <alignment horizontal="center"/>
    </xf>
    <xf numFmtId="186" fontId="33" fillId="24" borderId="105" xfId="0" applyNumberFormat="1" applyFont="1" applyFill="1" applyBorder="1" applyAlignment="1">
      <alignment horizontal="center"/>
    </xf>
    <xf numFmtId="181" fontId="0" fillId="24" borderId="103" xfId="16" applyNumberFormat="1" applyFont="1" applyFill="1" applyBorder="1" applyAlignment="1">
      <alignment horizontal="center"/>
    </xf>
    <xf numFmtId="181" fontId="0" fillId="8" borderId="103" xfId="16" applyNumberFormat="1" applyFont="1" applyFill="1" applyBorder="1" applyAlignment="1">
      <alignment horizontal="center"/>
    </xf>
    <xf numFmtId="0" fontId="47" fillId="9" borderId="76" xfId="0" applyFont="1" applyFill="1" applyBorder="1" applyAlignment="1">
      <alignment horizontal="center" vertical="center"/>
    </xf>
    <xf numFmtId="0" fontId="47" fillId="31" borderId="76" xfId="0" applyFont="1" applyFill="1" applyBorder="1" applyAlignment="1">
      <alignment horizontal="center" vertical="center"/>
    </xf>
    <xf numFmtId="4" fontId="24" fillId="9" borderId="120" xfId="7" applyFont="1" applyFill="1" applyBorder="1" applyAlignment="1">
      <alignment horizontal="right" vertical="center"/>
    </xf>
    <xf numFmtId="0" fontId="0" fillId="28" borderId="0" xfId="0" applyFill="1"/>
    <xf numFmtId="0" fontId="0" fillId="9" borderId="0" xfId="0" applyFill="1"/>
    <xf numFmtId="0" fontId="0" fillId="12" borderId="54" xfId="0" applyFill="1" applyBorder="1"/>
    <xf numFmtId="0" fontId="63" fillId="3" borderId="0" xfId="0" applyFont="1" applyFill="1"/>
    <xf numFmtId="9" fontId="34" fillId="0" borderId="0" xfId="16" applyFont="1"/>
    <xf numFmtId="9" fontId="34" fillId="0" borderId="0" xfId="0" applyNumberFormat="1" applyFont="1"/>
    <xf numFmtId="1" fontId="54" fillId="0" borderId="35" xfId="0" applyNumberFormat="1" applyFont="1" applyBorder="1" applyAlignment="1">
      <alignment horizontal="center" vertical="center"/>
    </xf>
    <xf numFmtId="9" fontId="22" fillId="0" borderId="0" xfId="16" applyFont="1"/>
    <xf numFmtId="9" fontId="22" fillId="0" borderId="0" xfId="0" applyNumberFormat="1" applyFont="1"/>
    <xf numFmtId="3" fontId="7" fillId="0" borderId="120" xfId="26" applyNumberFormat="1" applyBorder="1" applyAlignment="1">
      <alignment vertical="center"/>
    </xf>
    <xf numFmtId="4" fontId="7" fillId="0" borderId="120" xfId="26" applyNumberFormat="1" applyBorder="1" applyAlignment="1">
      <alignment vertical="center"/>
    </xf>
    <xf numFmtId="9" fontId="69" fillId="35" borderId="120" xfId="16" applyFont="1" applyFill="1" applyBorder="1"/>
    <xf numFmtId="0" fontId="0" fillId="0" borderId="120" xfId="10" applyFont="1" applyFill="1" applyBorder="1" applyAlignment="1">
      <alignment horizontal="right" vertical="center" wrapText="1"/>
    </xf>
    <xf numFmtId="3" fontId="54" fillId="41" borderId="153" xfId="0" applyNumberFormat="1" applyFont="1" applyFill="1" applyBorder="1" applyAlignment="1">
      <alignment horizontal="center" vertical="center"/>
    </xf>
    <xf numFmtId="3" fontId="59" fillId="42" borderId="164" xfId="0" applyNumberFormat="1" applyFont="1" applyFill="1" applyBorder="1" applyAlignment="1">
      <alignment horizontal="center" vertical="center"/>
    </xf>
    <xf numFmtId="3" fontId="54" fillId="41" borderId="2" xfId="0" applyNumberFormat="1" applyFont="1" applyFill="1" applyBorder="1" applyAlignment="1">
      <alignment horizontal="center" vertical="center"/>
    </xf>
    <xf numFmtId="3" fontId="59" fillId="42" borderId="50" xfId="0" applyNumberFormat="1" applyFont="1" applyFill="1" applyBorder="1" applyAlignment="1">
      <alignment horizontal="center" vertical="center"/>
    </xf>
    <xf numFmtId="0" fontId="26" fillId="32" borderId="64" xfId="0" applyFont="1" applyFill="1" applyBorder="1" applyAlignment="1">
      <alignment horizontal="center"/>
    </xf>
    <xf numFmtId="0" fontId="12" fillId="0" borderId="64" xfId="0" applyFont="1" applyBorder="1" applyAlignment="1">
      <alignment horizontal="center"/>
    </xf>
    <xf numFmtId="0" fontId="0" fillId="0" borderId="64" xfId="0" applyBorder="1" applyAlignment="1">
      <alignment horizontal="center"/>
    </xf>
    <xf numFmtId="0" fontId="0" fillId="8" borderId="19" xfId="0" applyFill="1" applyBorder="1" applyAlignment="1">
      <alignment vertical="center" wrapText="1"/>
    </xf>
    <xf numFmtId="0" fontId="7" fillId="12" borderId="19" xfId="0" applyFont="1" applyFill="1" applyBorder="1" applyAlignment="1">
      <alignment horizontal="center"/>
    </xf>
    <xf numFmtId="0" fontId="24" fillId="23" borderId="19" xfId="0" applyFont="1" applyFill="1" applyBorder="1" applyAlignment="1">
      <alignment horizontal="center"/>
    </xf>
    <xf numFmtId="0" fontId="12" fillId="0" borderId="205" xfId="0" applyFont="1" applyBorder="1" applyAlignment="1">
      <alignment horizontal="center"/>
    </xf>
    <xf numFmtId="0" fontId="7" fillId="9" borderId="30" xfId="0" applyFont="1" applyFill="1" applyBorder="1" applyAlignment="1">
      <alignment horizontal="center"/>
    </xf>
    <xf numFmtId="0" fontId="7" fillId="7" borderId="30" xfId="0" applyFont="1" applyFill="1" applyBorder="1"/>
    <xf numFmtId="181" fontId="7" fillId="7" borderId="30" xfId="16" applyNumberFormat="1" applyFont="1" applyFill="1" applyBorder="1" applyAlignment="1">
      <alignment horizontal="center"/>
    </xf>
    <xf numFmtId="0" fontId="7" fillId="8" borderId="34" xfId="0" applyFont="1" applyFill="1" applyBorder="1" applyAlignment="1">
      <alignment horizontal="center" vertical="center"/>
    </xf>
    <xf numFmtId="9" fontId="7" fillId="7" borderId="30" xfId="16" applyFont="1" applyFill="1" applyBorder="1" applyAlignment="1">
      <alignment horizontal="center"/>
    </xf>
    <xf numFmtId="0" fontId="7" fillId="0" borderId="30" xfId="0" applyFont="1" applyBorder="1"/>
    <xf numFmtId="10" fontId="0" fillId="8" borderId="66" xfId="25" applyNumberFormat="1" applyFont="1" applyFill="1" applyBorder="1" applyAlignment="1">
      <alignment horizontal="center"/>
    </xf>
    <xf numFmtId="0" fontId="47" fillId="5" borderId="204" xfId="0" applyFont="1" applyFill="1" applyBorder="1" applyAlignment="1">
      <alignment horizontal="center"/>
    </xf>
    <xf numFmtId="0" fontId="47" fillId="16" borderId="78" xfId="0" applyFont="1" applyFill="1" applyBorder="1" applyAlignment="1">
      <alignment horizontal="center" vertical="center" wrapText="1"/>
    </xf>
    <xf numFmtId="3" fontId="68" fillId="0" borderId="164" xfId="0" applyNumberFormat="1" applyFont="1" applyBorder="1" applyAlignment="1">
      <alignment horizontal="center" vertical="center"/>
    </xf>
    <xf numFmtId="0" fontId="7" fillId="0" borderId="50" xfId="0" quotePrefix="1" applyFont="1" applyBorder="1" applyAlignment="1">
      <alignment horizontal="center" vertical="center"/>
    </xf>
    <xf numFmtId="0" fontId="7" fillId="0" borderId="155" xfId="0" quotePrefix="1" applyFont="1" applyBorder="1" applyAlignment="1">
      <alignment horizontal="center" vertical="center"/>
    </xf>
    <xf numFmtId="9" fontId="7" fillId="45" borderId="104" xfId="16" applyFont="1" applyFill="1" applyBorder="1" applyAlignment="1">
      <alignment horizontal="center"/>
    </xf>
    <xf numFmtId="2" fontId="7" fillId="45" borderId="103" xfId="0" applyNumberFormat="1" applyFont="1" applyFill="1" applyBorder="1" applyAlignment="1">
      <alignment horizontal="center"/>
    </xf>
    <xf numFmtId="2" fontId="7" fillId="45" borderId="105" xfId="0" applyNumberFormat="1" applyFont="1" applyFill="1" applyBorder="1" applyAlignment="1">
      <alignment horizontal="center"/>
    </xf>
    <xf numFmtId="10" fontId="7" fillId="45" borderId="104" xfId="16" applyNumberFormat="1" applyFont="1" applyFill="1" applyBorder="1" applyAlignment="1">
      <alignment horizontal="center"/>
    </xf>
    <xf numFmtId="3" fontId="22" fillId="19" borderId="0" xfId="0" applyNumberFormat="1" applyFont="1" applyFill="1" applyAlignment="1">
      <alignment horizontal="center" vertical="center"/>
    </xf>
    <xf numFmtId="4" fontId="24" fillId="0" borderId="120" xfId="7" applyFont="1" applyFill="1" applyBorder="1" applyAlignment="1">
      <alignment horizontal="right" vertical="center" wrapText="1"/>
    </xf>
    <xf numFmtId="4" fontId="33" fillId="0" borderId="120" xfId="7" applyFont="1" applyFill="1" applyBorder="1" applyAlignment="1">
      <alignment horizontal="right" vertical="center" wrapText="1"/>
    </xf>
    <xf numFmtId="185" fontId="0" fillId="0" borderId="0" xfId="34" applyNumberFormat="1" applyFont="1" applyBorder="1" applyAlignment="1">
      <alignment horizontal="center" vertical="center"/>
    </xf>
    <xf numFmtId="185" fontId="0" fillId="0" borderId="110" xfId="0" applyNumberFormat="1" applyBorder="1" applyAlignment="1">
      <alignment horizontal="center"/>
    </xf>
    <xf numFmtId="185" fontId="0" fillId="0" borderId="105" xfId="34" applyNumberFormat="1" applyFont="1" applyBorder="1" applyAlignment="1">
      <alignment horizontal="center"/>
    </xf>
    <xf numFmtId="185" fontId="0" fillId="0" borderId="55" xfId="34" applyNumberFormat="1" applyFont="1" applyBorder="1" applyAlignment="1">
      <alignment horizontal="center"/>
    </xf>
    <xf numFmtId="185" fontId="0" fillId="32" borderId="105" xfId="34" applyNumberFormat="1" applyFont="1" applyFill="1" applyBorder="1" applyAlignment="1">
      <alignment horizontal="center"/>
    </xf>
    <xf numFmtId="185" fontId="0" fillId="32" borderId="110" xfId="0" applyNumberFormat="1" applyFill="1" applyBorder="1" applyAlignment="1">
      <alignment horizontal="center"/>
    </xf>
    <xf numFmtId="185" fontId="0" fillId="0" borderId="112" xfId="34" applyNumberFormat="1" applyFont="1" applyBorder="1" applyAlignment="1">
      <alignment horizontal="center"/>
    </xf>
    <xf numFmtId="185" fontId="0" fillId="0" borderId="113" xfId="0" applyNumberFormat="1" applyBorder="1" applyAlignment="1">
      <alignment horizontal="center"/>
    </xf>
    <xf numFmtId="3" fontId="7" fillId="0" borderId="0" xfId="0" applyNumberFormat="1" applyFont="1" applyAlignment="1">
      <alignment horizontal="center" vertical="center"/>
    </xf>
    <xf numFmtId="4" fontId="31" fillId="9" borderId="206" xfId="7" applyFont="1" applyFill="1" applyBorder="1">
      <alignment horizontal="right"/>
    </xf>
    <xf numFmtId="4" fontId="7" fillId="3" borderId="121" xfId="7" applyFont="1" applyBorder="1" applyAlignment="1">
      <alignment horizontal="center" vertical="center"/>
    </xf>
    <xf numFmtId="183" fontId="7" fillId="8" borderId="123" xfId="6" applyFont="1" applyFill="1" applyBorder="1" applyAlignment="1">
      <alignment horizontal="right" vertical="center" wrapText="1"/>
    </xf>
    <xf numFmtId="4" fontId="31" fillId="12" borderId="207" xfId="7" applyFont="1" applyFill="1" applyBorder="1" applyAlignment="1">
      <alignment horizontal="right" vertical="center"/>
    </xf>
    <xf numFmtId="4" fontId="31" fillId="12" borderId="208" xfId="7" applyFont="1" applyFill="1" applyBorder="1" applyAlignment="1">
      <alignment horizontal="right" vertical="center"/>
    </xf>
    <xf numFmtId="10" fontId="69" fillId="35" borderId="121" xfId="26" applyNumberFormat="1" applyFont="1" applyFill="1" applyBorder="1"/>
    <xf numFmtId="0" fontId="7" fillId="8" borderId="120" xfId="10" applyFont="1" applyFill="1" applyBorder="1" applyAlignment="1">
      <alignment horizontal="center" vertical="center"/>
    </xf>
    <xf numFmtId="2" fontId="0" fillId="46" borderId="104" xfId="0" applyNumberFormat="1" applyFill="1" applyBorder="1" applyAlignment="1">
      <alignment horizontal="center"/>
    </xf>
    <xf numFmtId="9" fontId="7" fillId="0" borderId="98" xfId="0" applyNumberFormat="1" applyFont="1" applyBorder="1" applyAlignment="1">
      <alignment horizontal="center"/>
    </xf>
    <xf numFmtId="0" fontId="7" fillId="0" borderId="54" xfId="0" applyFont="1" applyBorder="1"/>
    <xf numFmtId="0" fontId="0" fillId="0" borderId="54" xfId="0" applyBorder="1" applyAlignment="1">
      <alignment vertical="center" wrapText="1"/>
    </xf>
    <xf numFmtId="0" fontId="0" fillId="0" borderId="55" xfId="0" applyBorder="1" applyAlignment="1">
      <alignment vertical="center" wrapText="1"/>
    </xf>
    <xf numFmtId="0" fontId="7" fillId="0" borderId="54" xfId="0" applyFont="1" applyBorder="1" applyAlignment="1">
      <alignment vertical="center"/>
    </xf>
    <xf numFmtId="0" fontId="0" fillId="0" borderId="54" xfId="0" applyBorder="1" applyAlignment="1">
      <alignment vertical="center"/>
    </xf>
    <xf numFmtId="0" fontId="0" fillId="0" borderId="0" xfId="0" applyAlignment="1">
      <alignment vertical="center"/>
    </xf>
    <xf numFmtId="3" fontId="0" fillId="0" borderId="0" xfId="0" applyNumberFormat="1"/>
    <xf numFmtId="0" fontId="0" fillId="0" borderId="177" xfId="0" applyBorder="1"/>
    <xf numFmtId="3" fontId="75" fillId="47" borderId="209" xfId="36" applyNumberFormat="1"/>
    <xf numFmtId="9" fontId="0" fillId="0" borderId="0" xfId="16" applyFont="1"/>
    <xf numFmtId="181" fontId="0" fillId="0" borderId="0" xfId="16" applyNumberFormat="1" applyFont="1"/>
    <xf numFmtId="1" fontId="0" fillId="0" borderId="0" xfId="0" applyNumberFormat="1"/>
    <xf numFmtId="0" fontId="7" fillId="38" borderId="0" xfId="0" applyFont="1" applyFill="1"/>
    <xf numFmtId="182" fontId="0" fillId="45" borderId="104" xfId="0" applyNumberFormat="1" applyFill="1" applyBorder="1" applyAlignment="1">
      <alignment horizontal="center"/>
    </xf>
    <xf numFmtId="2" fontId="34" fillId="0" borderId="0" xfId="0" applyNumberFormat="1" applyFont="1"/>
    <xf numFmtId="3" fontId="0" fillId="0" borderId="211" xfId="0" applyNumberFormat="1" applyBorder="1"/>
    <xf numFmtId="3" fontId="0" fillId="0" borderId="212" xfId="0" applyNumberFormat="1" applyBorder="1"/>
    <xf numFmtId="0" fontId="0" fillId="0" borderId="45" xfId="0" applyBorder="1"/>
    <xf numFmtId="3" fontId="0" fillId="0" borderId="47" xfId="0" applyNumberFormat="1" applyBorder="1"/>
    <xf numFmtId="0" fontId="0" fillId="0" borderId="213" xfId="0" applyBorder="1"/>
    <xf numFmtId="182" fontId="0" fillId="0" borderId="214" xfId="0" applyNumberFormat="1" applyBorder="1"/>
    <xf numFmtId="182" fontId="0" fillId="0" borderId="166" xfId="0" applyNumberFormat="1" applyBorder="1"/>
    <xf numFmtId="182" fontId="0" fillId="0" borderId="158" xfId="0" applyNumberFormat="1" applyBorder="1"/>
    <xf numFmtId="0" fontId="75" fillId="47" borderId="209" xfId="36"/>
    <xf numFmtId="0" fontId="73" fillId="0" borderId="0" xfId="0" applyFont="1"/>
    <xf numFmtId="0" fontId="7" fillId="0" borderId="215" xfId="0" applyFont="1" applyBorder="1" applyAlignment="1">
      <alignment horizontal="left" indent="1"/>
    </xf>
    <xf numFmtId="3" fontId="0" fillId="25" borderId="216" xfId="0" applyNumberFormat="1" applyFill="1" applyBorder="1" applyAlignment="1">
      <alignment horizontal="center"/>
    </xf>
    <xf numFmtId="0" fontId="0" fillId="0" borderId="214" xfId="0" applyBorder="1"/>
    <xf numFmtId="0" fontId="0" fillId="0" borderId="166" xfId="0" applyBorder="1"/>
    <xf numFmtId="0" fontId="0" fillId="0" borderId="158" xfId="0" applyBorder="1"/>
    <xf numFmtId="10" fontId="0" fillId="8" borderId="130" xfId="0" applyNumberFormat="1" applyFill="1" applyBorder="1" applyAlignment="1">
      <alignment horizontal="center" vertical="center"/>
    </xf>
    <xf numFmtId="182" fontId="0" fillId="0" borderId="0" xfId="0" applyNumberFormat="1"/>
    <xf numFmtId="0" fontId="7" fillId="38" borderId="217" xfId="0" applyFont="1" applyFill="1" applyBorder="1"/>
    <xf numFmtId="3" fontId="0" fillId="0" borderId="218" xfId="0" applyNumberFormat="1" applyBorder="1"/>
    <xf numFmtId="3" fontId="0" fillId="0" borderId="188" xfId="0" applyNumberFormat="1" applyBorder="1"/>
    <xf numFmtId="10" fontId="7" fillId="8" borderId="127" xfId="0" applyNumberFormat="1" applyFont="1" applyFill="1" applyBorder="1" applyAlignment="1">
      <alignment horizontal="center" vertical="center"/>
    </xf>
    <xf numFmtId="10" fontId="7" fillId="8" borderId="126" xfId="16" applyNumberFormat="1" applyFont="1" applyFill="1" applyBorder="1" applyAlignment="1">
      <alignment horizontal="center" vertical="center"/>
    </xf>
    <xf numFmtId="10" fontId="0" fillId="8" borderId="126" xfId="0" applyNumberFormat="1" applyFill="1" applyBorder="1" applyAlignment="1">
      <alignment horizontal="center" vertical="center"/>
    </xf>
    <xf numFmtId="10" fontId="0" fillId="0" borderId="37" xfId="16" applyNumberFormat="1" applyFont="1" applyBorder="1"/>
    <xf numFmtId="10" fontId="0" fillId="0" borderId="5" xfId="16" applyNumberFormat="1" applyFont="1" applyBorder="1"/>
    <xf numFmtId="10" fontId="0" fillId="0" borderId="38" xfId="16" applyNumberFormat="1" applyFont="1" applyBorder="1"/>
    <xf numFmtId="10" fontId="54" fillId="8" borderId="126" xfId="0" applyNumberFormat="1" applyFont="1" applyFill="1" applyBorder="1" applyAlignment="1">
      <alignment horizontal="center" vertical="center"/>
    </xf>
    <xf numFmtId="10" fontId="0" fillId="8" borderId="126" xfId="16" applyNumberFormat="1" applyFont="1" applyFill="1" applyBorder="1" applyAlignment="1">
      <alignment horizontal="center" vertical="center"/>
    </xf>
    <xf numFmtId="0" fontId="44" fillId="0" borderId="86" xfId="0" applyFont="1" applyBorder="1" applyAlignment="1">
      <alignment horizontal="center"/>
    </xf>
    <xf numFmtId="0" fontId="44" fillId="0" borderId="87" xfId="0" applyFont="1" applyBorder="1" applyAlignment="1">
      <alignment horizontal="center"/>
    </xf>
    <xf numFmtId="1" fontId="54" fillId="8" borderId="161" xfId="0" applyNumberFormat="1" applyFont="1" applyFill="1" applyBorder="1" applyAlignment="1">
      <alignment horizontal="center" vertical="center"/>
    </xf>
    <xf numFmtId="1" fontId="54" fillId="8" borderId="162" xfId="0" applyNumberFormat="1" applyFont="1" applyFill="1" applyBorder="1" applyAlignment="1">
      <alignment horizontal="center" vertical="center"/>
    </xf>
    <xf numFmtId="1" fontId="54" fillId="8" borderId="163" xfId="0" applyNumberFormat="1" applyFont="1" applyFill="1" applyBorder="1" applyAlignment="1">
      <alignment horizontal="center" vertical="center"/>
    </xf>
    <xf numFmtId="1" fontId="54" fillId="8" borderId="197" xfId="0" applyNumberFormat="1" applyFont="1" applyFill="1" applyBorder="1" applyAlignment="1">
      <alignment horizontal="center" vertical="center"/>
    </xf>
    <xf numFmtId="0" fontId="0" fillId="0" borderId="0" xfId="16" applyNumberFormat="1" applyFont="1"/>
    <xf numFmtId="3" fontId="0" fillId="0" borderId="0" xfId="16" applyNumberFormat="1" applyFont="1"/>
    <xf numFmtId="10" fontId="0" fillId="8" borderId="130" xfId="0" quotePrefix="1" applyNumberFormat="1" applyFill="1" applyBorder="1" applyAlignment="1">
      <alignment horizontal="center" vertical="center"/>
    </xf>
    <xf numFmtId="0" fontId="0" fillId="31" borderId="72" xfId="0" applyFill="1" applyBorder="1" applyAlignment="1">
      <alignment horizontal="center"/>
    </xf>
    <xf numFmtId="9" fontId="0" fillId="0" borderId="54" xfId="0" applyNumberFormat="1" applyBorder="1"/>
    <xf numFmtId="182" fontId="0" fillId="9" borderId="104" xfId="0" applyNumberFormat="1" applyFill="1" applyBorder="1" applyAlignment="1">
      <alignment horizontal="center"/>
    </xf>
    <xf numFmtId="0" fontId="0" fillId="0" borderId="184" xfId="0" applyBorder="1"/>
    <xf numFmtId="10" fontId="12" fillId="8" borderId="86" xfId="16" applyNumberFormat="1" applyFont="1" applyFill="1" applyBorder="1" applyAlignment="1">
      <alignment horizontal="center"/>
    </xf>
    <xf numFmtId="10" fontId="12" fillId="8" borderId="88" xfId="16" applyNumberFormat="1" applyFont="1" applyFill="1" applyBorder="1" applyAlignment="1">
      <alignment horizontal="center"/>
    </xf>
    <xf numFmtId="10" fontId="12" fillId="8" borderId="87" xfId="16" applyNumberFormat="1" applyFont="1" applyFill="1" applyBorder="1" applyAlignment="1">
      <alignment horizontal="center"/>
    </xf>
    <xf numFmtId="0" fontId="12" fillId="8" borderId="86" xfId="0" applyFont="1" applyFill="1" applyBorder="1" applyAlignment="1">
      <alignment horizontal="center"/>
    </xf>
    <xf numFmtId="0" fontId="12" fillId="8" borderId="88" xfId="0" applyFont="1" applyFill="1" applyBorder="1" applyAlignment="1">
      <alignment horizontal="center"/>
    </xf>
    <xf numFmtId="0" fontId="12" fillId="8" borderId="87" xfId="0" applyFont="1" applyFill="1" applyBorder="1" applyAlignment="1">
      <alignment horizontal="center"/>
    </xf>
    <xf numFmtId="0" fontId="74" fillId="0" borderId="174" xfId="35" applyFont="1" applyBorder="1" applyAlignment="1">
      <alignment horizontal="left" vertical="center" wrapText="1"/>
    </xf>
    <xf numFmtId="0" fontId="74" fillId="0" borderId="169" xfId="35" applyFont="1" applyBorder="1" applyAlignment="1">
      <alignment horizontal="left" vertical="center" wrapText="1"/>
    </xf>
    <xf numFmtId="0" fontId="74" fillId="0" borderId="170" xfId="35" applyFont="1" applyBorder="1" applyAlignment="1">
      <alignment horizontal="left" vertical="center" wrapText="1"/>
    </xf>
    <xf numFmtId="0" fontId="7" fillId="0" borderId="19" xfId="0" applyFont="1" applyBorder="1" applyAlignment="1">
      <alignment horizontal="center" vertical="center" wrapText="1"/>
    </xf>
    <xf numFmtId="4" fontId="7" fillId="0" borderId="23" xfId="0" applyNumberFormat="1" applyFont="1" applyBorder="1" applyAlignment="1">
      <alignment horizontal="center" wrapText="1"/>
    </xf>
    <xf numFmtId="10" fontId="64" fillId="0" borderId="63" xfId="0" applyNumberFormat="1" applyFont="1" applyBorder="1" applyAlignment="1">
      <alignment horizontal="center"/>
    </xf>
    <xf numFmtId="181" fontId="12" fillId="28" borderId="1" xfId="16" applyNumberFormat="1" applyFont="1" applyFill="1" applyBorder="1" applyAlignment="1">
      <alignment horizontal="center"/>
    </xf>
    <xf numFmtId="181" fontId="12" fillId="12" borderId="1" xfId="16" applyNumberFormat="1" applyFont="1" applyFill="1" applyBorder="1" applyAlignment="1">
      <alignment horizontal="center"/>
    </xf>
    <xf numFmtId="181" fontId="12" fillId="48" borderId="1" xfId="16" applyNumberFormat="1" applyFont="1" applyFill="1" applyBorder="1" applyAlignment="1">
      <alignment horizontal="center"/>
    </xf>
    <xf numFmtId="3" fontId="0" fillId="48" borderId="1" xfId="16" applyNumberFormat="1" applyFont="1" applyFill="1" applyBorder="1" applyAlignment="1">
      <alignment horizontal="center"/>
    </xf>
    <xf numFmtId="3" fontId="0" fillId="12" borderId="1" xfId="0" applyNumberFormat="1" applyFill="1" applyBorder="1" applyAlignment="1">
      <alignment horizontal="center"/>
    </xf>
    <xf numFmtId="3" fontId="12" fillId="12" borderId="1" xfId="16" applyNumberFormat="1" applyFont="1" applyFill="1" applyBorder="1" applyAlignment="1">
      <alignment horizontal="center"/>
    </xf>
    <xf numFmtId="0" fontId="28" fillId="8" borderId="120" xfId="10" applyFont="1" applyFill="1" applyBorder="1" applyAlignment="1">
      <alignment vertical="center"/>
    </xf>
    <xf numFmtId="10" fontId="69" fillId="8" borderId="120" xfId="26" applyNumberFormat="1" applyFont="1" applyFill="1" applyBorder="1"/>
    <xf numFmtId="0" fontId="7" fillId="8" borderId="126" xfId="26" applyFill="1" applyBorder="1" applyAlignment="1">
      <alignment horizontal="center"/>
    </xf>
    <xf numFmtId="9" fontId="7" fillId="8" borderId="129" xfId="26" applyNumberFormat="1" applyFill="1" applyBorder="1" applyAlignment="1">
      <alignment horizontal="center"/>
    </xf>
    <xf numFmtId="9" fontId="7" fillId="8" borderId="126" xfId="26" applyNumberFormat="1" applyFill="1" applyBorder="1" applyAlignment="1">
      <alignment horizontal="center"/>
    </xf>
    <xf numFmtId="189" fontId="7" fillId="0" borderId="219" xfId="0" applyNumberFormat="1" applyFont="1" applyBorder="1" applyAlignment="1">
      <alignment horizontal="center" vertical="center"/>
    </xf>
    <xf numFmtId="189" fontId="7" fillId="0" borderId="219" xfId="0" applyNumberFormat="1" applyFont="1" applyBorder="1" applyAlignment="1">
      <alignment horizontal="center"/>
    </xf>
    <xf numFmtId="3" fontId="59" fillId="42" borderId="48" xfId="0" applyNumberFormat="1" applyFont="1" applyFill="1" applyBorder="1" applyAlignment="1">
      <alignment horizontal="center" vertical="center"/>
    </xf>
    <xf numFmtId="0" fontId="54" fillId="12" borderId="0" xfId="0" applyFont="1" applyFill="1" applyAlignment="1">
      <alignment horizontal="center"/>
    </xf>
    <xf numFmtId="0" fontId="0" fillId="3" borderId="0" xfId="0" applyFill="1"/>
    <xf numFmtId="0" fontId="0" fillId="7" borderId="0" xfId="0" applyFill="1"/>
    <xf numFmtId="0" fontId="26" fillId="32" borderId="222" xfId="0" applyFont="1" applyFill="1" applyBorder="1" applyAlignment="1">
      <alignment horizontal="center"/>
    </xf>
    <xf numFmtId="0" fontId="0" fillId="8" borderId="222" xfId="0" applyFill="1" applyBorder="1" applyAlignment="1">
      <alignment vertical="center" wrapText="1"/>
    </xf>
    <xf numFmtId="0" fontId="0" fillId="8" borderId="222" xfId="0" applyFill="1" applyBorder="1" applyAlignment="1">
      <alignment horizontal="left"/>
    </xf>
    <xf numFmtId="0" fontId="0" fillId="0" borderId="224" xfId="0" applyBorder="1"/>
    <xf numFmtId="0" fontId="0" fillId="0" borderId="225" xfId="0" applyBorder="1"/>
    <xf numFmtId="0" fontId="0" fillId="0" borderId="227" xfId="0" applyBorder="1"/>
    <xf numFmtId="0" fontId="0" fillId="0" borderId="228" xfId="0" applyBorder="1"/>
    <xf numFmtId="9" fontId="0" fillId="36" borderId="79" xfId="16" applyFont="1" applyFill="1" applyBorder="1" applyAlignment="1">
      <alignment horizontal="center"/>
    </xf>
    <xf numFmtId="189" fontId="0" fillId="0" borderId="233" xfId="0" applyNumberFormat="1" applyBorder="1" applyAlignment="1">
      <alignment horizontal="center" vertical="center"/>
    </xf>
    <xf numFmtId="189" fontId="0" fillId="0" borderId="233" xfId="0" applyNumberFormat="1" applyBorder="1" applyAlignment="1">
      <alignment horizontal="center"/>
    </xf>
    <xf numFmtId="189" fontId="0" fillId="0" borderId="219" xfId="0" applyNumberFormat="1" applyBorder="1" applyAlignment="1">
      <alignment horizontal="center" vertical="center"/>
    </xf>
    <xf numFmtId="189" fontId="0" fillId="0" borderId="219" xfId="0" applyNumberFormat="1" applyBorder="1" applyAlignment="1">
      <alignment horizontal="center"/>
    </xf>
    <xf numFmtId="189" fontId="0" fillId="0" borderId="219" xfId="34" applyNumberFormat="1" applyFont="1" applyBorder="1" applyAlignment="1">
      <alignment horizontal="center"/>
    </xf>
    <xf numFmtId="189" fontId="0" fillId="8" borderId="219" xfId="0" applyNumberFormat="1" applyFill="1" applyBorder="1" applyAlignment="1">
      <alignment horizontal="center"/>
    </xf>
    <xf numFmtId="189" fontId="0" fillId="8" borderId="233" xfId="0" applyNumberFormat="1" applyFill="1" applyBorder="1" applyAlignment="1">
      <alignment horizontal="center"/>
    </xf>
    <xf numFmtId="0" fontId="7" fillId="8" borderId="0" xfId="0" applyFont="1" applyFill="1" applyAlignment="1">
      <alignment wrapText="1"/>
    </xf>
    <xf numFmtId="0" fontId="0" fillId="8" borderId="0" xfId="0" applyFill="1" applyAlignment="1">
      <alignment horizontal="center"/>
    </xf>
    <xf numFmtId="1" fontId="7" fillId="0" borderId="37" xfId="0" applyNumberFormat="1" applyFont="1" applyBorder="1" applyAlignment="1">
      <alignment horizontal="center" vertical="center"/>
    </xf>
    <xf numFmtId="3" fontId="7" fillId="0" borderId="164" xfId="0" applyNumberFormat="1" applyFont="1" applyBorder="1" applyAlignment="1">
      <alignment horizontal="center" vertical="center"/>
    </xf>
    <xf numFmtId="3" fontId="0" fillId="0" borderId="50" xfId="0" applyNumberFormat="1" applyBorder="1" applyAlignment="1">
      <alignment horizontal="center" vertical="center"/>
    </xf>
    <xf numFmtId="3" fontId="0" fillId="0" borderId="155" xfId="0" applyNumberFormat="1" applyBorder="1" applyAlignment="1">
      <alignment horizontal="center" vertical="center"/>
    </xf>
    <xf numFmtId="3" fontId="1" fillId="44" borderId="48" xfId="30" applyNumberFormat="1" applyFont="1" applyFill="1" applyBorder="1" applyAlignment="1">
      <alignment horizontal="center" vertical="center"/>
    </xf>
    <xf numFmtId="3" fontId="62" fillId="39" borderId="182" xfId="0" applyNumberFormat="1" applyFont="1" applyFill="1" applyBorder="1" applyAlignment="1">
      <alignment horizontal="center" vertical="center"/>
    </xf>
    <xf numFmtId="181" fontId="7" fillId="0" borderId="161" xfId="16" applyNumberFormat="1" applyFont="1" applyFill="1" applyBorder="1" applyAlignment="1">
      <alignment horizontal="center" vertical="center"/>
    </xf>
    <xf numFmtId="181" fontId="32" fillId="0" borderId="50" xfId="16" applyNumberFormat="1" applyFont="1" applyFill="1" applyBorder="1" applyAlignment="1">
      <alignment horizontal="center" vertical="center"/>
    </xf>
    <xf numFmtId="181" fontId="32" fillId="0" borderId="155" xfId="16" applyNumberFormat="1" applyFont="1" applyFill="1" applyBorder="1" applyAlignment="1">
      <alignment horizontal="center" vertical="center"/>
    </xf>
    <xf numFmtId="1" fontId="68" fillId="0" borderId="50" xfId="0" quotePrefix="1" applyNumberFormat="1" applyFont="1" applyBorder="1" applyAlignment="1">
      <alignment horizontal="center" vertical="center"/>
    </xf>
    <xf numFmtId="1" fontId="68" fillId="0" borderId="155" xfId="0" quotePrefix="1" applyNumberFormat="1" applyFont="1" applyBorder="1" applyAlignment="1">
      <alignment horizontal="center" vertical="center"/>
    </xf>
    <xf numFmtId="0" fontId="59" fillId="8" borderId="0" xfId="0" applyFont="1" applyFill="1"/>
    <xf numFmtId="0" fontId="7" fillId="8" borderId="0" xfId="0" applyFont="1" applyFill="1" applyAlignment="1">
      <alignment horizontal="center"/>
    </xf>
    <xf numFmtId="0" fontId="59" fillId="8" borderId="0" xfId="0" applyFont="1" applyFill="1" applyAlignment="1">
      <alignment horizontal="center"/>
    </xf>
    <xf numFmtId="0" fontId="66" fillId="8" borderId="0" xfId="0" applyFont="1" applyFill="1" applyAlignment="1">
      <alignment horizontal="center"/>
    </xf>
    <xf numFmtId="0" fontId="12" fillId="0" borderId="234" xfId="0" applyFont="1" applyBorder="1" applyAlignment="1">
      <alignment horizontal="center"/>
    </xf>
    <xf numFmtId="0" fontId="0" fillId="38" borderId="235" xfId="0" applyFill="1" applyBorder="1"/>
    <xf numFmtId="3" fontId="59" fillId="0" borderId="236" xfId="0" applyNumberFormat="1" applyFont="1" applyBorder="1" applyAlignment="1">
      <alignment horizontal="center" vertical="center"/>
    </xf>
    <xf numFmtId="1" fontId="7" fillId="0" borderId="237" xfId="0" applyNumberFormat="1" applyFont="1" applyBorder="1" applyAlignment="1">
      <alignment horizontal="center" vertical="center"/>
    </xf>
    <xf numFmtId="1" fontId="7" fillId="0" borderId="238" xfId="0" applyNumberFormat="1" applyFont="1" applyBorder="1" applyAlignment="1">
      <alignment horizontal="center" vertical="center"/>
    </xf>
    <xf numFmtId="1" fontId="7" fillId="0" borderId="239" xfId="0" applyNumberFormat="1" applyFont="1" applyBorder="1" applyAlignment="1">
      <alignment horizontal="center" vertical="center"/>
    </xf>
    <xf numFmtId="1" fontId="7" fillId="0" borderId="240" xfId="0" applyNumberFormat="1" applyFont="1" applyBorder="1" applyAlignment="1">
      <alignment horizontal="center" vertical="center"/>
    </xf>
    <xf numFmtId="0" fontId="12" fillId="0" borderId="241" xfId="0" applyFont="1" applyBorder="1" applyAlignment="1">
      <alignment horizontal="center"/>
    </xf>
    <xf numFmtId="1" fontId="7" fillId="0" borderId="242" xfId="0" applyNumberFormat="1" applyFont="1" applyBorder="1" applyAlignment="1">
      <alignment horizontal="center" vertical="center"/>
    </xf>
    <xf numFmtId="1" fontId="59" fillId="0" borderId="243" xfId="0" applyNumberFormat="1" applyFont="1" applyBorder="1" applyAlignment="1">
      <alignment horizontal="center" vertical="center"/>
    </xf>
    <xf numFmtId="1" fontId="59" fillId="42" borderId="244" xfId="0" applyNumberFormat="1" applyFont="1" applyFill="1" applyBorder="1" applyAlignment="1">
      <alignment horizontal="center" vertical="center"/>
    </xf>
    <xf numFmtId="1" fontId="59" fillId="42" borderId="243" xfId="0" applyNumberFormat="1" applyFont="1" applyFill="1" applyBorder="1" applyAlignment="1">
      <alignment horizontal="center" vertical="center"/>
    </xf>
    <xf numFmtId="0" fontId="7" fillId="0" borderId="243" xfId="0" quotePrefix="1" applyFont="1" applyBorder="1" applyAlignment="1">
      <alignment horizontal="center" vertical="center"/>
    </xf>
    <xf numFmtId="1" fontId="59" fillId="0" borderId="244" xfId="0" applyNumberFormat="1" applyFont="1" applyBorder="1" applyAlignment="1">
      <alignment horizontal="center" vertical="center"/>
    </xf>
    <xf numFmtId="0" fontId="12" fillId="0" borderId="245" xfId="0" applyFont="1" applyBorder="1" applyAlignment="1">
      <alignment horizontal="center"/>
    </xf>
    <xf numFmtId="0" fontId="12" fillId="42" borderId="150" xfId="0" quotePrefix="1" applyFont="1" applyFill="1" applyBorder="1"/>
    <xf numFmtId="3" fontId="59" fillId="42" borderId="246" xfId="0" applyNumberFormat="1" applyFont="1" applyFill="1" applyBorder="1" applyAlignment="1">
      <alignment horizontal="center" vertical="center"/>
    </xf>
    <xf numFmtId="3" fontId="59" fillId="42" borderId="247" xfId="0" applyNumberFormat="1" applyFont="1" applyFill="1" applyBorder="1" applyAlignment="1">
      <alignment horizontal="center" vertical="center"/>
    </xf>
    <xf numFmtId="3" fontId="59" fillId="42" borderId="199" xfId="0" applyNumberFormat="1" applyFont="1" applyFill="1" applyBorder="1" applyAlignment="1">
      <alignment horizontal="center" vertical="center"/>
    </xf>
    <xf numFmtId="3" fontId="59" fillId="42" borderId="248" xfId="0" applyNumberFormat="1" applyFont="1" applyFill="1" applyBorder="1" applyAlignment="1">
      <alignment horizontal="center" vertical="center"/>
    </xf>
    <xf numFmtId="3" fontId="59" fillId="42" borderId="249" xfId="0" applyNumberFormat="1" applyFont="1" applyFill="1" applyBorder="1" applyAlignment="1">
      <alignment horizontal="center" vertical="center"/>
    </xf>
    <xf numFmtId="0" fontId="38" fillId="0" borderId="23" xfId="0" applyFont="1" applyBorder="1" applyAlignment="1">
      <alignment horizontal="center" vertical="center" wrapText="1"/>
    </xf>
    <xf numFmtId="0" fontId="77" fillId="0" borderId="23" xfId="0" applyFont="1" applyBorder="1" applyAlignment="1">
      <alignment horizontal="center" vertical="center" wrapText="1"/>
    </xf>
    <xf numFmtId="0" fontId="76" fillId="0" borderId="23" xfId="0" applyFont="1" applyBorder="1" applyAlignment="1">
      <alignment horizontal="center" vertical="center" wrapText="1"/>
    </xf>
    <xf numFmtId="4" fontId="1" fillId="0" borderId="164" xfId="29" applyNumberFormat="1" applyFont="1" applyBorder="1" applyAlignment="1">
      <alignment horizontal="center"/>
    </xf>
    <xf numFmtId="0" fontId="1" fillId="0" borderId="50" xfId="0" applyFont="1" applyBorder="1"/>
    <xf numFmtId="178" fontId="1" fillId="0" borderId="50" xfId="0" applyNumberFormat="1" applyFont="1" applyBorder="1" applyAlignment="1">
      <alignment horizontal="center"/>
    </xf>
    <xf numFmtId="178" fontId="1" fillId="0" borderId="0" xfId="0" applyNumberFormat="1" applyFont="1" applyAlignment="1">
      <alignment horizontal="center"/>
    </xf>
    <xf numFmtId="0" fontId="12" fillId="50" borderId="0" xfId="0" applyFont="1" applyFill="1"/>
    <xf numFmtId="0" fontId="0" fillId="50" borderId="0" xfId="0" applyFill="1"/>
    <xf numFmtId="0" fontId="81" fillId="0" borderId="0" xfId="0" applyFont="1"/>
    <xf numFmtId="16" fontId="54" fillId="0" borderId="0" xfId="0" applyNumberFormat="1" applyFont="1"/>
    <xf numFmtId="10" fontId="7" fillId="50" borderId="130" xfId="0" applyNumberFormat="1" applyFont="1" applyFill="1" applyBorder="1" applyAlignment="1">
      <alignment horizontal="center" vertical="center"/>
    </xf>
    <xf numFmtId="10" fontId="7" fillId="50" borderId="126" xfId="0" applyNumberFormat="1" applyFont="1" applyFill="1" applyBorder="1" applyAlignment="1">
      <alignment horizontal="center" vertical="center"/>
    </xf>
    <xf numFmtId="10" fontId="0" fillId="50" borderId="130" xfId="0" applyNumberFormat="1" applyFill="1" applyBorder="1" applyAlignment="1">
      <alignment horizontal="center" vertical="center"/>
    </xf>
    <xf numFmtId="10" fontId="0" fillId="50" borderId="140" xfId="0" applyNumberFormat="1" applyFill="1" applyBorder="1" applyAlignment="1">
      <alignment horizontal="center" vertical="center"/>
    </xf>
    <xf numFmtId="0" fontId="0" fillId="50" borderId="0" xfId="0" applyFill="1" applyAlignment="1">
      <alignment horizontal="center"/>
    </xf>
    <xf numFmtId="0" fontId="56" fillId="50" borderId="35" xfId="0" applyFont="1" applyFill="1" applyBorder="1"/>
    <xf numFmtId="0" fontId="47" fillId="5" borderId="174" xfId="0" applyFont="1" applyFill="1" applyBorder="1" applyAlignment="1">
      <alignment horizontal="center"/>
    </xf>
    <xf numFmtId="0" fontId="47" fillId="5" borderId="169" xfId="0" applyFont="1" applyFill="1" applyBorder="1" applyAlignment="1">
      <alignment horizontal="center"/>
    </xf>
    <xf numFmtId="0" fontId="47" fillId="5" borderId="221" xfId="0" applyFont="1" applyFill="1" applyBorder="1" applyAlignment="1">
      <alignment horizontal="center"/>
    </xf>
    <xf numFmtId="0" fontId="47" fillId="31" borderId="220" xfId="0" applyFont="1" applyFill="1" applyBorder="1" applyAlignment="1">
      <alignment horizontal="center"/>
    </xf>
    <xf numFmtId="0" fontId="47" fillId="31" borderId="88" xfId="0" applyFont="1" applyFill="1" applyBorder="1" applyAlignment="1">
      <alignment horizontal="center"/>
    </xf>
    <xf numFmtId="0" fontId="47" fillId="31" borderId="67" xfId="0" applyFont="1" applyFill="1" applyBorder="1" applyAlignment="1">
      <alignment horizontal="center"/>
    </xf>
    <xf numFmtId="0" fontId="74" fillId="0" borderId="225" xfId="35" applyFont="1" applyBorder="1" applyAlignment="1">
      <alignment horizontal="center" vertical="center" wrapText="1"/>
    </xf>
    <xf numFmtId="0" fontId="74" fillId="0" borderId="226" xfId="35" applyFont="1" applyBorder="1" applyAlignment="1">
      <alignment horizontal="center" vertical="center" wrapText="1"/>
    </xf>
    <xf numFmtId="0" fontId="74" fillId="0" borderId="0" xfId="35" applyFont="1" applyAlignment="1">
      <alignment horizontal="center" vertical="center" wrapText="1"/>
    </xf>
    <xf numFmtId="0" fontId="74" fillId="0" borderId="228" xfId="35" applyFont="1" applyBorder="1" applyAlignment="1">
      <alignment horizontal="center" vertical="center" wrapText="1"/>
    </xf>
    <xf numFmtId="0" fontId="0" fillId="0" borderId="202" xfId="0" applyBorder="1" applyAlignment="1">
      <alignment horizontal="center"/>
    </xf>
    <xf numFmtId="0" fontId="0" fillId="0" borderId="169" xfId="0" applyBorder="1" applyAlignment="1">
      <alignment horizontal="center"/>
    </xf>
    <xf numFmtId="0" fontId="0" fillId="0" borderId="10" xfId="0" applyBorder="1" applyAlignment="1">
      <alignment horizontal="center"/>
    </xf>
    <xf numFmtId="0" fontId="0" fillId="0" borderId="0" xfId="0" applyAlignment="1">
      <alignment horizontal="center"/>
    </xf>
    <xf numFmtId="0" fontId="0" fillId="0" borderId="14" xfId="0" applyBorder="1" applyAlignment="1">
      <alignment horizontal="center"/>
    </xf>
    <xf numFmtId="0" fontId="0" fillId="0" borderId="44" xfId="0" applyBorder="1" applyAlignment="1">
      <alignment horizontal="center"/>
    </xf>
    <xf numFmtId="0" fontId="26" fillId="49" borderId="229" xfId="0" applyFont="1" applyFill="1" applyBorder="1" applyAlignment="1">
      <alignment horizontal="center" vertical="center" wrapText="1"/>
    </xf>
    <xf numFmtId="0" fontId="26" fillId="49" borderId="230" xfId="0" applyFont="1" applyFill="1" applyBorder="1" applyAlignment="1">
      <alignment horizontal="center" vertical="center" wrapText="1"/>
    </xf>
    <xf numFmtId="0" fontId="26" fillId="49" borderId="231" xfId="0" applyFont="1" applyFill="1" applyBorder="1" applyAlignment="1">
      <alignment horizontal="center" vertical="center" wrapText="1"/>
    </xf>
    <xf numFmtId="0" fontId="7" fillId="8" borderId="65" xfId="0" applyFont="1" applyFill="1" applyBorder="1" applyAlignment="1">
      <alignment horizontal="left"/>
    </xf>
    <xf numFmtId="0" fontId="7" fillId="8" borderId="67" xfId="0" applyFont="1" applyFill="1" applyBorder="1" applyAlignment="1">
      <alignment horizontal="left"/>
    </xf>
    <xf numFmtId="0" fontId="47" fillId="5" borderId="64" xfId="0" applyFont="1" applyFill="1" applyBorder="1" applyAlignment="1">
      <alignment horizontal="center"/>
    </xf>
    <xf numFmtId="0" fontId="47" fillId="5" borderId="56" xfId="0" applyFont="1" applyFill="1" applyBorder="1" applyAlignment="1">
      <alignment horizontal="center"/>
    </xf>
    <xf numFmtId="0" fontId="46" fillId="18" borderId="10" xfId="0" applyFont="1" applyFill="1" applyBorder="1" applyAlignment="1">
      <alignment horizontal="center"/>
    </xf>
    <xf numFmtId="0" fontId="46" fillId="18" borderId="0" xfId="0" applyFont="1" applyFill="1" applyAlignment="1">
      <alignment horizontal="center"/>
    </xf>
    <xf numFmtId="0" fontId="46" fillId="18" borderId="12" xfId="0" applyFont="1" applyFill="1" applyBorder="1" applyAlignment="1">
      <alignment horizontal="center"/>
    </xf>
    <xf numFmtId="0" fontId="47" fillId="5" borderId="63" xfId="0" applyFont="1" applyFill="1" applyBorder="1" applyAlignment="1">
      <alignment horizontal="center"/>
    </xf>
    <xf numFmtId="0" fontId="74" fillId="50" borderId="65" xfId="35" applyFont="1" applyFill="1" applyBorder="1" applyAlignment="1">
      <alignment horizontal="left" vertical="center" wrapText="1"/>
    </xf>
    <xf numFmtId="0" fontId="74" fillId="50" borderId="88" xfId="35" applyFont="1" applyFill="1" applyBorder="1" applyAlignment="1">
      <alignment horizontal="left" vertical="center" wrapText="1"/>
    </xf>
    <xf numFmtId="0" fontId="74" fillId="50" borderId="67" xfId="35" applyFont="1" applyFill="1" applyBorder="1" applyAlignment="1">
      <alignment horizontal="left" vertical="center" wrapText="1"/>
    </xf>
    <xf numFmtId="0" fontId="74" fillId="50" borderId="174" xfId="35" applyFont="1" applyFill="1" applyBorder="1" applyAlignment="1">
      <alignment horizontal="left" vertical="center" wrapText="1"/>
    </xf>
    <xf numFmtId="0" fontId="74" fillId="50" borderId="169" xfId="35" applyFont="1" applyFill="1" applyBorder="1" applyAlignment="1">
      <alignment horizontal="left" vertical="center" wrapText="1"/>
    </xf>
    <xf numFmtId="0" fontId="74" fillId="50" borderId="170" xfId="35" applyFont="1" applyFill="1" applyBorder="1" applyAlignment="1">
      <alignment horizontal="left" vertical="center" wrapText="1"/>
    </xf>
    <xf numFmtId="0" fontId="26" fillId="32" borderId="64" xfId="0" applyFont="1" applyFill="1" applyBorder="1" applyAlignment="1">
      <alignment horizontal="center"/>
    </xf>
    <xf numFmtId="0" fontId="26" fillId="32" borderId="56" xfId="0" applyFont="1" applyFill="1" applyBorder="1" applyAlignment="1">
      <alignment horizontal="center"/>
    </xf>
    <xf numFmtId="0" fontId="7" fillId="0" borderId="202" xfId="0" applyFont="1" applyBorder="1" applyAlignment="1">
      <alignment horizontal="left" vertical="center" wrapText="1"/>
    </xf>
    <xf numFmtId="0" fontId="0" fillId="0" borderId="169" xfId="0" applyBorder="1" applyAlignment="1">
      <alignment horizontal="left" vertical="center"/>
    </xf>
    <xf numFmtId="0" fontId="0" fillId="0" borderId="170" xfId="0" applyBorder="1" applyAlignment="1">
      <alignment horizontal="left" vertical="center"/>
    </xf>
    <xf numFmtId="0" fontId="0" fillId="0" borderId="10" xfId="0" applyBorder="1" applyAlignment="1">
      <alignment horizontal="left" vertical="center"/>
    </xf>
    <xf numFmtId="0" fontId="0" fillId="0" borderId="0" xfId="0" applyAlignment="1">
      <alignment horizontal="left" vertical="center"/>
    </xf>
    <xf numFmtId="0" fontId="0" fillId="0" borderId="171" xfId="0" applyBorder="1" applyAlignment="1">
      <alignment horizontal="left" vertical="center"/>
    </xf>
    <xf numFmtId="0" fontId="0" fillId="0" borderId="203" xfId="0" applyBorder="1" applyAlignment="1">
      <alignment horizontal="left" vertical="center"/>
    </xf>
    <xf numFmtId="0" fontId="0" fillId="0" borderId="172" xfId="0" applyBorder="1" applyAlignment="1">
      <alignment horizontal="left" vertical="center"/>
    </xf>
    <xf numFmtId="0" fontId="0" fillId="0" borderId="173" xfId="0" applyBorder="1" applyAlignment="1">
      <alignment horizontal="left" vertical="center"/>
    </xf>
    <xf numFmtId="0" fontId="74" fillId="0" borderId="174" xfId="35" applyFont="1" applyBorder="1" applyAlignment="1">
      <alignment horizontal="center" vertical="center" wrapText="1"/>
    </xf>
    <xf numFmtId="0" fontId="74" fillId="0" borderId="169" xfId="35" applyFont="1" applyBorder="1" applyAlignment="1">
      <alignment horizontal="center" vertical="center" wrapText="1"/>
    </xf>
    <xf numFmtId="0" fontId="74" fillId="0" borderId="221" xfId="35" applyFont="1" applyBorder="1" applyAlignment="1">
      <alignment horizontal="center" vertical="center" wrapText="1"/>
    </xf>
    <xf numFmtId="0" fontId="74" fillId="0" borderId="175" xfId="35" applyFont="1" applyBorder="1" applyAlignment="1">
      <alignment horizontal="center" vertical="center" wrapText="1"/>
    </xf>
    <xf numFmtId="0" fontId="74" fillId="0" borderId="12" xfId="35" applyFont="1" applyBorder="1" applyAlignment="1">
      <alignment horizontal="center" vertical="center" wrapText="1"/>
    </xf>
    <xf numFmtId="0" fontId="74" fillId="0" borderId="176" xfId="35" applyFont="1" applyBorder="1" applyAlignment="1">
      <alignment horizontal="center" vertical="center" wrapText="1"/>
    </xf>
    <xf numFmtId="0" fontId="74" fillId="0" borderId="172" xfId="35" applyFont="1" applyBorder="1" applyAlignment="1">
      <alignment horizontal="center" vertical="center" wrapText="1"/>
    </xf>
    <xf numFmtId="0" fontId="74" fillId="0" borderId="232" xfId="35" applyFont="1" applyBorder="1" applyAlignment="1">
      <alignment horizontal="center" vertical="center" wrapText="1"/>
    </xf>
    <xf numFmtId="0" fontId="33" fillId="0" borderId="202" xfId="0" applyFont="1" applyBorder="1" applyAlignment="1">
      <alignment horizontal="left" vertical="center" wrapText="1"/>
    </xf>
    <xf numFmtId="0" fontId="33" fillId="0" borderId="169" xfId="0" applyFont="1" applyBorder="1" applyAlignment="1">
      <alignment horizontal="left" vertical="center" wrapText="1"/>
    </xf>
    <xf numFmtId="0" fontId="33" fillId="0" borderId="170" xfId="0" applyFont="1" applyBorder="1" applyAlignment="1">
      <alignment horizontal="left" vertical="center" wrapText="1"/>
    </xf>
    <xf numFmtId="0" fontId="33" fillId="0" borderId="10" xfId="0" applyFont="1" applyBorder="1" applyAlignment="1">
      <alignment horizontal="left" vertical="center" wrapText="1"/>
    </xf>
    <xf numFmtId="0" fontId="33" fillId="0" borderId="0" xfId="0" applyFont="1" applyAlignment="1">
      <alignment horizontal="left" vertical="center" wrapText="1"/>
    </xf>
    <xf numFmtId="0" fontId="33" fillId="0" borderId="171" xfId="0" applyFont="1" applyBorder="1" applyAlignment="1">
      <alignment horizontal="left" vertical="center" wrapText="1"/>
    </xf>
    <xf numFmtId="0" fontId="33" fillId="0" borderId="203" xfId="0" applyFont="1" applyBorder="1" applyAlignment="1">
      <alignment horizontal="left" vertical="center" wrapText="1"/>
    </xf>
    <xf numFmtId="0" fontId="33" fillId="0" borderId="172" xfId="0" applyFont="1" applyBorder="1" applyAlignment="1">
      <alignment horizontal="left" vertical="center" wrapText="1"/>
    </xf>
    <xf numFmtId="0" fontId="33" fillId="0" borderId="173" xfId="0" applyFont="1" applyBorder="1" applyAlignment="1">
      <alignment horizontal="left" vertical="center" wrapText="1"/>
    </xf>
    <xf numFmtId="0" fontId="33" fillId="0" borderId="174" xfId="0" applyFont="1" applyBorder="1" applyAlignment="1">
      <alignment horizontal="left" vertical="center" wrapText="1"/>
    </xf>
    <xf numFmtId="0" fontId="0" fillId="0" borderId="169" xfId="0" applyBorder="1" applyAlignment="1">
      <alignment horizontal="left" vertical="center" wrapText="1"/>
    </xf>
    <xf numFmtId="0" fontId="0" fillId="0" borderId="170" xfId="0" applyBorder="1" applyAlignment="1">
      <alignment horizontal="left" vertical="center" wrapText="1"/>
    </xf>
    <xf numFmtId="0" fontId="0" fillId="0" borderId="175" xfId="0" applyBorder="1" applyAlignment="1">
      <alignment horizontal="left" vertical="center" wrapText="1"/>
    </xf>
    <xf numFmtId="0" fontId="0" fillId="0" borderId="0" xfId="0" applyAlignment="1">
      <alignment horizontal="left" vertical="center" wrapText="1"/>
    </xf>
    <xf numFmtId="0" fontId="0" fillId="0" borderId="171" xfId="0" applyBorder="1" applyAlignment="1">
      <alignment horizontal="left" vertical="center" wrapText="1"/>
    </xf>
    <xf numFmtId="0" fontId="0" fillId="0" borderId="176" xfId="0" applyBorder="1" applyAlignment="1">
      <alignment horizontal="left" vertical="center" wrapText="1"/>
    </xf>
    <xf numFmtId="0" fontId="0" fillId="0" borderId="172" xfId="0" applyBorder="1" applyAlignment="1">
      <alignment horizontal="left" vertical="center" wrapText="1"/>
    </xf>
    <xf numFmtId="0" fontId="0" fillId="0" borderId="173" xfId="0" applyBorder="1" applyAlignment="1">
      <alignment horizontal="left" vertical="center" wrapText="1"/>
    </xf>
    <xf numFmtId="0" fontId="74" fillId="0" borderId="174" xfId="35" applyFont="1" applyBorder="1" applyAlignment="1">
      <alignment horizontal="left" vertical="center" wrapText="1"/>
    </xf>
    <xf numFmtId="0" fontId="74" fillId="0" borderId="169" xfId="35" applyFont="1" applyBorder="1" applyAlignment="1">
      <alignment horizontal="left" vertical="center" wrapText="1"/>
    </xf>
    <xf numFmtId="0" fontId="74" fillId="0" borderId="170" xfId="35" applyFont="1" applyBorder="1" applyAlignment="1">
      <alignment horizontal="left" vertical="center" wrapText="1"/>
    </xf>
    <xf numFmtId="0" fontId="7" fillId="8" borderId="34" xfId="0" applyFont="1" applyFill="1" applyBorder="1" applyAlignment="1">
      <alignment horizontal="left" vertical="center"/>
    </xf>
    <xf numFmtId="0" fontId="7" fillId="8" borderId="27" xfId="0" applyFont="1" applyFill="1" applyBorder="1" applyAlignment="1">
      <alignment horizontal="left" vertical="center"/>
    </xf>
    <xf numFmtId="9" fontId="12" fillId="8" borderId="26" xfId="16" applyFont="1" applyFill="1" applyBorder="1" applyAlignment="1">
      <alignment horizontal="left"/>
    </xf>
    <xf numFmtId="9" fontId="12" fillId="8" borderId="25" xfId="16" applyFont="1" applyFill="1" applyBorder="1" applyAlignment="1">
      <alignment horizontal="left"/>
    </xf>
    <xf numFmtId="0" fontId="33" fillId="8" borderId="204" xfId="0" applyFont="1" applyFill="1" applyBorder="1" applyAlignment="1">
      <alignment horizontal="center" vertical="center" wrapText="1"/>
    </xf>
    <xf numFmtId="0" fontId="47" fillId="5" borderId="222" xfId="0" applyFont="1" applyFill="1" applyBorder="1" applyAlignment="1">
      <alignment horizontal="center"/>
    </xf>
    <xf numFmtId="0" fontId="47" fillId="5" borderId="204" xfId="0" applyFont="1" applyFill="1" applyBorder="1" applyAlignment="1">
      <alignment horizontal="center"/>
    </xf>
    <xf numFmtId="0" fontId="20" fillId="0" borderId="22" xfId="0" applyFont="1" applyBorder="1" applyAlignment="1">
      <alignment horizontal="center" wrapText="1"/>
    </xf>
    <xf numFmtId="0" fontId="20" fillId="0" borderId="26" xfId="0" applyFont="1" applyBorder="1" applyAlignment="1">
      <alignment horizontal="center" wrapText="1"/>
    </xf>
    <xf numFmtId="0" fontId="7" fillId="0" borderId="19" xfId="0" applyFont="1" applyBorder="1" applyAlignment="1">
      <alignment horizontal="left"/>
    </xf>
    <xf numFmtId="0" fontId="47" fillId="5" borderId="223" xfId="0" applyFont="1" applyFill="1" applyBorder="1" applyAlignment="1">
      <alignment horizontal="center"/>
    </xf>
    <xf numFmtId="0" fontId="26" fillId="32" borderId="204" xfId="0" applyFont="1" applyFill="1" applyBorder="1" applyAlignment="1">
      <alignment horizontal="center"/>
    </xf>
    <xf numFmtId="0" fontId="47" fillId="5" borderId="22" xfId="0" applyFont="1" applyFill="1" applyBorder="1" applyAlignment="1">
      <alignment horizontal="center"/>
    </xf>
    <xf numFmtId="0" fontId="47" fillId="5" borderId="19" xfId="0" applyFont="1" applyFill="1" applyBorder="1" applyAlignment="1">
      <alignment horizontal="center"/>
    </xf>
    <xf numFmtId="0" fontId="20" fillId="0" borderId="22" xfId="0" applyFont="1" applyBorder="1" applyAlignment="1">
      <alignment horizontal="center" vertical="center" wrapText="1"/>
    </xf>
    <xf numFmtId="0" fontId="20" fillId="0" borderId="26" xfId="0" applyFont="1" applyBorder="1" applyAlignment="1">
      <alignment horizontal="center" vertical="center" wrapText="1"/>
    </xf>
    <xf numFmtId="0" fontId="47" fillId="5" borderId="36" xfId="0" applyFont="1" applyFill="1" applyBorder="1" applyAlignment="1">
      <alignment horizontal="center"/>
    </xf>
    <xf numFmtId="0" fontId="47" fillId="5" borderId="46" xfId="0" applyFont="1" applyFill="1" applyBorder="1" applyAlignment="1">
      <alignment horizontal="center"/>
    </xf>
    <xf numFmtId="0" fontId="47" fillId="31" borderId="31" xfId="0" applyFont="1" applyFill="1" applyBorder="1" applyAlignment="1">
      <alignment horizontal="center" vertical="center" wrapText="1"/>
    </xf>
    <xf numFmtId="0" fontId="47" fillId="31" borderId="57" xfId="0" applyFont="1" applyFill="1" applyBorder="1" applyAlignment="1">
      <alignment horizontal="center" vertical="center" wrapText="1"/>
    </xf>
    <xf numFmtId="0" fontId="47" fillId="5" borderId="51" xfId="0" applyFont="1" applyFill="1" applyBorder="1" applyAlignment="1">
      <alignment horizontal="center"/>
    </xf>
    <xf numFmtId="0" fontId="47" fillId="5" borderId="52" xfId="0" applyFont="1" applyFill="1" applyBorder="1" applyAlignment="1">
      <alignment horizontal="center"/>
    </xf>
    <xf numFmtId="0" fontId="47" fillId="5" borderId="53" xfId="0" applyFont="1" applyFill="1" applyBorder="1" applyAlignment="1">
      <alignment horizontal="center"/>
    </xf>
    <xf numFmtId="179" fontId="8" fillId="0" borderId="204" xfId="0" applyNumberFormat="1" applyFont="1" applyBorder="1" applyAlignment="1">
      <alignment horizontal="center" vertical="center"/>
    </xf>
    <xf numFmtId="0" fontId="45" fillId="8" borderId="204" xfId="0" applyFont="1" applyFill="1" applyBorder="1" applyAlignment="1">
      <alignment horizontal="center" vertical="center" wrapText="1"/>
    </xf>
    <xf numFmtId="181" fontId="45" fillId="0" borderId="204" xfId="16" applyNumberFormat="1" applyFont="1" applyFill="1" applyBorder="1" applyAlignment="1">
      <alignment horizontal="center" vertical="center"/>
    </xf>
    <xf numFmtId="9" fontId="45" fillId="0" borderId="223" xfId="16" applyFont="1" applyFill="1" applyBorder="1" applyAlignment="1">
      <alignment horizontal="center" vertical="center"/>
    </xf>
    <xf numFmtId="0" fontId="8" fillId="12" borderId="204" xfId="0" applyFont="1" applyFill="1" applyBorder="1" applyAlignment="1">
      <alignment horizontal="center" vertical="center" wrapText="1"/>
    </xf>
    <xf numFmtId="0" fontId="46" fillId="18" borderId="222" xfId="0" applyFont="1" applyFill="1" applyBorder="1" applyAlignment="1">
      <alignment horizontal="center"/>
    </xf>
    <xf numFmtId="0" fontId="46" fillId="18" borderId="204" xfId="0" applyFont="1" applyFill="1" applyBorder="1" applyAlignment="1">
      <alignment horizontal="center"/>
    </xf>
    <xf numFmtId="0" fontId="46" fillId="18" borderId="223" xfId="0" applyFont="1" applyFill="1" applyBorder="1" applyAlignment="1">
      <alignment horizontal="center"/>
    </xf>
    <xf numFmtId="0" fontId="47" fillId="5" borderId="28" xfId="0" applyFont="1" applyFill="1" applyBorder="1" applyAlignment="1">
      <alignment horizontal="center"/>
    </xf>
    <xf numFmtId="0" fontId="47" fillId="5" borderId="29" xfId="0" applyFont="1" applyFill="1" applyBorder="1" applyAlignment="1">
      <alignment horizontal="center"/>
    </xf>
    <xf numFmtId="0" fontId="7" fillId="8" borderId="204" xfId="0" applyFont="1" applyFill="1" applyBorder="1" applyAlignment="1">
      <alignment horizontal="center"/>
    </xf>
    <xf numFmtId="0" fontId="0" fillId="8" borderId="204" xfId="0" applyFill="1" applyBorder="1" applyAlignment="1">
      <alignment horizontal="center" vertical="center" wrapText="1"/>
    </xf>
    <xf numFmtId="0" fontId="8" fillId="0" borderId="59" xfId="0" applyFont="1" applyBorder="1" applyAlignment="1">
      <alignment horizontal="center" vertical="center"/>
    </xf>
    <xf numFmtId="0" fontId="8" fillId="0" borderId="18" xfId="0" applyFont="1" applyBorder="1" applyAlignment="1">
      <alignment horizontal="center" vertical="center"/>
    </xf>
    <xf numFmtId="0" fontId="8" fillId="0" borderId="60" xfId="0" applyFont="1" applyBorder="1" applyAlignment="1">
      <alignment horizontal="center" vertical="center"/>
    </xf>
    <xf numFmtId="0" fontId="26" fillId="32" borderId="36" xfId="0" applyFont="1" applyFill="1" applyBorder="1" applyAlignment="1">
      <alignment horizontal="center"/>
    </xf>
    <xf numFmtId="0" fontId="26" fillId="32" borderId="28" xfId="0" applyFont="1" applyFill="1" applyBorder="1" applyAlignment="1">
      <alignment horizontal="center"/>
    </xf>
    <xf numFmtId="0" fontId="26" fillId="32" borderId="26" xfId="0" applyFont="1" applyFill="1" applyBorder="1" applyAlignment="1">
      <alignment horizontal="center"/>
    </xf>
    <xf numFmtId="0" fontId="26" fillId="32" borderId="24" xfId="0" applyFont="1" applyFill="1" applyBorder="1" applyAlignment="1">
      <alignment horizontal="center"/>
    </xf>
    <xf numFmtId="14" fontId="12" fillId="8" borderId="26" xfId="0" applyNumberFormat="1" applyFont="1" applyFill="1" applyBorder="1" applyAlignment="1">
      <alignment horizontal="center"/>
    </xf>
    <xf numFmtId="14" fontId="12" fillId="8" borderId="25" xfId="0" applyNumberFormat="1" applyFont="1" applyFill="1" applyBorder="1" applyAlignment="1">
      <alignment horizontal="center"/>
    </xf>
    <xf numFmtId="0" fontId="7" fillId="0" borderId="19" xfId="0" quotePrefix="1" applyFont="1" applyBorder="1" applyAlignment="1">
      <alignment horizontal="left"/>
    </xf>
    <xf numFmtId="0" fontId="73" fillId="8" borderId="19" xfId="0" applyFont="1" applyFill="1" applyBorder="1" applyAlignment="1">
      <alignment horizontal="center" vertical="center" wrapText="1"/>
    </xf>
    <xf numFmtId="0" fontId="12" fillId="8" borderId="24" xfId="0" applyFont="1" applyFill="1" applyBorder="1" applyAlignment="1">
      <alignment horizontal="center"/>
    </xf>
    <xf numFmtId="0" fontId="12" fillId="8" borderId="25" xfId="0" applyFont="1" applyFill="1" applyBorder="1" applyAlignment="1">
      <alignment horizontal="center"/>
    </xf>
    <xf numFmtId="0" fontId="26" fillId="32" borderId="63" xfId="0" applyFont="1" applyFill="1" applyBorder="1" applyAlignment="1">
      <alignment horizontal="center"/>
    </xf>
    <xf numFmtId="0" fontId="0" fillId="0" borderId="175" xfId="0" applyBorder="1" applyAlignment="1">
      <alignment horizontal="left" vertical="center"/>
    </xf>
    <xf numFmtId="0" fontId="0" fillId="0" borderId="176" xfId="0" applyBorder="1" applyAlignment="1">
      <alignment horizontal="left" vertical="center"/>
    </xf>
    <xf numFmtId="0" fontId="12" fillId="0" borderId="204" xfId="0" applyFont="1" applyBorder="1" applyAlignment="1">
      <alignment horizontal="center" vertical="center" wrapText="1"/>
    </xf>
    <xf numFmtId="0" fontId="12" fillId="0" borderId="223" xfId="0" applyFont="1" applyBorder="1" applyAlignment="1">
      <alignment horizontal="center" vertical="center" wrapText="1"/>
    </xf>
    <xf numFmtId="0" fontId="7" fillId="0" borderId="65" xfId="0" applyFont="1" applyBorder="1" applyAlignment="1">
      <alignment horizontal="left"/>
    </xf>
    <xf numFmtId="0" fontId="7" fillId="0" borderId="67" xfId="0" applyFont="1" applyBorder="1" applyAlignment="1">
      <alignment horizontal="left"/>
    </xf>
    <xf numFmtId="0" fontId="7" fillId="0" borderId="65" xfId="0" applyFont="1" applyBorder="1" applyAlignment="1">
      <alignment horizontal="left" indent="1"/>
    </xf>
    <xf numFmtId="0" fontId="7" fillId="0" borderId="67" xfId="0" applyFont="1" applyBorder="1" applyAlignment="1">
      <alignment horizontal="left" indent="1"/>
    </xf>
    <xf numFmtId="0" fontId="12" fillId="0" borderId="65" xfId="0" applyFont="1" applyBorder="1" applyAlignment="1">
      <alignment horizontal="left"/>
    </xf>
    <xf numFmtId="0" fontId="12" fillId="0" borderId="67" xfId="0" applyFont="1" applyBorder="1" applyAlignment="1">
      <alignment horizontal="left"/>
    </xf>
    <xf numFmtId="0" fontId="0" fillId="0" borderId="65" xfId="0" applyBorder="1" applyAlignment="1">
      <alignment horizontal="left"/>
    </xf>
    <xf numFmtId="0" fontId="0" fillId="0" borderId="67" xfId="0" applyBorder="1" applyAlignment="1">
      <alignment horizontal="left"/>
    </xf>
    <xf numFmtId="0" fontId="30" fillId="5" borderId="76" xfId="0" applyFont="1" applyFill="1" applyBorder="1" applyAlignment="1">
      <alignment horizontal="center"/>
    </xf>
    <xf numFmtId="0" fontId="30" fillId="5" borderId="77" xfId="0" applyFont="1" applyFill="1" applyBorder="1" applyAlignment="1">
      <alignment horizontal="center"/>
    </xf>
    <xf numFmtId="0" fontId="30" fillId="5" borderId="78" xfId="0" applyFont="1" applyFill="1" applyBorder="1" applyAlignment="1">
      <alignment horizontal="center"/>
    </xf>
    <xf numFmtId="0" fontId="12" fillId="14" borderId="76" xfId="0" applyFont="1" applyFill="1" applyBorder="1" applyAlignment="1">
      <alignment horizontal="center"/>
    </xf>
    <xf numFmtId="0" fontId="12" fillId="14" borderId="78" xfId="0" applyFont="1" applyFill="1" applyBorder="1" applyAlignment="1">
      <alignment horizontal="center"/>
    </xf>
    <xf numFmtId="0" fontId="12" fillId="24" borderId="83" xfId="0" applyFont="1" applyFill="1" applyBorder="1" applyAlignment="1">
      <alignment horizontal="center"/>
    </xf>
    <xf numFmtId="0" fontId="12" fillId="24" borderId="84" xfId="0" applyFont="1" applyFill="1" applyBorder="1" applyAlignment="1">
      <alignment horizontal="center"/>
    </xf>
    <xf numFmtId="0" fontId="12" fillId="24" borderId="85" xfId="0" applyFont="1" applyFill="1" applyBorder="1" applyAlignment="1">
      <alignment horizontal="center"/>
    </xf>
    <xf numFmtId="0" fontId="12" fillId="14" borderId="77" xfId="0" applyFont="1" applyFill="1" applyBorder="1" applyAlignment="1">
      <alignment horizontal="center"/>
    </xf>
    <xf numFmtId="0" fontId="12" fillId="24" borderId="81" xfId="0" applyFont="1" applyFill="1" applyBorder="1" applyAlignment="1">
      <alignment horizontal="center"/>
    </xf>
    <xf numFmtId="0" fontId="12" fillId="24" borderId="82" xfId="0" applyFont="1" applyFill="1" applyBorder="1" applyAlignment="1">
      <alignment horizontal="center"/>
    </xf>
    <xf numFmtId="0" fontId="44" fillId="0" borderId="86" xfId="0" applyFont="1" applyBorder="1" applyAlignment="1">
      <alignment horizontal="center"/>
    </xf>
    <xf numFmtId="0" fontId="44" fillId="0" borderId="87" xfId="0" applyFont="1" applyBorder="1" applyAlignment="1">
      <alignment horizontal="center"/>
    </xf>
    <xf numFmtId="0" fontId="12" fillId="8" borderId="86" xfId="0" applyFont="1" applyFill="1" applyBorder="1" applyAlignment="1">
      <alignment horizontal="center"/>
    </xf>
    <xf numFmtId="0" fontId="12" fillId="8" borderId="88" xfId="0" applyFont="1" applyFill="1" applyBorder="1" applyAlignment="1">
      <alignment horizontal="center"/>
    </xf>
    <xf numFmtId="0" fontId="12" fillId="8" borderId="87" xfId="0" applyFont="1" applyFill="1" applyBorder="1" applyAlignment="1">
      <alignment horizontal="center"/>
    </xf>
    <xf numFmtId="10" fontId="12" fillId="0" borderId="89" xfId="16" applyNumberFormat="1" applyFont="1" applyBorder="1" applyAlignment="1">
      <alignment horizontal="center"/>
    </xf>
    <xf numFmtId="10" fontId="12" fillId="0" borderId="91" xfId="16" applyNumberFormat="1" applyFont="1" applyBorder="1" applyAlignment="1">
      <alignment horizontal="center"/>
    </xf>
    <xf numFmtId="10" fontId="12" fillId="0" borderId="90" xfId="16" applyNumberFormat="1" applyFont="1" applyBorder="1" applyAlignment="1">
      <alignment horizontal="center"/>
    </xf>
    <xf numFmtId="0" fontId="12" fillId="0" borderId="89" xfId="0" applyFont="1" applyBorder="1" applyAlignment="1">
      <alignment horizontal="center"/>
    </xf>
    <xf numFmtId="0" fontId="12" fillId="0" borderId="91" xfId="0" applyFont="1" applyBorder="1" applyAlignment="1">
      <alignment horizontal="center"/>
    </xf>
    <xf numFmtId="0" fontId="12" fillId="0" borderId="90" xfId="0" applyFont="1" applyBorder="1" applyAlignment="1">
      <alignment horizontal="center"/>
    </xf>
    <xf numFmtId="0" fontId="79" fillId="0" borderId="86" xfId="0" applyFont="1" applyBorder="1" applyAlignment="1">
      <alignment horizontal="center"/>
    </xf>
    <xf numFmtId="0" fontId="12" fillId="34" borderId="86" xfId="0" applyFont="1" applyFill="1" applyBorder="1" applyAlignment="1">
      <alignment horizontal="center"/>
    </xf>
    <xf numFmtId="0" fontId="12" fillId="34" borderId="88" xfId="0" applyFont="1" applyFill="1" applyBorder="1" applyAlignment="1">
      <alignment horizontal="center"/>
    </xf>
    <xf numFmtId="0" fontId="12" fillId="34" borderId="87" xfId="0" applyFont="1" applyFill="1" applyBorder="1" applyAlignment="1">
      <alignment horizontal="center"/>
    </xf>
    <xf numFmtId="10" fontId="12" fillId="8" borderId="86" xfId="16" applyNumberFormat="1" applyFont="1" applyFill="1" applyBorder="1" applyAlignment="1">
      <alignment horizontal="center"/>
    </xf>
    <xf numFmtId="10" fontId="12" fillId="8" borderId="88" xfId="16" applyNumberFormat="1" applyFont="1" applyFill="1" applyBorder="1" applyAlignment="1">
      <alignment horizontal="center"/>
    </xf>
    <xf numFmtId="10" fontId="12" fillId="8" borderId="87" xfId="16" applyNumberFormat="1" applyFont="1" applyFill="1" applyBorder="1" applyAlignment="1">
      <alignment horizontal="center"/>
    </xf>
    <xf numFmtId="0" fontId="33" fillId="0" borderId="101" xfId="0" applyFont="1" applyBorder="1" applyAlignment="1">
      <alignment horizontal="center" vertical="center" wrapText="1"/>
    </xf>
    <xf numFmtId="0" fontId="0" fillId="0" borderId="43" xfId="0" applyBorder="1" applyAlignment="1">
      <alignment horizontal="center" vertical="center" wrapText="1"/>
    </xf>
    <xf numFmtId="0" fontId="0" fillId="0" borderId="102" xfId="0" applyBorder="1" applyAlignment="1">
      <alignment horizontal="center" vertical="center" wrapText="1"/>
    </xf>
    <xf numFmtId="0" fontId="0" fillId="0" borderId="75" xfId="0" applyBorder="1" applyAlignment="1">
      <alignment horizontal="center" vertical="center" wrapText="1"/>
    </xf>
    <xf numFmtId="0" fontId="7" fillId="0" borderId="81" xfId="0" applyFont="1" applyBorder="1" applyAlignment="1">
      <alignment horizontal="left" vertical="center"/>
    </xf>
    <xf numFmtId="0" fontId="7" fillId="0" borderId="201" xfId="0" applyFont="1" applyBorder="1" applyAlignment="1">
      <alignment horizontal="left" vertical="center"/>
    </xf>
    <xf numFmtId="0" fontId="7" fillId="0" borderId="82" xfId="0" applyFont="1" applyBorder="1" applyAlignment="1">
      <alignment horizontal="left" vertical="center"/>
    </xf>
    <xf numFmtId="0" fontId="7" fillId="0" borderId="89" xfId="0" applyFont="1" applyBorder="1" applyAlignment="1">
      <alignment horizontal="center"/>
    </xf>
    <xf numFmtId="0" fontId="7" fillId="0" borderId="91" xfId="0" applyFont="1" applyBorder="1" applyAlignment="1">
      <alignment horizontal="center"/>
    </xf>
    <xf numFmtId="0" fontId="7" fillId="0" borderId="90" xfId="0" applyFont="1" applyBorder="1" applyAlignment="1">
      <alignment horizontal="center"/>
    </xf>
    <xf numFmtId="0" fontId="0" fillId="0" borderId="101" xfId="0" applyBorder="1" applyAlignment="1">
      <alignment horizontal="center" vertical="center" wrapText="1"/>
    </xf>
    <xf numFmtId="0" fontId="0" fillId="0" borderId="200" xfId="0" applyBorder="1" applyAlignment="1">
      <alignment horizontal="center" vertical="center" wrapText="1"/>
    </xf>
    <xf numFmtId="0" fontId="8" fillId="0" borderId="76" xfId="0" applyFont="1" applyBorder="1" applyAlignment="1">
      <alignment horizontal="center" vertical="center"/>
    </xf>
    <xf numFmtId="0" fontId="8" fillId="0" borderId="78" xfId="0" applyFont="1" applyBorder="1" applyAlignment="1">
      <alignment horizontal="center" vertical="center"/>
    </xf>
    <xf numFmtId="0" fontId="72" fillId="0" borderId="89" xfId="0" applyFont="1" applyBorder="1" applyAlignment="1">
      <alignment horizontal="center" vertical="center"/>
    </xf>
    <xf numFmtId="0" fontId="72" fillId="0" borderId="90" xfId="0" applyFont="1" applyBorder="1" applyAlignment="1">
      <alignment horizontal="center" vertical="center"/>
    </xf>
    <xf numFmtId="0" fontId="30" fillId="5" borderId="71" xfId="0" applyFont="1" applyFill="1" applyBorder="1" applyAlignment="1">
      <alignment horizontal="center"/>
    </xf>
    <xf numFmtId="0" fontId="30" fillId="5" borderId="72" xfId="0" applyFont="1" applyFill="1" applyBorder="1" applyAlignment="1">
      <alignment horizontal="center"/>
    </xf>
    <xf numFmtId="0" fontId="72" fillId="0" borderId="81" xfId="0" applyFont="1" applyBorder="1" applyAlignment="1">
      <alignment horizontal="center" vertical="center"/>
    </xf>
    <xf numFmtId="0" fontId="72" fillId="0" borderId="82" xfId="0" applyFont="1" applyBorder="1" applyAlignment="1">
      <alignment horizontal="center" vertical="center"/>
    </xf>
    <xf numFmtId="0" fontId="7" fillId="0" borderId="86" xfId="0" applyFont="1" applyBorder="1" applyAlignment="1">
      <alignment horizontal="center"/>
    </xf>
    <xf numFmtId="0" fontId="7" fillId="0" borderId="88" xfId="0" applyFont="1" applyBorder="1" applyAlignment="1">
      <alignment horizontal="center"/>
    </xf>
    <xf numFmtId="0" fontId="7" fillId="0" borderId="87" xfId="0" applyFont="1" applyBorder="1" applyAlignment="1">
      <alignment horizontal="center"/>
    </xf>
    <xf numFmtId="0" fontId="72" fillId="0" borderId="86" xfId="0" applyFont="1" applyBorder="1" applyAlignment="1">
      <alignment horizontal="center" vertical="center"/>
    </xf>
    <xf numFmtId="0" fontId="72" fillId="0" borderId="87" xfId="0" applyFont="1" applyBorder="1" applyAlignment="1">
      <alignment horizontal="center" vertical="center"/>
    </xf>
    <xf numFmtId="0" fontId="30" fillId="5" borderId="76" xfId="0" applyFont="1" applyFill="1" applyBorder="1" applyAlignment="1">
      <alignment horizontal="center" vertical="center"/>
    </xf>
    <xf numFmtId="0" fontId="30" fillId="5" borderId="77" xfId="0" applyFont="1" applyFill="1" applyBorder="1" applyAlignment="1">
      <alignment horizontal="center" vertical="center"/>
    </xf>
    <xf numFmtId="0" fontId="30" fillId="5" borderId="80" xfId="0" applyFont="1" applyFill="1" applyBorder="1" applyAlignment="1">
      <alignment horizontal="center" vertical="center"/>
    </xf>
    <xf numFmtId="0" fontId="30" fillId="5" borderId="54" xfId="0" applyFont="1" applyFill="1" applyBorder="1" applyAlignment="1">
      <alignment horizontal="center"/>
    </xf>
    <xf numFmtId="0" fontId="30" fillId="5" borderId="0" xfId="0" applyFont="1" applyFill="1" applyAlignment="1">
      <alignment horizontal="center"/>
    </xf>
    <xf numFmtId="0" fontId="30" fillId="5" borderId="55" xfId="0" applyFont="1" applyFill="1" applyBorder="1" applyAlignment="1">
      <alignment horizontal="center"/>
    </xf>
    <xf numFmtId="0" fontId="46" fillId="5" borderId="0" xfId="0" applyFont="1" applyFill="1" applyAlignment="1">
      <alignment horizontal="center"/>
    </xf>
    <xf numFmtId="0" fontId="30" fillId="18" borderId="54" xfId="0" applyFont="1" applyFill="1" applyBorder="1" applyAlignment="1">
      <alignment horizontal="center"/>
    </xf>
    <xf numFmtId="0" fontId="30" fillId="18" borderId="0" xfId="0" applyFont="1" applyFill="1" applyAlignment="1">
      <alignment horizontal="center"/>
    </xf>
    <xf numFmtId="0" fontId="46" fillId="5" borderId="71" xfId="0" applyFont="1" applyFill="1" applyBorder="1" applyAlignment="1">
      <alignment horizontal="center"/>
    </xf>
    <xf numFmtId="0" fontId="46" fillId="5" borderId="72" xfId="0" applyFont="1" applyFill="1" applyBorder="1" applyAlignment="1">
      <alignment horizontal="center"/>
    </xf>
    <xf numFmtId="0" fontId="46" fillId="5" borderId="77" xfId="0" applyFont="1" applyFill="1" applyBorder="1" applyAlignment="1">
      <alignment horizontal="center"/>
    </xf>
    <xf numFmtId="0" fontId="46" fillId="5" borderId="78" xfId="0" applyFont="1" applyFill="1" applyBorder="1" applyAlignment="1">
      <alignment horizontal="center"/>
    </xf>
    <xf numFmtId="0" fontId="0" fillId="8" borderId="54" xfId="0" applyFill="1" applyBorder="1" applyAlignment="1">
      <alignment horizontal="left" vertical="top"/>
    </xf>
    <xf numFmtId="0" fontId="0" fillId="8" borderId="0" xfId="0" applyFill="1" applyAlignment="1">
      <alignment horizontal="left" vertical="top"/>
    </xf>
    <xf numFmtId="0" fontId="33" fillId="0" borderId="0" xfId="0" applyFont="1" applyAlignment="1">
      <alignment horizontal="center"/>
    </xf>
    <xf numFmtId="10" fontId="0" fillId="0" borderId="210" xfId="16" applyNumberFormat="1" applyFont="1" applyBorder="1" applyAlignment="1">
      <alignment horizontal="center"/>
    </xf>
    <xf numFmtId="10" fontId="0" fillId="0" borderId="178" xfId="16" applyNumberFormat="1" applyFont="1" applyBorder="1"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67" fillId="0" borderId="117" xfId="0" applyFont="1" applyBorder="1" applyAlignment="1">
      <alignment horizontal="center" vertical="center" wrapText="1"/>
    </xf>
    <xf numFmtId="0" fontId="22" fillId="0" borderId="118" xfId="0" applyFont="1" applyBorder="1" applyAlignment="1">
      <alignment horizontal="center" vertical="center" wrapText="1"/>
    </xf>
    <xf numFmtId="0" fontId="22" fillId="0" borderId="119" xfId="0" applyFont="1" applyBorder="1" applyAlignment="1">
      <alignment horizontal="center" vertical="center" wrapText="1"/>
    </xf>
    <xf numFmtId="0" fontId="50" fillId="5" borderId="68" xfId="0" applyFont="1" applyFill="1" applyBorder="1" applyAlignment="1">
      <alignment horizontal="center"/>
    </xf>
    <xf numFmtId="49" fontId="67" fillId="0" borderId="117" xfId="0" applyNumberFormat="1" applyFont="1" applyBorder="1" applyAlignment="1">
      <alignment horizontal="center" vertical="center" wrapText="1"/>
    </xf>
    <xf numFmtId="49" fontId="22" fillId="0" borderId="118" xfId="0" applyNumberFormat="1" applyFont="1" applyBorder="1" applyAlignment="1">
      <alignment horizontal="center" vertical="center" wrapText="1"/>
    </xf>
    <xf numFmtId="49" fontId="22" fillId="0" borderId="119" xfId="0" applyNumberFormat="1" applyFont="1" applyBorder="1" applyAlignment="1">
      <alignment horizontal="center" vertical="center" wrapText="1"/>
    </xf>
    <xf numFmtId="2" fontId="0" fillId="0" borderId="0" xfId="26" applyNumberFormat="1" applyFont="1" applyAlignment="1">
      <alignment horizontal="center"/>
    </xf>
    <xf numFmtId="0" fontId="15" fillId="18" borderId="120" xfId="1" applyFill="1" applyBorder="1" applyAlignment="1">
      <alignment horizontal="center" vertical="center" readingOrder="1"/>
    </xf>
    <xf numFmtId="0" fontId="53" fillId="18" borderId="120" xfId="26" applyFont="1" applyFill="1" applyBorder="1" applyAlignment="1">
      <alignment horizontal="center"/>
    </xf>
    <xf numFmtId="0" fontId="0" fillId="0" borderId="0" xfId="26" applyFont="1" applyAlignment="1">
      <alignment horizontal="center"/>
    </xf>
    <xf numFmtId="0" fontId="7" fillId="40" borderId="149" xfId="0" applyFont="1" applyFill="1" applyBorder="1" applyAlignment="1">
      <alignment horizontal="center"/>
    </xf>
    <xf numFmtId="0" fontId="7" fillId="40" borderId="150" xfId="0" applyFont="1" applyFill="1" applyBorder="1" applyAlignment="1">
      <alignment horizontal="center"/>
    </xf>
    <xf numFmtId="0" fontId="7" fillId="40" borderId="0" xfId="0" applyFont="1" applyFill="1" applyAlignment="1">
      <alignment horizontal="center"/>
    </xf>
    <xf numFmtId="0" fontId="7" fillId="40" borderId="189" xfId="0" applyFont="1" applyFill="1" applyBorder="1" applyAlignment="1">
      <alignment horizontal="center"/>
    </xf>
    <xf numFmtId="0" fontId="65" fillId="0" borderId="3" xfId="29" applyFont="1" applyBorder="1" applyAlignment="1">
      <alignment horizontal="center" vertical="center"/>
    </xf>
    <xf numFmtId="0" fontId="65" fillId="0" borderId="2" xfId="29" applyFont="1" applyBorder="1" applyAlignment="1">
      <alignment horizontal="center" vertical="center"/>
    </xf>
    <xf numFmtId="0" fontId="55" fillId="37" borderId="0" xfId="0" applyFont="1" applyFill="1" applyAlignment="1">
      <alignment horizontal="left" vertical="center"/>
    </xf>
    <xf numFmtId="0" fontId="55" fillId="37" borderId="150" xfId="0" applyFont="1" applyFill="1" applyBorder="1" applyAlignment="1">
      <alignment horizontal="left" vertical="center"/>
    </xf>
    <xf numFmtId="0" fontId="56" fillId="0" borderId="3" xfId="0" applyFont="1" applyBorder="1" applyAlignment="1">
      <alignment horizontal="center" vertical="center"/>
    </xf>
    <xf numFmtId="0" fontId="56" fillId="0" borderId="4" xfId="0" applyFont="1" applyBorder="1" applyAlignment="1">
      <alignment horizontal="center" vertical="center"/>
    </xf>
    <xf numFmtId="0" fontId="56" fillId="0" borderId="2" xfId="0" applyFont="1" applyBorder="1" applyAlignment="1">
      <alignment horizontal="center" vertical="center"/>
    </xf>
    <xf numFmtId="0" fontId="12" fillId="0" borderId="137" xfId="0" applyFont="1" applyBorder="1" applyAlignment="1">
      <alignment horizontal="center" vertical="center" wrapText="1"/>
    </xf>
    <xf numFmtId="0" fontId="56" fillId="0" borderId="138" xfId="0" applyFont="1" applyBorder="1" applyAlignment="1">
      <alignment horizontal="center" vertical="center" wrapText="1"/>
    </xf>
    <xf numFmtId="0" fontId="56" fillId="0" borderId="134" xfId="0" applyFont="1" applyBorder="1" applyAlignment="1">
      <alignment horizontal="center" vertical="center" wrapText="1"/>
    </xf>
    <xf numFmtId="0" fontId="56" fillId="0" borderId="135" xfId="0" applyFont="1" applyBorder="1" applyAlignment="1">
      <alignment horizontal="center" vertical="center" wrapText="1"/>
    </xf>
    <xf numFmtId="0" fontId="61" fillId="28" borderId="137" xfId="0" applyFont="1" applyFill="1" applyBorder="1" applyAlignment="1">
      <alignment horizontal="center"/>
    </xf>
    <xf numFmtId="0" fontId="61" fillId="28" borderId="0" xfId="0" applyFont="1" applyFill="1" applyAlignment="1">
      <alignment horizontal="center"/>
    </xf>
    <xf numFmtId="0" fontId="61" fillId="28" borderId="133" xfId="0" applyFont="1" applyFill="1" applyBorder="1" applyAlignment="1">
      <alignment horizontal="center"/>
    </xf>
    <xf numFmtId="0" fontId="54" fillId="12" borderId="137" xfId="0" applyFont="1" applyFill="1" applyBorder="1" applyAlignment="1">
      <alignment horizontal="center"/>
    </xf>
    <xf numFmtId="0" fontId="54" fillId="12" borderId="132" xfId="0" applyFont="1" applyFill="1" applyBorder="1" applyAlignment="1">
      <alignment horizontal="center"/>
    </xf>
    <xf numFmtId="0" fontId="54" fillId="12" borderId="150" xfId="0" applyFont="1" applyFill="1" applyBorder="1" applyAlignment="1">
      <alignment horizontal="center"/>
    </xf>
    <xf numFmtId="0" fontId="54" fillId="12" borderId="0" xfId="0" applyFont="1" applyFill="1" applyAlignment="1">
      <alignment horizontal="center"/>
    </xf>
    <xf numFmtId="0" fontId="54" fillId="12" borderId="133" xfId="0" applyFont="1" applyFill="1" applyBorder="1" applyAlignment="1">
      <alignment horizontal="center"/>
    </xf>
    <xf numFmtId="0" fontId="54" fillId="40" borderId="137" xfId="0" applyFont="1" applyFill="1" applyBorder="1" applyAlignment="1">
      <alignment horizontal="center"/>
    </xf>
    <xf numFmtId="0" fontId="54" fillId="40" borderId="132" xfId="0" applyFont="1" applyFill="1" applyBorder="1" applyAlignment="1">
      <alignment horizontal="center"/>
    </xf>
    <xf numFmtId="0" fontId="54" fillId="40" borderId="150" xfId="0" applyFont="1" applyFill="1" applyBorder="1" applyAlignment="1">
      <alignment horizontal="center"/>
    </xf>
    <xf numFmtId="0" fontId="54" fillId="40" borderId="160" xfId="0" applyFont="1" applyFill="1" applyBorder="1" applyAlignment="1">
      <alignment horizontal="center"/>
    </xf>
    <xf numFmtId="0" fontId="56" fillId="0" borderId="134" xfId="0" applyFont="1" applyBorder="1" applyAlignment="1">
      <alignment horizontal="center" vertical="center"/>
    </xf>
    <xf numFmtId="0" fontId="56" fillId="0" borderId="138" xfId="0" applyFont="1" applyBorder="1" applyAlignment="1">
      <alignment horizontal="center" vertical="center"/>
    </xf>
    <xf numFmtId="0" fontId="56" fillId="0" borderId="135" xfId="0" applyFont="1" applyBorder="1" applyAlignment="1">
      <alignment horizontal="center" vertical="center"/>
    </xf>
    <xf numFmtId="0" fontId="56" fillId="0" borderId="177" xfId="0" applyFont="1" applyBorder="1" applyAlignment="1">
      <alignment horizontal="center" vertical="center"/>
    </xf>
    <xf numFmtId="0" fontId="56" fillId="0" borderId="178" xfId="0" applyFont="1" applyBorder="1" applyAlignment="1">
      <alignment horizontal="center" vertical="center"/>
    </xf>
    <xf numFmtId="10" fontId="0" fillId="0" borderId="6" xfId="0" applyNumberFormat="1" applyBorder="1" applyAlignment="1">
      <alignment horizontal="center"/>
    </xf>
    <xf numFmtId="10" fontId="0" fillId="0" borderId="0" xfId="0" applyNumberFormat="1" applyAlignment="1">
      <alignment horizontal="center"/>
    </xf>
    <xf numFmtId="10" fontId="0" fillId="0" borderId="39" xfId="0" applyNumberFormat="1" applyBorder="1" applyAlignment="1">
      <alignment horizontal="center"/>
    </xf>
    <xf numFmtId="10" fontId="0" fillId="0" borderId="40" xfId="0" applyNumberFormat="1" applyBorder="1" applyAlignment="1">
      <alignment horizontal="center"/>
    </xf>
    <xf numFmtId="10" fontId="0" fillId="0" borderId="35" xfId="0" applyNumberFormat="1" applyBorder="1" applyAlignment="1">
      <alignment horizontal="center"/>
    </xf>
    <xf numFmtId="10" fontId="0" fillId="0" borderId="41" xfId="0" applyNumberFormat="1" applyBorder="1" applyAlignment="1">
      <alignment horizontal="center"/>
    </xf>
    <xf numFmtId="0" fontId="43" fillId="0" borderId="0" xfId="0" applyFont="1" applyAlignment="1">
      <alignment horizontal="center"/>
    </xf>
    <xf numFmtId="0" fontId="8" fillId="0" borderId="0" xfId="0" applyFont="1" applyAlignment="1">
      <alignment horizontal="center"/>
    </xf>
    <xf numFmtId="0" fontId="38" fillId="0" borderId="0" xfId="0" applyFont="1" applyAlignment="1">
      <alignment horizontal="center"/>
    </xf>
    <xf numFmtId="0" fontId="34" fillId="19" borderId="0" xfId="0" applyFont="1" applyFill="1" applyAlignment="1">
      <alignment horizontal="center"/>
    </xf>
    <xf numFmtId="4" fontId="34" fillId="19" borderId="0" xfId="0" applyNumberFormat="1" applyFont="1" applyFill="1" applyAlignment="1">
      <alignment horizontal="center"/>
    </xf>
    <xf numFmtId="0" fontId="34" fillId="0" borderId="0" xfId="0" applyFont="1" applyAlignment="1">
      <alignment horizontal="center"/>
    </xf>
    <xf numFmtId="0" fontId="22" fillId="0" borderId="0" xfId="0" applyFont="1" applyAlignment="1">
      <alignment horizontal="center"/>
    </xf>
    <xf numFmtId="0" fontId="12" fillId="0" borderId="3" xfId="0" applyFont="1" applyBorder="1" applyAlignment="1">
      <alignment horizontal="center"/>
    </xf>
    <xf numFmtId="0" fontId="12" fillId="0" borderId="2" xfId="0" applyFont="1" applyBorder="1" applyAlignment="1">
      <alignment horizontal="center"/>
    </xf>
    <xf numFmtId="0" fontId="12" fillId="0" borderId="37" xfId="0" applyFont="1" applyBorder="1" applyAlignment="1">
      <alignment horizontal="center"/>
    </xf>
    <xf numFmtId="0" fontId="12" fillId="0" borderId="5" xfId="0" applyFont="1" applyBorder="1" applyAlignment="1">
      <alignment horizontal="center"/>
    </xf>
    <xf numFmtId="0" fontId="12" fillId="0" borderId="38" xfId="0" applyFont="1" applyBorder="1" applyAlignment="1">
      <alignment horizontal="center"/>
    </xf>
  </cellXfs>
  <cellStyles count="37">
    <cellStyle name="blp_title_header_row_left" xfId="1" xr:uid="{00000000-0005-0000-0000-000000000000}"/>
    <cellStyle name="fa_column_header_bottom_left 2" xfId="2" xr:uid="{00000000-0005-0000-0000-000001000000}"/>
    <cellStyle name="fa_column_header_top 2" xfId="3" xr:uid="{00000000-0005-0000-0000-000002000000}"/>
    <cellStyle name="fa_column_header_top_left 2" xfId="4" xr:uid="{00000000-0005-0000-0000-000003000000}"/>
    <cellStyle name="fa_data_bold_0_grouped" xfId="5" xr:uid="{00000000-0005-0000-0000-000004000000}"/>
    <cellStyle name="fa_data_standard_1_grouped" xfId="6" xr:uid="{00000000-0005-0000-0000-000005000000}"/>
    <cellStyle name="fa_data_standard_1_grouped_single_border" xfId="32" xr:uid="{E0A15DCB-2477-4761-A866-36240CE8CEE6}"/>
    <cellStyle name="fa_data_standard_2_grouped" xfId="7" xr:uid="{00000000-0005-0000-0000-000006000000}"/>
    <cellStyle name="fa_footer_italic" xfId="8" xr:uid="{00000000-0005-0000-0000-000007000000}"/>
    <cellStyle name="fa_row_header_bold 2" xfId="9" xr:uid="{00000000-0005-0000-0000-000008000000}"/>
    <cellStyle name="fa_row_header_standard 2" xfId="10" xr:uid="{00000000-0005-0000-0000-000009000000}"/>
    <cellStyle name="Moneda 2" xfId="12" xr:uid="{00000000-0005-0000-0000-00000B000000}"/>
    <cellStyle name="Moneda 2 2" xfId="13" xr:uid="{00000000-0005-0000-0000-00000C000000}"/>
    <cellStyle name="Normal 2" xfId="14" xr:uid="{00000000-0005-0000-0000-00000E000000}"/>
    <cellStyle name="Normal 2 2" xfId="15" xr:uid="{00000000-0005-0000-0000-00000F000000}"/>
    <cellStyle name="Normal 2 3" xfId="20" xr:uid="{00000000-0005-0000-0000-000010000000}"/>
    <cellStyle name="Normal 2 3 2" xfId="27" xr:uid="{6A4611F8-31D7-4EA6-B27B-70EB4E34E8FD}"/>
    <cellStyle name="Normal 2 4" xfId="21" xr:uid="{DBC68614-B0BC-4348-8A0D-C96562B201CF}"/>
    <cellStyle name="Normal 3" xfId="24" xr:uid="{371B90F0-6B8E-40BF-8358-D28B574437C9}"/>
    <cellStyle name="Normal 3 2" xfId="26" xr:uid="{41BD78A2-6B23-4ADD-839D-9D86F14E11A2}"/>
    <cellStyle name="Normal 3 3" xfId="29" xr:uid="{4CBFF9A4-05AD-4A91-8AF0-FA0B5B39E2EC}"/>
    <cellStyle name="Normal 4" xfId="35" xr:uid="{08D5BCFC-B198-4A84-938D-8E889F9CB362}"/>
    <cellStyle name="Normal 5" xfId="30" xr:uid="{E3BE1569-E214-4855-8BF5-B868B88B5743}"/>
    <cellStyle name="Porcentaje 2" xfId="17" xr:uid="{00000000-0005-0000-0000-000012000000}"/>
    <cellStyle name="Porcentaje 2 2" xfId="18" xr:uid="{00000000-0005-0000-0000-000013000000}"/>
    <cellStyle name="Porcentaje 2 2 2" xfId="25" xr:uid="{924DB8B0-6B9C-4A78-9CB6-7EC8F42C7C6B}"/>
    <cellStyle name="Porcentaje 2 3" xfId="23" xr:uid="{1FF2580F-E450-433A-8AB5-6E1CABCA8FC9}"/>
    <cellStyle name="Porcentaje 2 4" xfId="28" xr:uid="{3D812F63-E4F6-4F6D-A613-EF79E76ACE35}"/>
    <cellStyle name="Porcentaje 3" xfId="19" xr:uid="{00000000-0005-0000-0000-000014000000}"/>
    <cellStyle name="Porcentaje 3 2" xfId="22" xr:uid="{59E732CE-B697-4AF7-8CEE-0C42EB60E78B}"/>
    <cellStyle name="Porcentaje 4 2" xfId="33" xr:uid="{C6A0E8B8-33DC-4334-89A4-99FF669E5EA8}"/>
    <cellStyle name="Porcentaje 5" xfId="31" xr:uid="{F07CEC0B-CE59-4BBC-A0C7-9B77A84167BF}"/>
    <cellStyle name="百分比" xfId="16" builtinId="5"/>
    <cellStyle name="常规" xfId="0" builtinId="0"/>
    <cellStyle name="超链接" xfId="11" builtinId="8"/>
    <cellStyle name="货币" xfId="34" builtinId="4"/>
    <cellStyle name="检查单元格" xfId="36" builtinId="23"/>
  </cellStyles>
  <dxfs count="37">
    <dxf>
      <fill>
        <patternFill>
          <bgColor rgb="FF00B050"/>
        </patternFill>
      </fill>
    </dxf>
    <dxf>
      <fill>
        <patternFill>
          <bgColor rgb="FFFF0000"/>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s>
  <tableStyles count="0" defaultTableStyle="TableStyleMedium9" defaultPivotStyle="PivotStyleLight16"/>
  <colors>
    <mruColors>
      <color rgb="FF94FF4B"/>
      <color rgb="FF3174C5"/>
      <color rgb="FF1F497D"/>
      <color rgb="FFC5D9F1"/>
      <color rgb="FF1B7087"/>
      <color rgb="FF63CB97"/>
      <color rgb="FFFF3399"/>
      <color rgb="FFE838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ichStyles" Target="richData/richStyles.xml"/><Relationship Id="rId26" Type="http://schemas.openxmlformats.org/officeDocument/2006/relationships/customXml" Target="../customXml/item3.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Structure" Target="richData/rdrichvaluestructure.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EBITDA MW + Equity Consolidated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95-4C49-84C7-5728DDC218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95-4C49-84C7-5728DDC218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95-4C49-84C7-5728DDC218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95-4C49-84C7-5728DDC218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95-4C49-84C7-5728DDC218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Segments!$C$17:$C$21</c:f>
              <c:strCache>
                <c:ptCount val="3"/>
                <c:pt idx="0">
                  <c:v>Onshore wind</c:v>
                </c:pt>
                <c:pt idx="1">
                  <c:v>Offshore wind</c:v>
                </c:pt>
                <c:pt idx="2">
                  <c:v>Solar (Solar DG + Solar Utility Scale)</c:v>
                </c:pt>
              </c:strCache>
            </c:strRef>
          </c:cat>
          <c:val>
            <c:numRef>
              <c:f>Segments!$D$17:$D$21</c:f>
              <c:numCache>
                <c:formatCode>#,##0.0</c:formatCode>
                <c:ptCount val="3"/>
                <c:pt idx="0">
                  <c:v>12724</c:v>
                </c:pt>
                <c:pt idx="1">
                  <c:v>322</c:v>
                </c:pt>
                <c:pt idx="2">
                  <c:v>1692</c:v>
                </c:pt>
              </c:numCache>
            </c:numRef>
          </c:val>
          <c:extLst>
            <c:ext xmlns:c16="http://schemas.microsoft.com/office/drawing/2014/chart" uri="{C3380CC4-5D6E-409C-BE32-E72D297353CC}">
              <c16:uniqueId val="{00000001-CF53-4579-B1F0-E5091D75744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9F-49D6-9FC9-334380BCCA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9F-49D6-9FC9-334380BCCA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CF-4CDC-90CE-B839E131100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FCF-4CDC-90CE-B839E131100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FCF-4CDC-90CE-B839E131100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FCF-4CDC-90CE-B839E13110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Segments!$C$5:$C$10</c:f>
              <c:strCache>
                <c:ptCount val="6"/>
                <c:pt idx="0">
                  <c:v>Portugal</c:v>
                </c:pt>
                <c:pt idx="1">
                  <c:v>Spain</c:v>
                </c:pt>
                <c:pt idx="2">
                  <c:v>Rest of Europe</c:v>
                </c:pt>
                <c:pt idx="3">
                  <c:v>North America</c:v>
                </c:pt>
                <c:pt idx="4">
                  <c:v>South America</c:v>
                </c:pt>
                <c:pt idx="5">
                  <c:v>APAC  (Asia-Pacific Region)</c:v>
                </c:pt>
              </c:strCache>
            </c:strRef>
          </c:cat>
          <c:val>
            <c:numRef>
              <c:f>Segments!$D$5:$D$10</c:f>
              <c:numCache>
                <c:formatCode>"$"#,##0</c:formatCode>
                <c:ptCount val="6"/>
                <c:pt idx="0">
                  <c:v>259</c:v>
                </c:pt>
                <c:pt idx="1">
                  <c:v>515</c:v>
                </c:pt>
                <c:pt idx="2">
                  <c:v>489</c:v>
                </c:pt>
                <c:pt idx="3">
                  <c:v>952</c:v>
                </c:pt>
                <c:pt idx="4">
                  <c:v>89</c:v>
                </c:pt>
                <c:pt idx="5">
                  <c:v>85</c:v>
                </c:pt>
              </c:numCache>
            </c:numRef>
          </c:val>
          <c:extLst>
            <c:ext xmlns:c16="http://schemas.microsoft.com/office/drawing/2014/chart" uri="{C3380CC4-5D6E-409C-BE32-E72D297353CC}">
              <c16:uniqueId val="{00000001-C3B0-4A61-A0D4-9A0AF729159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GHG Scope 1 Emissions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ESG!$N$55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ESG!$M$56:$M$64</c:f>
              <c:numCache>
                <c:formatCode>General</c:formatCode>
                <c:ptCount val="9"/>
              </c:numCache>
            </c:numRef>
          </c:cat>
          <c:val>
            <c:numRef>
              <c:f>ESG!$N$56:$N$64</c:f>
              <c:numCache>
                <c:formatCode>0.00</c:formatCode>
                <c:ptCount val="9"/>
              </c:numCache>
            </c:numRef>
          </c:val>
          <c:smooth val="0"/>
          <c:extLst>
            <c:ext xmlns:c16="http://schemas.microsoft.com/office/drawing/2014/chart" uri="{C3380CC4-5D6E-409C-BE32-E72D297353CC}">
              <c16:uniqueId val="{00000000-D00D-4823-9007-DC439E2C23DA}"/>
            </c:ext>
          </c:extLst>
        </c:ser>
        <c:ser>
          <c:idx val="1"/>
          <c:order val="1"/>
          <c:tx>
            <c:strRef>
              <c:f>ESG!$O$55</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ESG!$M$56:$M$64</c:f>
              <c:numCache>
                <c:formatCode>General</c:formatCode>
                <c:ptCount val="9"/>
              </c:numCache>
            </c:numRef>
          </c:cat>
          <c:val>
            <c:numRef>
              <c:f>ESG!$O$56:$O$64</c:f>
              <c:numCache>
                <c:formatCode>0.00</c:formatCode>
                <c:ptCount val="9"/>
              </c:numCache>
            </c:numRef>
          </c:val>
          <c:smooth val="0"/>
          <c:extLst>
            <c:ext xmlns:c16="http://schemas.microsoft.com/office/drawing/2014/chart" uri="{C3380CC4-5D6E-409C-BE32-E72D297353CC}">
              <c16:uniqueId val="{00000001-D00D-4823-9007-DC439E2C23DA}"/>
            </c:ext>
          </c:extLst>
        </c:ser>
        <c:ser>
          <c:idx val="3"/>
          <c:order val="3"/>
          <c:tx>
            <c:strRef>
              <c:f>ESG!$Q$55</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ESG!$M$56:$M$64</c:f>
              <c:numCache>
                <c:formatCode>General</c:formatCode>
                <c:ptCount val="9"/>
              </c:numCache>
            </c:numRef>
          </c:cat>
          <c:val>
            <c:numRef>
              <c:f>ESG!$Q$56:$Q$64</c:f>
              <c:numCache>
                <c:formatCode>0.00</c:formatCode>
                <c:ptCount val="9"/>
              </c:numCache>
            </c:numRef>
          </c:val>
          <c:smooth val="0"/>
          <c:extLst>
            <c:ext xmlns:c16="http://schemas.microsoft.com/office/drawing/2014/chart" uri="{C3380CC4-5D6E-409C-BE32-E72D297353CC}">
              <c16:uniqueId val="{00000003-D00D-4823-9007-DC439E2C23DA}"/>
            </c:ext>
          </c:extLst>
        </c:ser>
        <c:ser>
          <c:idx val="4"/>
          <c:order val="4"/>
          <c:tx>
            <c:strRef>
              <c:f>ESG!$R$55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ESG!$M$56:$M$64</c:f>
              <c:numCache>
                <c:formatCode>General</c:formatCode>
                <c:ptCount val="9"/>
              </c:numCache>
            </c:numRef>
          </c:cat>
          <c:val>
            <c:numRef>
              <c:f>ESG!$R$56:$R$64</c:f>
              <c:numCache>
                <c:formatCode>0.00</c:formatCode>
                <c:ptCount val="9"/>
              </c:numCache>
            </c:numRef>
          </c:val>
          <c:smooth val="0"/>
          <c:extLst>
            <c:ext xmlns:c16="http://schemas.microsoft.com/office/drawing/2014/chart" uri="{C3380CC4-5D6E-409C-BE32-E72D297353CC}">
              <c16:uniqueId val="{00000004-D00D-4823-9007-DC439E2C23DA}"/>
            </c:ext>
          </c:extLst>
        </c:ser>
        <c:ser>
          <c:idx val="5"/>
          <c:order val="5"/>
          <c:tx>
            <c:strRef>
              <c:f>ESG!$S$55</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ESG!$M$56:$M$64</c:f>
              <c:numCache>
                <c:formatCode>General</c:formatCode>
                <c:ptCount val="9"/>
              </c:numCache>
            </c:numRef>
          </c:cat>
          <c:val>
            <c:numRef>
              <c:f>ESG!$S$56:$S$64</c:f>
              <c:numCache>
                <c:formatCode>0.00</c:formatCode>
                <c:ptCount val="9"/>
              </c:numCache>
            </c:numRef>
          </c:val>
          <c:smooth val="0"/>
          <c:extLst>
            <c:ext xmlns:c16="http://schemas.microsoft.com/office/drawing/2014/chart" uri="{C3380CC4-5D6E-409C-BE32-E72D297353CC}">
              <c16:uniqueId val="{00000005-D00D-4823-9007-DC439E2C23DA}"/>
            </c:ext>
          </c:extLst>
        </c:ser>
        <c:dLbls>
          <c:showLegendKey val="0"/>
          <c:showVal val="0"/>
          <c:showCatName val="0"/>
          <c:showSerName val="0"/>
          <c:showPercent val="0"/>
          <c:showBubbleSize val="0"/>
        </c:dLbls>
        <c:marker val="1"/>
        <c:smooth val="0"/>
        <c:axId val="73385855"/>
        <c:axId val="73386335"/>
        <c:extLst>
          <c:ext xmlns:c15="http://schemas.microsoft.com/office/drawing/2012/chart" uri="{02D57815-91ED-43cb-92C2-25804820EDAC}">
            <c15:filteredLineSeries>
              <c15:ser>
                <c:idx val="2"/>
                <c:order val="2"/>
                <c:tx>
                  <c:strRef>
                    <c:extLst>
                      <c:ext uri="{02D57815-91ED-43cb-92C2-25804820EDAC}">
                        <c15:formulaRef>
                          <c15:sqref>ESG!$P$55</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uri="{02D57815-91ED-43cb-92C2-25804820EDAC}">
                        <c15:formulaRef>
                          <c15:sqref>ESG!$M$56:$M$64</c15:sqref>
                        </c15:formulaRef>
                      </c:ext>
                    </c:extLst>
                    <c:numCache>
                      <c:formatCode>General</c:formatCode>
                      <c:ptCount val="9"/>
                    </c:numCache>
                  </c:numRef>
                </c:cat>
                <c:val>
                  <c:numRef>
                    <c:extLst>
                      <c:ext uri="{02D57815-91ED-43cb-92C2-25804820EDAC}">
                        <c15:formulaRef>
                          <c15:sqref>ESG!$P$56:$P$64</c15:sqref>
                        </c15:formulaRef>
                      </c:ext>
                    </c:extLst>
                    <c:numCache>
                      <c:formatCode>0.00</c:formatCode>
                      <c:ptCount val="9"/>
                    </c:numCache>
                  </c:numRef>
                </c:val>
                <c:smooth val="0"/>
                <c:extLst>
                  <c:ext xmlns:c16="http://schemas.microsoft.com/office/drawing/2014/chart" uri="{C3380CC4-5D6E-409C-BE32-E72D297353CC}">
                    <c16:uniqueId val="{00000002-D00D-4823-9007-DC439E2C23DA}"/>
                  </c:ext>
                </c:extLst>
              </c15:ser>
            </c15:filteredLineSeries>
          </c:ext>
        </c:extLst>
      </c:lineChart>
      <c:catAx>
        <c:axId val="7338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6335"/>
        <c:crosses val="autoZero"/>
        <c:auto val="1"/>
        <c:lblAlgn val="ctr"/>
        <c:lblOffset val="100"/>
        <c:noMultiLvlLbl val="0"/>
      </c:catAx>
      <c:valAx>
        <c:axId val="73386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5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Water Consumption (Cubic Meters)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ESG!$N$67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ESG!$M$68:$M$76</c:f>
              <c:numCache>
                <c:formatCode>General</c:formatCode>
                <c:ptCount val="9"/>
              </c:numCache>
            </c:numRef>
          </c:cat>
          <c:val>
            <c:numRef>
              <c:f>ESG!$N$68:$N$76</c:f>
              <c:numCache>
                <c:formatCode>0.00</c:formatCode>
                <c:ptCount val="9"/>
              </c:numCache>
            </c:numRef>
          </c:val>
          <c:smooth val="0"/>
          <c:extLst>
            <c:ext xmlns:c16="http://schemas.microsoft.com/office/drawing/2014/chart" uri="{C3380CC4-5D6E-409C-BE32-E72D297353CC}">
              <c16:uniqueId val="{00000000-5789-4750-89D4-9EEBF96780C0}"/>
            </c:ext>
          </c:extLst>
        </c:ser>
        <c:ser>
          <c:idx val="3"/>
          <c:order val="3"/>
          <c:tx>
            <c:strRef>
              <c:f>ESG!$Q$67</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ESG!$M$68:$M$76</c:f>
              <c:numCache>
                <c:formatCode>General</c:formatCode>
                <c:ptCount val="9"/>
              </c:numCache>
            </c:numRef>
          </c:cat>
          <c:val>
            <c:numRef>
              <c:f>ESG!$Q$68:$Q$76</c:f>
              <c:numCache>
                <c:formatCode>0.00</c:formatCode>
                <c:ptCount val="9"/>
              </c:numCache>
            </c:numRef>
          </c:val>
          <c:smooth val="0"/>
          <c:extLst>
            <c:ext xmlns:c16="http://schemas.microsoft.com/office/drawing/2014/chart" uri="{C3380CC4-5D6E-409C-BE32-E72D297353CC}">
              <c16:uniqueId val="{00000003-5789-4750-89D4-9EEBF96780C0}"/>
            </c:ext>
          </c:extLst>
        </c:ser>
        <c:ser>
          <c:idx val="4"/>
          <c:order val="4"/>
          <c:tx>
            <c:strRef>
              <c:f>ESG!$R$67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ESG!$M$68:$M$76</c:f>
              <c:numCache>
                <c:formatCode>General</c:formatCode>
                <c:ptCount val="9"/>
              </c:numCache>
            </c:numRef>
          </c:cat>
          <c:val>
            <c:numRef>
              <c:f>ESG!$R$68:$R$76</c:f>
              <c:numCache>
                <c:formatCode>0.00</c:formatCode>
                <c:ptCount val="9"/>
              </c:numCache>
            </c:numRef>
          </c:val>
          <c:smooth val="0"/>
          <c:extLst>
            <c:ext xmlns:c16="http://schemas.microsoft.com/office/drawing/2014/chart" uri="{C3380CC4-5D6E-409C-BE32-E72D297353CC}">
              <c16:uniqueId val="{00000004-5789-4750-89D4-9EEBF96780C0}"/>
            </c:ext>
          </c:extLst>
        </c:ser>
        <c:dLbls>
          <c:showLegendKey val="0"/>
          <c:showVal val="0"/>
          <c:showCatName val="0"/>
          <c:showSerName val="0"/>
          <c:showPercent val="0"/>
          <c:showBubbleSize val="0"/>
        </c:dLbls>
        <c:marker val="1"/>
        <c:smooth val="0"/>
        <c:axId val="1301543471"/>
        <c:axId val="45963695"/>
        <c:extLst>
          <c:ext xmlns:c15="http://schemas.microsoft.com/office/drawing/2012/chart" uri="{02D57815-91ED-43cb-92C2-25804820EDAC}">
            <c15:filteredLineSeries>
              <c15:ser>
                <c:idx val="1"/>
                <c:order val="1"/>
                <c:tx>
                  <c:strRef>
                    <c:extLst>
                      <c:ext uri="{02D57815-91ED-43cb-92C2-25804820EDAC}">
                        <c15:formulaRef>
                          <c15:sqref>ESG!$O$67</c15:sqref>
                        </c15:formulaRef>
                      </c:ext>
                    </c:extLst>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uri="{02D57815-91ED-43cb-92C2-25804820EDAC}">
                        <c15:formulaRef>
                          <c15:sqref>ESG!$M$68:$M$76</c15:sqref>
                        </c15:formulaRef>
                      </c:ext>
                    </c:extLst>
                    <c:numCache>
                      <c:formatCode>General</c:formatCode>
                      <c:ptCount val="9"/>
                    </c:numCache>
                  </c:numRef>
                </c:cat>
                <c:val>
                  <c:numRef>
                    <c:extLst>
                      <c:ext uri="{02D57815-91ED-43cb-92C2-25804820EDAC}">
                        <c15:formulaRef>
                          <c15:sqref>ESG!$O$68:$O$76</c15:sqref>
                        </c15:formulaRef>
                      </c:ext>
                    </c:extLst>
                    <c:numCache>
                      <c:formatCode>0.00</c:formatCode>
                      <c:ptCount val="9"/>
                    </c:numCache>
                  </c:numRef>
                </c:val>
                <c:smooth val="0"/>
                <c:extLst>
                  <c:ext xmlns:c16="http://schemas.microsoft.com/office/drawing/2014/chart" uri="{C3380CC4-5D6E-409C-BE32-E72D297353CC}">
                    <c16:uniqueId val="{00000001-5789-4750-89D4-9EEBF96780C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ESG!$P$67</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ESG!$P$68:$P$76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2-5789-4750-89D4-9EEBF96780C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ESG!$S$67</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ESG!$S$68:$S$76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5-5789-4750-89D4-9EEBF96780C0}"/>
                  </c:ext>
                </c:extLst>
              </c15:ser>
            </c15:filteredLineSeries>
          </c:ext>
        </c:extLst>
      </c:lineChart>
      <c:catAx>
        <c:axId val="130154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3695"/>
        <c:crosses val="autoZero"/>
        <c:auto val="1"/>
        <c:lblAlgn val="ctr"/>
        <c:lblOffset val="100"/>
        <c:noMultiLvlLbl val="0"/>
      </c:catAx>
      <c:valAx>
        <c:axId val="4596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54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Energy</a:t>
            </a:r>
            <a:r>
              <a:rPr lang="pt-PT" baseline="0"/>
              <a:t> Consumption (Gigajoules)</a:t>
            </a:r>
            <a:endParaRPr lang="pt-P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PT"/>
        </a:p>
      </c:txPr>
    </c:title>
    <c:autoTitleDeleted val="0"/>
    <c:plotArea>
      <c:layout/>
      <c:lineChart>
        <c:grouping val="standard"/>
        <c:varyColors val="0"/>
        <c:ser>
          <c:idx val="0"/>
          <c:order val="0"/>
          <c:tx>
            <c:strRef>
              <c:f>ESG!$N$79</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ESG!$M$80:$M$88</c:f>
              <c:numCache>
                <c:formatCode>General</c:formatCode>
                <c:ptCount val="9"/>
              </c:numCache>
            </c:numRef>
          </c:cat>
          <c:val>
            <c:numRef>
              <c:f>ESG!$N$80:$N$88</c:f>
              <c:numCache>
                <c:formatCode>0.00</c:formatCode>
                <c:ptCount val="9"/>
              </c:numCache>
            </c:numRef>
          </c:val>
          <c:smooth val="0"/>
          <c:extLst>
            <c:ext xmlns:c16="http://schemas.microsoft.com/office/drawing/2014/chart" uri="{C3380CC4-5D6E-409C-BE32-E72D297353CC}">
              <c16:uniqueId val="{00000000-917B-4C45-979C-FFDB55C82DDB}"/>
            </c:ext>
          </c:extLst>
        </c:ser>
        <c:ser>
          <c:idx val="1"/>
          <c:order val="1"/>
          <c:tx>
            <c:strRef>
              <c:f>ESG!$O$79</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ESG!$M$80:$M$88</c:f>
              <c:numCache>
                <c:formatCode>General</c:formatCode>
                <c:ptCount val="9"/>
              </c:numCache>
            </c:numRef>
          </c:cat>
          <c:val>
            <c:numRef>
              <c:f>ESG!$O$80:$O$88</c:f>
              <c:numCache>
                <c:formatCode>0.00</c:formatCode>
                <c:ptCount val="9"/>
              </c:numCache>
            </c:numRef>
          </c:val>
          <c:smooth val="0"/>
          <c:extLst>
            <c:ext xmlns:c16="http://schemas.microsoft.com/office/drawing/2014/chart" uri="{C3380CC4-5D6E-409C-BE32-E72D297353CC}">
              <c16:uniqueId val="{00000001-917B-4C45-979C-FFDB55C82DDB}"/>
            </c:ext>
          </c:extLst>
        </c:ser>
        <c:ser>
          <c:idx val="2"/>
          <c:order val="2"/>
          <c:tx>
            <c:strRef>
              <c:f>ESG!$P$79</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ESG!$M$80:$M$88</c:f>
              <c:numCache>
                <c:formatCode>General</c:formatCode>
                <c:ptCount val="9"/>
              </c:numCache>
            </c:numRef>
          </c:cat>
          <c:val>
            <c:numRef>
              <c:f>ESG!$P$80:$P$88</c:f>
              <c:numCache>
                <c:formatCode>0.00</c:formatCode>
                <c:ptCount val="9"/>
              </c:numCache>
            </c:numRef>
          </c:val>
          <c:smooth val="0"/>
          <c:extLst>
            <c:ext xmlns:c16="http://schemas.microsoft.com/office/drawing/2014/chart" uri="{C3380CC4-5D6E-409C-BE32-E72D297353CC}">
              <c16:uniqueId val="{00000002-917B-4C45-979C-FFDB55C82DDB}"/>
            </c:ext>
          </c:extLst>
        </c:ser>
        <c:ser>
          <c:idx val="3"/>
          <c:order val="3"/>
          <c:tx>
            <c:strRef>
              <c:f>ESG!$Q$79</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ESG!$M$80:$M$88</c:f>
              <c:numCache>
                <c:formatCode>General</c:formatCode>
                <c:ptCount val="9"/>
              </c:numCache>
            </c:numRef>
          </c:cat>
          <c:val>
            <c:numRef>
              <c:f>ESG!$Q$80:$Q$88</c:f>
              <c:numCache>
                <c:formatCode>0.00</c:formatCode>
                <c:ptCount val="9"/>
              </c:numCache>
            </c:numRef>
          </c:val>
          <c:smooth val="0"/>
          <c:extLst>
            <c:ext xmlns:c16="http://schemas.microsoft.com/office/drawing/2014/chart" uri="{C3380CC4-5D6E-409C-BE32-E72D297353CC}">
              <c16:uniqueId val="{00000003-917B-4C45-979C-FFDB55C82DDB}"/>
            </c:ext>
          </c:extLst>
        </c:ser>
        <c:ser>
          <c:idx val="4"/>
          <c:order val="4"/>
          <c:tx>
            <c:strRef>
              <c:f>ESG!$R$79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ESG!$M$80:$M$88</c:f>
              <c:numCache>
                <c:formatCode>General</c:formatCode>
                <c:ptCount val="9"/>
              </c:numCache>
            </c:numRef>
          </c:cat>
          <c:val>
            <c:numRef>
              <c:f>ESG!$R$80:$R$88</c:f>
              <c:numCache>
                <c:formatCode>0.00</c:formatCode>
                <c:ptCount val="9"/>
              </c:numCache>
            </c:numRef>
          </c:val>
          <c:smooth val="0"/>
          <c:extLst>
            <c:ext xmlns:c16="http://schemas.microsoft.com/office/drawing/2014/chart" uri="{C3380CC4-5D6E-409C-BE32-E72D297353CC}">
              <c16:uniqueId val="{00000004-917B-4C45-979C-FFDB55C82DDB}"/>
            </c:ext>
          </c:extLst>
        </c:ser>
        <c:ser>
          <c:idx val="5"/>
          <c:order val="5"/>
          <c:tx>
            <c:strRef>
              <c:f>ESG!$S$79</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ESG!$M$80:$M$88</c:f>
              <c:numCache>
                <c:formatCode>General</c:formatCode>
                <c:ptCount val="9"/>
              </c:numCache>
            </c:numRef>
          </c:cat>
          <c:val>
            <c:numRef>
              <c:f>ESG!$S$80:$S$88</c:f>
              <c:numCache>
                <c:formatCode>0.00</c:formatCode>
                <c:ptCount val="9"/>
              </c:numCache>
            </c:numRef>
          </c:val>
          <c:smooth val="0"/>
          <c:extLst>
            <c:ext xmlns:c16="http://schemas.microsoft.com/office/drawing/2014/chart" uri="{C3380CC4-5D6E-409C-BE32-E72D297353CC}">
              <c16:uniqueId val="{00000005-917B-4C45-979C-FFDB55C82DDB}"/>
            </c:ext>
          </c:extLst>
        </c:ser>
        <c:dLbls>
          <c:showLegendKey val="0"/>
          <c:showVal val="0"/>
          <c:showCatName val="0"/>
          <c:showSerName val="0"/>
          <c:showPercent val="0"/>
          <c:showBubbleSize val="0"/>
        </c:dLbls>
        <c:marker val="1"/>
        <c:smooth val="0"/>
        <c:axId val="365935231"/>
        <c:axId val="365961631"/>
      </c:lineChart>
      <c:catAx>
        <c:axId val="36593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1631"/>
        <c:crosses val="autoZero"/>
        <c:auto val="1"/>
        <c:lblAlgn val="ctr"/>
        <c:lblOffset val="100"/>
        <c:noMultiLvlLbl val="0"/>
      </c:catAx>
      <c:valAx>
        <c:axId val="365961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Waste Production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ESG!$N$91</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ESG!$M$92:$M$100</c:f>
              <c:numCache>
                <c:formatCode>General</c:formatCode>
                <c:ptCount val="9"/>
              </c:numCache>
            </c:numRef>
          </c:cat>
          <c:val>
            <c:numRef>
              <c:f>ESG!$N$92:$N$100</c:f>
              <c:numCache>
                <c:formatCode>0.00</c:formatCode>
                <c:ptCount val="9"/>
              </c:numCache>
            </c:numRef>
          </c:val>
          <c:smooth val="0"/>
          <c:extLst>
            <c:ext xmlns:c16="http://schemas.microsoft.com/office/drawing/2014/chart" uri="{C3380CC4-5D6E-409C-BE32-E72D297353CC}">
              <c16:uniqueId val="{00000000-FF9A-4ECA-A844-2C82FDFD8493}"/>
            </c:ext>
          </c:extLst>
        </c:ser>
        <c:ser>
          <c:idx val="1"/>
          <c:order val="1"/>
          <c:tx>
            <c:strRef>
              <c:f>ESG!$O$91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ESG!$M$92:$M$100</c:f>
              <c:numCache>
                <c:formatCode>General</c:formatCode>
                <c:ptCount val="9"/>
              </c:numCache>
            </c:numRef>
          </c:cat>
          <c:val>
            <c:numRef>
              <c:f>ESG!$O$92:$O$100</c:f>
              <c:numCache>
                <c:formatCode>0.00</c:formatCode>
                <c:ptCount val="9"/>
              </c:numCache>
            </c:numRef>
          </c:val>
          <c:smooth val="0"/>
          <c:extLst>
            <c:ext xmlns:c16="http://schemas.microsoft.com/office/drawing/2014/chart" uri="{C3380CC4-5D6E-409C-BE32-E72D297353CC}">
              <c16:uniqueId val="{00000001-FF9A-4ECA-A844-2C82FDFD8493}"/>
            </c:ext>
          </c:extLst>
        </c:ser>
        <c:ser>
          <c:idx val="2"/>
          <c:order val="2"/>
          <c:tx>
            <c:strRef>
              <c:f>ESG!$P$91</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ESG!$M$92:$M$100</c:f>
              <c:numCache>
                <c:formatCode>General</c:formatCode>
                <c:ptCount val="9"/>
              </c:numCache>
            </c:numRef>
          </c:cat>
          <c:val>
            <c:numRef>
              <c:f>ESG!$P$92:$P$100</c:f>
              <c:numCache>
                <c:formatCode>0.00</c:formatCode>
                <c:ptCount val="9"/>
              </c:numCache>
            </c:numRef>
          </c:val>
          <c:smooth val="0"/>
          <c:extLst>
            <c:ext xmlns:c16="http://schemas.microsoft.com/office/drawing/2014/chart" uri="{C3380CC4-5D6E-409C-BE32-E72D297353CC}">
              <c16:uniqueId val="{00000002-FF9A-4ECA-A844-2C82FDFD8493}"/>
            </c:ext>
          </c:extLst>
        </c:ser>
        <c:ser>
          <c:idx val="3"/>
          <c:order val="3"/>
          <c:tx>
            <c:strRef>
              <c:f>ESG!$Q$91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ESG!$M$92:$M$100</c:f>
              <c:numCache>
                <c:formatCode>General</c:formatCode>
                <c:ptCount val="9"/>
              </c:numCache>
            </c:numRef>
          </c:cat>
          <c:val>
            <c:numRef>
              <c:f>ESG!$Q$92:$Q$100</c:f>
              <c:numCache>
                <c:formatCode>0.00</c:formatCode>
                <c:ptCount val="9"/>
              </c:numCache>
            </c:numRef>
          </c:val>
          <c:smooth val="0"/>
          <c:extLst>
            <c:ext xmlns:c16="http://schemas.microsoft.com/office/drawing/2014/chart" uri="{C3380CC4-5D6E-409C-BE32-E72D297353CC}">
              <c16:uniqueId val="{00000003-FF9A-4ECA-A844-2C82FDFD8493}"/>
            </c:ext>
          </c:extLst>
        </c:ser>
        <c:ser>
          <c:idx val="4"/>
          <c:order val="4"/>
          <c:tx>
            <c:strRef>
              <c:f>ESG!$R$91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ESG!$M$92:$M$100</c:f>
              <c:numCache>
                <c:formatCode>General</c:formatCode>
                <c:ptCount val="9"/>
              </c:numCache>
            </c:numRef>
          </c:cat>
          <c:val>
            <c:numRef>
              <c:f>ESG!$R$92:$R$100</c:f>
              <c:numCache>
                <c:formatCode>0.00</c:formatCode>
                <c:ptCount val="9"/>
              </c:numCache>
            </c:numRef>
          </c:val>
          <c:smooth val="0"/>
          <c:extLst>
            <c:ext xmlns:c16="http://schemas.microsoft.com/office/drawing/2014/chart" uri="{C3380CC4-5D6E-409C-BE32-E72D297353CC}">
              <c16:uniqueId val="{00000004-FF9A-4ECA-A844-2C82FDFD8493}"/>
            </c:ext>
          </c:extLst>
        </c:ser>
        <c:dLbls>
          <c:showLegendKey val="0"/>
          <c:showVal val="0"/>
          <c:showCatName val="0"/>
          <c:showSerName val="0"/>
          <c:showPercent val="0"/>
          <c:showBubbleSize val="0"/>
        </c:dLbls>
        <c:marker val="1"/>
        <c:smooth val="0"/>
        <c:axId val="365962591"/>
        <c:axId val="365934271"/>
        <c:extLst>
          <c:ext xmlns:c15="http://schemas.microsoft.com/office/drawing/2012/chart" uri="{02D57815-91ED-43cb-92C2-25804820EDAC}">
            <c15:filteredLineSeries>
              <c15:ser>
                <c:idx val="5"/>
                <c:order val="5"/>
                <c:tx>
                  <c:strRef>
                    <c:extLst>
                      <c:ext uri="{02D57815-91ED-43cb-92C2-25804820EDAC}">
                        <c15:formulaRef>
                          <c15:sqref>ESG!$S$91</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uri="{02D57815-91ED-43cb-92C2-25804820EDAC}">
                        <c15:formulaRef>
                          <c15:sqref>ESG!$M$92:$M$100</c15:sqref>
                        </c15:formulaRef>
                      </c:ext>
                    </c:extLst>
                    <c:numCache>
                      <c:formatCode>General</c:formatCode>
                      <c:ptCount val="9"/>
                    </c:numCache>
                  </c:numRef>
                </c:cat>
                <c:val>
                  <c:numRef>
                    <c:extLst>
                      <c:ext uri="{02D57815-91ED-43cb-92C2-25804820EDAC}">
                        <c15:formulaRef>
                          <c15:sqref>ESG!$S$92:$S$100</c15:sqref>
                        </c15:formulaRef>
                      </c:ext>
                    </c:extLst>
                    <c:numCache>
                      <c:formatCode>0.00</c:formatCode>
                      <c:ptCount val="9"/>
                    </c:numCache>
                  </c:numRef>
                </c:val>
                <c:smooth val="0"/>
                <c:extLst>
                  <c:ext xmlns:c16="http://schemas.microsoft.com/office/drawing/2014/chart" uri="{C3380CC4-5D6E-409C-BE32-E72D297353CC}">
                    <c16:uniqueId val="{00000005-FF9A-4ECA-A844-2C82FDFD8493}"/>
                  </c:ext>
                </c:extLst>
              </c15:ser>
            </c15:filteredLineSeries>
          </c:ext>
        </c:extLst>
      </c:lineChart>
      <c:catAx>
        <c:axId val="3659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4271"/>
        <c:crosses val="autoZero"/>
        <c:auto val="1"/>
        <c:lblAlgn val="ctr"/>
        <c:lblOffset val="100"/>
        <c:noMultiLvlLbl val="0"/>
      </c:catAx>
      <c:valAx>
        <c:axId val="36593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15</xdr:row>
      <xdr:rowOff>0</xdr:rowOff>
    </xdr:from>
    <xdr:to>
      <xdr:col>13</xdr:col>
      <xdr:colOff>304800</xdr:colOff>
      <xdr:row>16</xdr:row>
      <xdr:rowOff>24420</xdr:rowOff>
    </xdr:to>
    <xdr:sp macro="" textlink="">
      <xdr:nvSpPr>
        <xdr:cNvPr id="2096" name="AutoShape 48" descr="Resultado de imagen para heidelbergcement">
          <a:extLst>
            <a:ext uri="{FF2B5EF4-FFF2-40B4-BE49-F238E27FC236}">
              <a16:creationId xmlns:a16="http://schemas.microsoft.com/office/drawing/2014/main" i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16</xdr:row>
      <xdr:rowOff>24420</xdr:rowOff>
    </xdr:to>
    <xdr:sp macro="" textlink="">
      <xdr:nvSpPr>
        <xdr:cNvPr id="2097" name="AutoShape 49" descr="Resultado de imagen para heidelbergcement">
          <a:extLst>
            <a:ext uri="{FF2B5EF4-FFF2-40B4-BE49-F238E27FC236}">
              <a16:creationId xmlns:a16="http://schemas.microsoft.com/office/drawing/2014/main" id="{1AED6D21-AC79-48CB-9928-5DBD43CA26F1}"/>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15</xdr:row>
      <xdr:rowOff>0</xdr:rowOff>
    </xdr:from>
    <xdr:to>
      <xdr:col>13</xdr:col>
      <xdr:colOff>304800</xdr:colOff>
      <xdr:row>16</xdr:row>
      <xdr:rowOff>24420</xdr:rowOff>
    </xdr:to>
    <xdr:sp macro="" textlink="">
      <xdr:nvSpPr>
        <xdr:cNvPr id="9" name="AutoShape 48" descr="Resultado de imagen para heidelbergcement">
          <a:extLst>
            <a:ext uri="{FF2B5EF4-FFF2-40B4-BE49-F238E27FC236}">
              <a16:creationId xmlns:a16="http://schemas.microsoft.com/office/drawing/2014/main" id="{7A971572-AE46-4C4C-8556-A1DC5E24C990}"/>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9C93AAA3-5F34-E84C-A119-511471E42284}"/>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2" name="AutoShape 52" descr="Resultado de imagen para heidelbergcement">
          <a:extLst>
            <a:ext uri="{FF2B5EF4-FFF2-40B4-BE49-F238E27FC236}">
              <a16:creationId xmlns:a16="http://schemas.microsoft.com/office/drawing/2014/main" id="{D38869C9-D998-A047-96C8-5B849EBEA94D}"/>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44304</xdr:colOff>
      <xdr:row>81</xdr:row>
      <xdr:rowOff>22150</xdr:rowOff>
    </xdr:from>
    <xdr:to>
      <xdr:col>12</xdr:col>
      <xdr:colOff>1971454</xdr:colOff>
      <xdr:row>104</xdr:row>
      <xdr:rowOff>99679</xdr:rowOff>
    </xdr:to>
    <xdr:pic>
      <xdr:nvPicPr>
        <xdr:cNvPr id="14" name="Imagem 2">
          <a:extLst>
            <a:ext uri="{FF2B5EF4-FFF2-40B4-BE49-F238E27FC236}">
              <a16:creationId xmlns:a16="http://schemas.microsoft.com/office/drawing/2014/main" id="{1E167ADC-6FB0-6400-78FE-1CB5F17D651B}"/>
            </a:ext>
            <a:ext uri="{147F2762-F138-4A5C-976F-8EAC2B608ADB}">
              <a16:predDERef xmlns:a16="http://schemas.microsoft.com/office/drawing/2014/main" pred="{D38869C9-D998-A047-96C8-5B849EBEA94D}"/>
            </a:ext>
          </a:extLst>
        </xdr:cNvPr>
        <xdr:cNvPicPr>
          <a:picLocks noChangeAspect="1"/>
        </xdr:cNvPicPr>
      </xdr:nvPicPr>
      <xdr:blipFill>
        <a:blip xmlns:r="http://schemas.openxmlformats.org/officeDocument/2006/relationships" r:embed="rId1"/>
        <a:stretch>
          <a:fillRect/>
        </a:stretch>
      </xdr:blipFill>
      <xdr:spPr>
        <a:xfrm>
          <a:off x="7675380" y="17156074"/>
          <a:ext cx="8572498" cy="3898605"/>
        </a:xfrm>
        <a:prstGeom prst="rect">
          <a:avLst/>
        </a:prstGeom>
      </xdr:spPr>
    </xdr:pic>
    <xdr:clientData/>
  </xdr:twoCellAnchor>
  <xdr:twoCellAnchor editAs="oneCell">
    <xdr:from>
      <xdr:col>1</xdr:col>
      <xdr:colOff>142317</xdr:colOff>
      <xdr:row>4</xdr:row>
      <xdr:rowOff>19689</xdr:rowOff>
    </xdr:from>
    <xdr:to>
      <xdr:col>2</xdr:col>
      <xdr:colOff>1426783</xdr:colOff>
      <xdr:row>10</xdr:row>
      <xdr:rowOff>16919</xdr:rowOff>
    </xdr:to>
    <xdr:pic>
      <xdr:nvPicPr>
        <xdr:cNvPr id="15" name="Picture 14" descr="edp Logo – edp Energia Logo – PNG e Vetor – Download de Logo">
          <a:extLst>
            <a:ext uri="{FF2B5EF4-FFF2-40B4-BE49-F238E27FC236}">
              <a16:creationId xmlns:a16="http://schemas.microsoft.com/office/drawing/2014/main" id="{7C50C7F7-4414-8BD0-863A-B1EE89D5AF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5544" y="850358"/>
          <a:ext cx="2681540" cy="293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38100</xdr:colOff>
      <xdr:row>24</xdr:row>
      <xdr:rowOff>0</xdr:rowOff>
    </xdr:from>
    <xdr:to>
      <xdr:col>11</xdr:col>
      <xdr:colOff>685800</xdr:colOff>
      <xdr:row>30</xdr:row>
      <xdr:rowOff>695325</xdr:rowOff>
    </xdr:to>
    <xdr:graphicFrame macro="">
      <xdr:nvGraphicFramePr>
        <xdr:cNvPr id="28" name="Chart 4">
          <a:extLst>
            <a:ext uri="{FF2B5EF4-FFF2-40B4-BE49-F238E27FC236}">
              <a16:creationId xmlns:a16="http://schemas.microsoft.com/office/drawing/2014/main" id="{9E23D189-C3B7-523A-69E6-128398296259}"/>
            </a:ext>
            <a:ext uri="{147F2762-F138-4A5C-976F-8EAC2B608ADB}">
              <a16:predDERef xmlns:a16="http://schemas.microsoft.com/office/drawing/2014/main" pred="{2D8AEC4D-5853-421C-8616-2A1885050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638175</xdr:colOff>
      <xdr:row>24</xdr:row>
      <xdr:rowOff>0</xdr:rowOff>
    </xdr:from>
    <xdr:to>
      <xdr:col>15</xdr:col>
      <xdr:colOff>752475</xdr:colOff>
      <xdr:row>30</xdr:row>
      <xdr:rowOff>695325</xdr:rowOff>
    </xdr:to>
    <xdr:graphicFrame macro="">
      <xdr:nvGraphicFramePr>
        <xdr:cNvPr id="6" name="Chart 5">
          <a:extLst>
            <a:ext uri="{FF2B5EF4-FFF2-40B4-BE49-F238E27FC236}">
              <a16:creationId xmlns:a16="http://schemas.microsoft.com/office/drawing/2014/main" id="{1471EB7D-83EE-43B1-6F3B-DAB93ADF05E3}"/>
            </a:ext>
            <a:ext uri="{147F2762-F138-4A5C-976F-8EAC2B608ADB}">
              <a16:predDERef xmlns:a16="http://schemas.microsoft.com/office/drawing/2014/main" pred="{9E23D189-C3B7-523A-69E6-128398296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638175</xdr:colOff>
      <xdr:row>23</xdr:row>
      <xdr:rowOff>247650</xdr:rowOff>
    </xdr:from>
    <xdr:to>
      <xdr:col>11</xdr:col>
      <xdr:colOff>647700</xdr:colOff>
      <xdr:row>31</xdr:row>
      <xdr:rowOff>0</xdr:rowOff>
    </xdr:to>
    <xdr:cxnSp macro="">
      <xdr:nvCxnSpPr>
        <xdr:cNvPr id="2" name="Straight Connector 1">
          <a:extLst>
            <a:ext uri="{FF2B5EF4-FFF2-40B4-BE49-F238E27FC236}">
              <a16:creationId xmlns:a16="http://schemas.microsoft.com/office/drawing/2014/main" id="{2D9F9EFF-8C8B-4839-A102-86B66E9BDF73}"/>
            </a:ext>
            <a:ext uri="{147F2762-F138-4A5C-976F-8EAC2B608ADB}">
              <a16:predDERef xmlns:a16="http://schemas.microsoft.com/office/drawing/2014/main" pred="{1471EB7D-83EE-43B1-6F3B-DAB93ADF05E3}"/>
            </a:ext>
          </a:extLst>
        </xdr:cNvPr>
        <xdr:cNvCxnSpPr>
          <a:cxnSpLocks/>
        </xdr:cNvCxnSpPr>
      </xdr:nvCxnSpPr>
      <xdr:spPr bwMode="auto">
        <a:xfrm>
          <a:off x="12077700" y="3505200"/>
          <a:ext cx="9525" cy="2886075"/>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476250</xdr:colOff>
      <xdr:row>44</xdr:row>
      <xdr:rowOff>85725</xdr:rowOff>
    </xdr:from>
    <xdr:to>
      <xdr:col>14</xdr:col>
      <xdr:colOff>238125</xdr:colOff>
      <xdr:row>48</xdr:row>
      <xdr:rowOff>9525</xdr:rowOff>
    </xdr:to>
    <xdr:sp macro="" textlink="">
      <xdr:nvSpPr>
        <xdr:cNvPr id="32" name="Rectangle 9">
          <a:extLst>
            <a:ext uri="{FF2B5EF4-FFF2-40B4-BE49-F238E27FC236}">
              <a16:creationId xmlns:a16="http://schemas.microsoft.com/office/drawing/2014/main" id="{9EA941B6-F7AA-AE8B-792C-EC306EB6FD73}"/>
            </a:ext>
            <a:ext uri="{147F2762-F138-4A5C-976F-8EAC2B608ADB}">
              <a16:predDERef xmlns:a16="http://schemas.microsoft.com/office/drawing/2014/main" pred="{9A7F258B-F9AD-6876-BB0C-F39E8E2CB6BB}"/>
            </a:ext>
          </a:extLst>
        </xdr:cNvPr>
        <xdr:cNvSpPr/>
      </xdr:nvSpPr>
      <xdr:spPr bwMode="auto">
        <a:xfrm>
          <a:off x="12677775" y="8486775"/>
          <a:ext cx="1285875" cy="409575"/>
        </a:xfrm>
        <a:prstGeom prst="rect">
          <a:avLst/>
        </a:prstGeom>
        <a:solidFill>
          <a:srgbClr val="FFFFFF"/>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xdr:from>
      <xdr:col>34</xdr:col>
      <xdr:colOff>19050</xdr:colOff>
      <xdr:row>58</xdr:row>
      <xdr:rowOff>47625</xdr:rowOff>
    </xdr:from>
    <xdr:to>
      <xdr:col>35</xdr:col>
      <xdr:colOff>209550</xdr:colOff>
      <xdr:row>66</xdr:row>
      <xdr:rowOff>28575</xdr:rowOff>
    </xdr:to>
    <xdr:sp macro="" textlink="">
      <xdr:nvSpPr>
        <xdr:cNvPr id="87" name="Rectangle 17">
          <a:extLst>
            <a:ext uri="{FF2B5EF4-FFF2-40B4-BE49-F238E27FC236}">
              <a16:creationId xmlns:a16="http://schemas.microsoft.com/office/drawing/2014/main" id="{373BA1AE-84F4-1EA4-7F90-6E6AE589AB0D}"/>
            </a:ext>
            <a:ext uri="{147F2762-F138-4A5C-976F-8EAC2B608ADB}">
              <a16:predDERef xmlns:a16="http://schemas.microsoft.com/office/drawing/2014/main" pred="{795168BE-2BCC-E14D-F42E-6CD34F49FE73}"/>
            </a:ext>
          </a:extLst>
        </xdr:cNvPr>
        <xdr:cNvSpPr/>
      </xdr:nvSpPr>
      <xdr:spPr bwMode="auto">
        <a:xfrm>
          <a:off x="29794200" y="10391775"/>
          <a:ext cx="952500" cy="95250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editAs="oneCell">
    <xdr:from>
      <xdr:col>9</xdr:col>
      <xdr:colOff>38100</xdr:colOff>
      <xdr:row>33</xdr:row>
      <xdr:rowOff>266700</xdr:rowOff>
    </xdr:from>
    <xdr:to>
      <xdr:col>16</xdr:col>
      <xdr:colOff>1419225</xdr:colOff>
      <xdr:row>50</xdr:row>
      <xdr:rowOff>19050</xdr:rowOff>
    </xdr:to>
    <xdr:pic>
      <xdr:nvPicPr>
        <xdr:cNvPr id="57" name="Imagem 2">
          <a:extLst>
            <a:ext uri="{FF2B5EF4-FFF2-40B4-BE49-F238E27FC236}">
              <a16:creationId xmlns:a16="http://schemas.microsoft.com/office/drawing/2014/main" id="{F391EEFB-EC55-92D0-F00B-10FD8F0A4D49}"/>
            </a:ext>
            <a:ext uri="{147F2762-F138-4A5C-976F-8EAC2B608ADB}">
              <a16:predDERef xmlns:a16="http://schemas.microsoft.com/office/drawing/2014/main" pred="{373BA1AE-84F4-1EA4-7F90-6E6AE589AB0D}"/>
            </a:ext>
          </a:extLst>
        </xdr:cNvPr>
        <xdr:cNvPicPr>
          <a:picLocks noChangeAspect="1"/>
        </xdr:cNvPicPr>
      </xdr:nvPicPr>
      <xdr:blipFill>
        <a:blip xmlns:r="http://schemas.openxmlformats.org/officeDocument/2006/relationships" r:embed="rId3"/>
        <a:stretch>
          <a:fillRect/>
        </a:stretch>
      </xdr:blipFill>
      <xdr:spPr>
        <a:xfrm>
          <a:off x="9944100" y="7858125"/>
          <a:ext cx="6848475" cy="4438650"/>
        </a:xfrm>
        <a:prstGeom prst="rect">
          <a:avLst/>
        </a:prstGeom>
      </xdr:spPr>
    </xdr:pic>
    <xdr:clientData/>
  </xdr:twoCellAnchor>
  <xdr:twoCellAnchor editAs="oneCell">
    <xdr:from>
      <xdr:col>18</xdr:col>
      <xdr:colOff>638175</xdr:colOff>
      <xdr:row>17</xdr:row>
      <xdr:rowOff>19050</xdr:rowOff>
    </xdr:from>
    <xdr:to>
      <xdr:col>24</xdr:col>
      <xdr:colOff>664845</xdr:colOff>
      <xdr:row>25</xdr:row>
      <xdr:rowOff>596265</xdr:rowOff>
    </xdr:to>
    <xdr:pic>
      <xdr:nvPicPr>
        <xdr:cNvPr id="47" name="Imagem 6">
          <a:extLst>
            <a:ext uri="{FF2B5EF4-FFF2-40B4-BE49-F238E27FC236}">
              <a16:creationId xmlns:a16="http://schemas.microsoft.com/office/drawing/2014/main" id="{12C86C18-C86B-CF2F-0025-0CDFCF973392}"/>
            </a:ext>
            <a:ext uri="{147F2762-F138-4A5C-976F-8EAC2B608ADB}">
              <a16:predDERef xmlns:a16="http://schemas.microsoft.com/office/drawing/2014/main" pred="{AFFF909E-EE14-7041-814E-220C709ED998}"/>
            </a:ext>
          </a:extLst>
        </xdr:cNvPr>
        <xdr:cNvPicPr>
          <a:picLocks noChangeAspect="1"/>
        </xdr:cNvPicPr>
      </xdr:nvPicPr>
      <xdr:blipFill>
        <a:blip xmlns:r="http://schemas.openxmlformats.org/officeDocument/2006/relationships" r:embed="rId4"/>
        <a:stretch>
          <a:fillRect/>
        </a:stretch>
      </xdr:blipFill>
      <xdr:spPr>
        <a:xfrm>
          <a:off x="18202275" y="2943225"/>
          <a:ext cx="4714875" cy="2390775"/>
        </a:xfrm>
        <a:prstGeom prst="rect">
          <a:avLst/>
        </a:prstGeom>
      </xdr:spPr>
    </xdr:pic>
    <xdr:clientData/>
  </xdr:twoCellAnchor>
  <xdr:twoCellAnchor editAs="oneCell">
    <xdr:from>
      <xdr:col>18</xdr:col>
      <xdr:colOff>666750</xdr:colOff>
      <xdr:row>1</xdr:row>
      <xdr:rowOff>257175</xdr:rowOff>
    </xdr:from>
    <xdr:to>
      <xdr:col>24</xdr:col>
      <xdr:colOff>624840</xdr:colOff>
      <xdr:row>16</xdr:row>
      <xdr:rowOff>93345</xdr:rowOff>
    </xdr:to>
    <xdr:pic>
      <xdr:nvPicPr>
        <xdr:cNvPr id="37" name="Imagem 7">
          <a:extLst>
            <a:ext uri="{FF2B5EF4-FFF2-40B4-BE49-F238E27FC236}">
              <a16:creationId xmlns:a16="http://schemas.microsoft.com/office/drawing/2014/main" id="{2F11E5B0-D77F-6306-B588-4C107F743C36}"/>
            </a:ext>
            <a:ext uri="{147F2762-F138-4A5C-976F-8EAC2B608ADB}">
              <a16:predDERef xmlns:a16="http://schemas.microsoft.com/office/drawing/2014/main" pred="{12C86C18-C86B-CF2F-0025-0CDFCF973392}"/>
            </a:ext>
          </a:extLst>
        </xdr:cNvPr>
        <xdr:cNvPicPr>
          <a:picLocks noChangeAspect="1"/>
        </xdr:cNvPicPr>
      </xdr:nvPicPr>
      <xdr:blipFill>
        <a:blip xmlns:r="http://schemas.openxmlformats.org/officeDocument/2006/relationships" r:embed="rId5"/>
        <a:stretch>
          <a:fillRect/>
        </a:stretch>
      </xdr:blipFill>
      <xdr:spPr>
        <a:xfrm>
          <a:off x="18230850" y="352425"/>
          <a:ext cx="4648200" cy="2600325"/>
        </a:xfrm>
        <a:prstGeom prst="rect">
          <a:avLst/>
        </a:prstGeom>
      </xdr:spPr>
    </xdr:pic>
    <xdr:clientData/>
  </xdr:twoCellAnchor>
  <xdr:twoCellAnchor editAs="oneCell">
    <xdr:from>
      <xdr:col>16</xdr:col>
      <xdr:colOff>28575</xdr:colOff>
      <xdr:row>17</xdr:row>
      <xdr:rowOff>28575</xdr:rowOff>
    </xdr:from>
    <xdr:to>
      <xdr:col>18</xdr:col>
      <xdr:colOff>607695</xdr:colOff>
      <xdr:row>25</xdr:row>
      <xdr:rowOff>569595</xdr:rowOff>
    </xdr:to>
    <xdr:pic>
      <xdr:nvPicPr>
        <xdr:cNvPr id="53" name="Imagem 8">
          <a:extLst>
            <a:ext uri="{FF2B5EF4-FFF2-40B4-BE49-F238E27FC236}">
              <a16:creationId xmlns:a16="http://schemas.microsoft.com/office/drawing/2014/main" id="{26297658-F8F5-7D45-F8AF-1F9C0F5707D5}"/>
            </a:ext>
            <a:ext uri="{147F2762-F138-4A5C-976F-8EAC2B608ADB}">
              <a16:predDERef xmlns:a16="http://schemas.microsoft.com/office/drawing/2014/main" pred="{2F11E5B0-D77F-6306-B588-4C107F743C36}"/>
            </a:ext>
          </a:extLst>
        </xdr:cNvPr>
        <xdr:cNvPicPr>
          <a:picLocks noChangeAspect="1"/>
        </xdr:cNvPicPr>
      </xdr:nvPicPr>
      <xdr:blipFill>
        <a:blip xmlns:r="http://schemas.openxmlformats.org/officeDocument/2006/relationships" r:embed="rId6"/>
        <a:stretch>
          <a:fillRect/>
        </a:stretch>
      </xdr:blipFill>
      <xdr:spPr>
        <a:xfrm>
          <a:off x="15268575" y="2952750"/>
          <a:ext cx="2971800" cy="2352675"/>
        </a:xfrm>
        <a:prstGeom prst="rect">
          <a:avLst/>
        </a:prstGeom>
      </xdr:spPr>
    </xdr:pic>
    <xdr:clientData/>
  </xdr:twoCellAnchor>
  <xdr:twoCellAnchor>
    <xdr:from>
      <xdr:col>3</xdr:col>
      <xdr:colOff>47625</xdr:colOff>
      <xdr:row>33</xdr:row>
      <xdr:rowOff>0</xdr:rowOff>
    </xdr:from>
    <xdr:to>
      <xdr:col>8</xdr:col>
      <xdr:colOff>1000125</xdr:colOff>
      <xdr:row>34</xdr:row>
      <xdr:rowOff>9525</xdr:rowOff>
    </xdr:to>
    <xdr:sp macro="" textlink="">
      <xdr:nvSpPr>
        <xdr:cNvPr id="16" name="CaixaDeTexto 15">
          <a:extLst>
            <a:ext uri="{FF2B5EF4-FFF2-40B4-BE49-F238E27FC236}">
              <a16:creationId xmlns:a16="http://schemas.microsoft.com/office/drawing/2014/main" id="{6450C7D4-CE7B-EEEA-E653-537978915190}"/>
            </a:ext>
            <a:ext uri="{147F2762-F138-4A5C-976F-8EAC2B608ADB}">
              <a16:predDERef xmlns:a16="http://schemas.microsoft.com/office/drawing/2014/main" pred="{26297658-F8F5-7D45-F8AF-1F9C0F5707D5}"/>
            </a:ext>
          </a:extLst>
        </xdr:cNvPr>
        <xdr:cNvSpPr txBox="1"/>
      </xdr:nvSpPr>
      <xdr:spPr>
        <a:xfrm>
          <a:off x="3781425" y="7915275"/>
          <a:ext cx="6096000" cy="73342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a:latin typeface="+mn-lt"/>
              <a:ea typeface="+mn-lt"/>
              <a:cs typeface="+mn-lt"/>
            </a:rPr>
            <a:t>The increasing global focus on sustainability and carbon reduction drives the demand for EDP Renewables' clean and renewable energy solutions.</a:t>
          </a:r>
        </a:p>
      </xdr:txBody>
    </xdr:sp>
    <xdr:clientData/>
  </xdr:twoCellAnchor>
  <xdr:twoCellAnchor>
    <xdr:from>
      <xdr:col>3</xdr:col>
      <xdr:colOff>28575</xdr:colOff>
      <xdr:row>35</xdr:row>
      <xdr:rowOff>0</xdr:rowOff>
    </xdr:from>
    <xdr:to>
      <xdr:col>8</xdr:col>
      <xdr:colOff>1019175</xdr:colOff>
      <xdr:row>35</xdr:row>
      <xdr:rowOff>809625</xdr:rowOff>
    </xdr:to>
    <xdr:sp macro="" textlink="">
      <xdr:nvSpPr>
        <xdr:cNvPr id="17" name="CaixaDeTexto 16">
          <a:extLst>
            <a:ext uri="{FF2B5EF4-FFF2-40B4-BE49-F238E27FC236}">
              <a16:creationId xmlns:a16="http://schemas.microsoft.com/office/drawing/2014/main" id="{FE303076-3342-4202-A3DA-0702596F484F}"/>
            </a:ext>
            <a:ext uri="{147F2762-F138-4A5C-976F-8EAC2B608ADB}">
              <a16:predDERef xmlns:a16="http://schemas.microsoft.com/office/drawing/2014/main" pred="{6450C7D4-CE7B-EEEA-E653-537978915190}"/>
            </a:ext>
          </a:extLst>
        </xdr:cNvPr>
        <xdr:cNvSpPr txBox="1"/>
      </xdr:nvSpPr>
      <xdr:spPr>
        <a:xfrm>
          <a:off x="3762375" y="9429750"/>
          <a:ext cx="6134100" cy="8096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latin typeface="+mn-lt"/>
              <a:ea typeface="+mn-lt"/>
              <a:cs typeface="+mn-lt"/>
            </a:rPr>
            <a:t> Supportive government policies and incentives for renewable energy create a conducive market for EDP Renewables to expand its portfolio and operations.</a:t>
          </a:r>
        </a:p>
      </xdr:txBody>
    </xdr:sp>
    <xdr:clientData/>
  </xdr:twoCellAnchor>
  <xdr:twoCellAnchor>
    <xdr:from>
      <xdr:col>3</xdr:col>
      <xdr:colOff>38100</xdr:colOff>
      <xdr:row>34</xdr:row>
      <xdr:rowOff>19050</xdr:rowOff>
    </xdr:from>
    <xdr:to>
      <xdr:col>8</xdr:col>
      <xdr:colOff>1019175</xdr:colOff>
      <xdr:row>34</xdr:row>
      <xdr:rowOff>752475</xdr:rowOff>
    </xdr:to>
    <xdr:sp macro="" textlink="">
      <xdr:nvSpPr>
        <xdr:cNvPr id="58" name="CaixaDeTexto 17">
          <a:extLst>
            <a:ext uri="{FF2B5EF4-FFF2-40B4-BE49-F238E27FC236}">
              <a16:creationId xmlns:a16="http://schemas.microsoft.com/office/drawing/2014/main" id="{951FDCEE-84D5-47C5-AB50-A4B45058387F}"/>
            </a:ext>
            <a:ext uri="{147F2762-F138-4A5C-976F-8EAC2B608ADB}">
              <a16:predDERef xmlns:a16="http://schemas.microsoft.com/office/drawing/2014/main" pred="{FE303076-3342-4202-A3DA-0702596F484F}"/>
            </a:ext>
          </a:extLst>
        </xdr:cNvPr>
        <xdr:cNvSpPr txBox="1"/>
      </xdr:nvSpPr>
      <xdr:spPr>
        <a:xfrm>
          <a:off x="3771900" y="8334375"/>
          <a:ext cx="6124575" cy="733425"/>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a:latin typeface="+mn-lt"/>
              <a:ea typeface="+mn-lt"/>
              <a:cs typeface="+mn-lt"/>
            </a:rPr>
            <a:t>EDP Renewables benefits from ongoing technological innovations that enhance the efficiency and cost-effectiveness of renewable energy generation and storage.</a:t>
          </a:r>
        </a:p>
      </xdr:txBody>
    </xdr:sp>
    <xdr:clientData/>
  </xdr:twoCellAnchor>
  <xdr:twoCellAnchor>
    <xdr:from>
      <xdr:col>16</xdr:col>
      <xdr:colOff>28575</xdr:colOff>
      <xdr:row>12</xdr:row>
      <xdr:rowOff>133350</xdr:rowOff>
    </xdr:from>
    <xdr:to>
      <xdr:col>18</xdr:col>
      <xdr:colOff>676275</xdr:colOff>
      <xdr:row>17</xdr:row>
      <xdr:rowOff>57150</xdr:rowOff>
    </xdr:to>
    <xdr:sp macro="" textlink="">
      <xdr:nvSpPr>
        <xdr:cNvPr id="54" name="CaixaDeTexto 20">
          <a:extLst>
            <a:ext uri="{FF2B5EF4-FFF2-40B4-BE49-F238E27FC236}">
              <a16:creationId xmlns:a16="http://schemas.microsoft.com/office/drawing/2014/main" id="{B2BEAB18-DD32-E640-0EA3-D83BA579A8F2}"/>
            </a:ext>
            <a:ext uri="{147F2762-F138-4A5C-976F-8EAC2B608ADB}">
              <a16:predDERef xmlns:a16="http://schemas.microsoft.com/office/drawing/2014/main" pred="{951FDCEE-84D5-47C5-AB50-A4B45058387F}"/>
            </a:ext>
          </a:extLst>
        </xdr:cNvPr>
        <xdr:cNvSpPr txBox="1"/>
      </xdr:nvSpPr>
      <xdr:spPr>
        <a:xfrm>
          <a:off x="15268575" y="2038350"/>
          <a:ext cx="2971800" cy="942975"/>
        </a:xfrm>
        <a:prstGeom prst="rect">
          <a:avLst/>
        </a:prstGeom>
        <a:solidFill>
          <a:srgbClr val="FFFF00"/>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cs typeface="Calibri" panose="020F0502020204030204" pitchFamily="34" charset="0"/>
            </a:rPr>
            <a:t>NO DATA FOUND FOR CATEGORIES REVENUE, SO THE TABLE REFERS TO TOTAL EBITDA MW + EQUITY CONSOLIDATED.</a:t>
          </a:r>
        </a:p>
      </xdr:txBody>
    </xdr:sp>
    <xdr:clientData/>
  </xdr:twoCellAnchor>
  <xdr:twoCellAnchor>
    <xdr:from>
      <xdr:col>1</xdr:col>
      <xdr:colOff>19050</xdr:colOff>
      <xdr:row>44</xdr:row>
      <xdr:rowOff>28575</xdr:rowOff>
    </xdr:from>
    <xdr:to>
      <xdr:col>8</xdr:col>
      <xdr:colOff>1000125</xdr:colOff>
      <xdr:row>62</xdr:row>
      <xdr:rowOff>104775</xdr:rowOff>
    </xdr:to>
    <xdr:sp macro="" textlink="">
      <xdr:nvSpPr>
        <xdr:cNvPr id="3" name="CaixaDeTexto 2">
          <a:extLst>
            <a:ext uri="{FF2B5EF4-FFF2-40B4-BE49-F238E27FC236}">
              <a16:creationId xmlns:a16="http://schemas.microsoft.com/office/drawing/2014/main" id="{4BE4C9EE-33AB-9744-5260-756D94583DC5}"/>
            </a:ext>
            <a:ext uri="{147F2762-F138-4A5C-976F-8EAC2B608ADB}">
              <a16:predDERef xmlns:a16="http://schemas.microsoft.com/office/drawing/2014/main" pred="{B2BEAB18-DD32-E640-0EA3-D83BA579A8F2}"/>
            </a:ext>
          </a:extLst>
        </xdr:cNvPr>
        <xdr:cNvSpPr txBox="1"/>
      </xdr:nvSpPr>
      <xdr:spPr>
        <a:xfrm>
          <a:off x="161925" y="11268075"/>
          <a:ext cx="9686925" cy="29908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200" u="sng">
              <a:latin typeface="+mn-lt"/>
              <a:ea typeface="+mn-lt"/>
              <a:cs typeface="+mn-lt"/>
            </a:rPr>
            <a:t>Dividend policy (2023)</a:t>
          </a:r>
          <a:endParaRPr lang="en-US" sz="1200" b="0" i="0" u="none" strike="noStrike">
            <a:solidFill>
              <a:srgbClr val="000000"/>
            </a:solidFill>
            <a:latin typeface="+mn-lt"/>
            <a:ea typeface="+mn-lt"/>
            <a:cs typeface="+mn-lt"/>
          </a:endParaRPr>
        </a:p>
        <a:p>
          <a:pPr marL="0" indent="0" algn="l"/>
          <a:r>
            <a:rPr lang="en-US" sz="1200" b="0" i="0" u="none" strike="noStrike">
              <a:solidFill>
                <a:srgbClr val="000000"/>
              </a:solidFill>
              <a:latin typeface="+mn-lt"/>
              <a:ea typeface="+mn-lt"/>
              <a:cs typeface="+mn-lt"/>
            </a:rPr>
            <a:t>In this compensation system,</a:t>
          </a:r>
          <a:r>
            <a:rPr lang="en-US" sz="1200" b="0" i="0" u="none" strike="noStrike">
              <a:solidFill>
                <a:srgbClr val="000000"/>
              </a:solidFill>
              <a:latin typeface="Calibri" panose="020F0502020204030204" pitchFamily="34" charset="0"/>
              <a:cs typeface="Calibri" panose="020F0502020204030204" pitchFamily="34" charset="0"/>
            </a:rPr>
            <a:t> the company's shareholders will be allocated an amount of incorporation rights equivalent to the number of shares they hold.</a:t>
          </a:r>
          <a:r>
            <a:rPr lang="en-US" sz="1200" b="0" i="0" u="none" strike="noStrike">
              <a:solidFill>
                <a:srgbClr val="000000"/>
              </a:solidFill>
              <a:latin typeface="+mn-lt"/>
              <a:ea typeface="+mn-lt"/>
              <a:cs typeface="+mn-lt"/>
            </a:rPr>
            <a:t> </a:t>
          </a:r>
          <a:r>
            <a:rPr lang="en-US" sz="1200" b="0" i="0" u="none" strike="noStrike">
              <a:solidFill>
                <a:srgbClr val="000000"/>
              </a:solidFill>
              <a:latin typeface="Calibri" panose="020F0502020204030204" pitchFamily="34" charset="0"/>
              <a:cs typeface="Calibri" panose="020F0502020204030204" pitchFamily="34" charset="0"/>
            </a:rPr>
            <a:t>Then, they</a:t>
          </a:r>
          <a:r>
            <a:rPr lang="en-US" sz="1200" b="0" i="0" u="none" strike="noStrike">
              <a:solidFill>
                <a:srgbClr val="000000"/>
              </a:solidFill>
              <a:latin typeface="+mn-lt"/>
              <a:ea typeface="+mn-lt"/>
              <a:cs typeface="+mn-lt"/>
            </a:rPr>
            <a:t> have three different options to choose from:</a:t>
          </a:r>
          <a:r>
            <a:rPr lang="en-US" sz="1200" b="0" i="0" u="none" strike="noStrike">
              <a:solidFill>
                <a:srgbClr val="000000"/>
              </a:solidFill>
              <a:latin typeface="Calibri" panose="020F0502020204030204" pitchFamily="34" charset="0"/>
              <a:cs typeface="Calibri" panose="020F0502020204030204" pitchFamily="34" charset="0"/>
            </a:rPr>
            <a:t> </a:t>
          </a:r>
          <a:endParaRPr lang="en-US" sz="1200" b="0" i="0" u="none" strike="noStrike">
            <a:solidFill>
              <a:srgbClr val="000000"/>
            </a:solidFill>
            <a:latin typeface="+mn-lt"/>
            <a:ea typeface="+mn-lt"/>
            <a:cs typeface="+mn-lt"/>
          </a:endParaRPr>
        </a:p>
        <a:p>
          <a:pPr marL="0" indent="0" algn="l"/>
          <a:r>
            <a:rPr lang="en-US" sz="1200" b="0" i="0" u="none" strike="noStrike">
              <a:solidFill>
                <a:srgbClr val="000000"/>
              </a:solidFill>
              <a:latin typeface="+mn-lt"/>
              <a:ea typeface="+mn-lt"/>
              <a:cs typeface="+mn-lt"/>
            </a:rPr>
            <a:t>1. Receive new paid-up shares</a:t>
          </a:r>
          <a:r>
            <a:rPr lang="en-US" sz="1200" b="0" i="0" u="none" strike="noStrike">
              <a:solidFill>
                <a:srgbClr val="000000"/>
              </a:solidFill>
              <a:latin typeface="Calibri" panose="020F0502020204030204" pitchFamily="34" charset="0"/>
              <a:cs typeface="Calibri" panose="020F0502020204030204" pitchFamily="34" charset="0"/>
            </a:rPr>
            <a:t>;</a:t>
          </a:r>
          <a:endParaRPr lang="en-US" sz="1200" b="0" i="0" u="none" strike="noStrike">
            <a:solidFill>
              <a:srgbClr val="000000"/>
            </a:solidFill>
            <a:latin typeface="+mn-lt"/>
            <a:ea typeface="+mn-lt"/>
            <a:cs typeface="+mn-lt"/>
          </a:endParaRPr>
        </a:p>
        <a:p>
          <a:pPr marL="0" indent="0" algn="l"/>
          <a:r>
            <a:rPr lang="en-US" sz="1200" b="0" i="0" u="none" strike="noStrike">
              <a:solidFill>
                <a:srgbClr val="000000"/>
              </a:solidFill>
              <a:latin typeface="+mn-lt"/>
              <a:ea typeface="+mn-lt"/>
              <a:cs typeface="+mn-lt"/>
            </a:rPr>
            <a:t>2. Sell their incorporation rights to EDPR</a:t>
          </a:r>
          <a:r>
            <a:rPr lang="en-US" sz="1200" b="0" i="0" u="none" strike="noStrike">
              <a:solidFill>
                <a:srgbClr val="000000"/>
              </a:solidFill>
              <a:latin typeface="Calibri" panose="020F0502020204030204" pitchFamily="34" charset="0"/>
              <a:cs typeface="Calibri" panose="020F0502020204030204" pitchFamily="34" charset="0"/>
            </a:rPr>
            <a:t> (receive a remuneration in cash at a guaranteed fixed price);</a:t>
          </a:r>
        </a:p>
        <a:p>
          <a:pPr marL="0" indent="0" algn="l"/>
          <a:r>
            <a:rPr lang="en-US" sz="1200" b="0" i="0" u="none" strike="noStrike">
              <a:solidFill>
                <a:srgbClr val="000000"/>
              </a:solidFill>
              <a:latin typeface="Calibri" panose="020F0502020204030204" pitchFamily="34" charset="0"/>
              <a:cs typeface="Calibri" panose="020F0502020204030204" pitchFamily="34" charset="0"/>
            </a:rPr>
            <a:t>3. Sell their incorporation rights in the regulated market of Euronext Lisbon (market price).</a:t>
          </a:r>
        </a:p>
        <a:p>
          <a:pPr marL="0" indent="0" algn="l"/>
          <a:r>
            <a:rPr lang="en-US" sz="1200" b="0" i="0" u="none" strike="noStrike">
              <a:solidFill>
                <a:srgbClr val="000000"/>
              </a:solidFill>
              <a:latin typeface="Calibri" panose="020F0502020204030204" pitchFamily="34" charset="0"/>
              <a:cs typeface="Calibri" panose="020F0502020204030204" pitchFamily="34" charset="0"/>
            </a:rPr>
            <a:t>Shareholders can combine any or all of the options mentioned above. </a:t>
          </a:r>
        </a:p>
        <a:p>
          <a:pPr marL="0" indent="0" algn="l"/>
          <a:r>
            <a:rPr lang="en-US" sz="1200" b="0" i="0" u="none" strike="noStrike">
              <a:solidFill>
                <a:srgbClr val="000000"/>
              </a:solidFill>
              <a:latin typeface="Calibri" panose="020F0502020204030204" pitchFamily="34" charset="0"/>
              <a:cs typeface="Calibri" panose="020F0502020204030204" pitchFamily="34" charset="0"/>
            </a:rPr>
            <a:t>EDPR is aiming to improve its dividend policy to a 30-50% payout ratio. Dividends paid yearly.</a:t>
          </a:r>
        </a:p>
        <a:p>
          <a:pPr marL="0" indent="0" algn="l"/>
          <a:endParaRPr lang="en-US" sz="1200" b="0" i="0" u="none" strike="noStrike">
            <a:solidFill>
              <a:srgbClr val="000000"/>
            </a:solidFill>
            <a:latin typeface="+mn-lt"/>
            <a:ea typeface="+mn-lt"/>
            <a:cs typeface="+mn-lt"/>
          </a:endParaRPr>
        </a:p>
        <a:p>
          <a:pPr marL="0" indent="0" algn="l"/>
          <a:r>
            <a:rPr lang="en-US" sz="1200" b="0" i="0" u="none" strike="noStrike">
              <a:solidFill>
                <a:srgbClr val="000000"/>
              </a:solidFill>
              <a:latin typeface="+mn-lt"/>
              <a:ea typeface="+mn-lt"/>
              <a:cs typeface="+mn-lt"/>
            </a:rPr>
            <a:t>During 2017, EDP - Energías de Portugal, S.A. carried out a buyback process to buy back quoted shares. After that, only 17.44% of the Company's shares remain quoted on the Lisbon Stock Exchange. No further information about shares buyback.</a:t>
          </a:r>
          <a:endParaRPr lang="en-US" sz="1200" b="0" i="0" u="none" strike="noStrike">
            <a:solidFill>
              <a:srgbClr val="000000"/>
            </a:solidFill>
            <a:latin typeface="Calibri" panose="020F0502020204030204" pitchFamily="34" charset="0"/>
            <a:cs typeface="Calibri" panose="020F0502020204030204" pitchFamily="34" charset="0"/>
          </a:endParaRPr>
        </a:p>
        <a:p>
          <a:pPr marL="0" indent="0" algn="l"/>
          <a:endParaRPr lang="en-US" sz="1200" b="0" i="0" u="none" strike="noStrike">
            <a:solidFill>
              <a:srgbClr val="000000"/>
            </a:solidFill>
            <a:latin typeface="Calibri" panose="020F0502020204030204" pitchFamily="34" charset="0"/>
            <a:cs typeface="Calibri" panose="020F0502020204030204" pitchFamily="34" charset="0"/>
          </a:endParaRPr>
        </a:p>
        <a:p>
          <a:pPr marL="0" indent="0" algn="l"/>
          <a:r>
            <a:rPr lang="en-US" sz="1200" b="0" i="0" u="none" strike="noStrike">
              <a:solidFill>
                <a:srgbClr val="000000"/>
              </a:solidFill>
              <a:latin typeface="Calibri" panose="020F0502020204030204" pitchFamily="34" charset="0"/>
              <a:cs typeface="Calibri" panose="020F0502020204030204" pitchFamily="34" charset="0"/>
            </a:rPr>
            <a:t>Solid portfolio creation through the investment in quality projects with predictable cash-flows in global lowrisk markets (North America, Europe).</a:t>
          </a:r>
        </a:p>
        <a:p>
          <a:pPr marL="0" indent="0" algn="l"/>
          <a:endParaRPr lang="en-US" sz="1200" b="0" i="0" u="none" strike="noStrike">
            <a:solidFill>
              <a:srgbClr val="000000"/>
            </a:solidFill>
            <a:latin typeface="Calibri" panose="020F0502020204030204" pitchFamily="34" charset="0"/>
            <a:cs typeface="Calibri" panose="020F0502020204030204" pitchFamily="34" charset="0"/>
          </a:endParaRPr>
        </a:p>
        <a:p>
          <a:pPr marL="0" indent="0" algn="l"/>
          <a:r>
            <a:rPr lang="en-US" sz="1200" b="0" i="0" u="none" strike="noStrike">
              <a:solidFill>
                <a:srgbClr val="000000"/>
              </a:solidFill>
              <a:latin typeface="Calibri" panose="020F0502020204030204" pitchFamily="34" charset="0"/>
              <a:cs typeface="Calibri" panose="020F0502020204030204" pitchFamily="34" charset="0"/>
            </a:rPr>
            <a:t>They are going to enter in the green hydrogen market.</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21</xdr:row>
      <xdr:rowOff>0</xdr:rowOff>
    </xdr:from>
    <xdr:ext cx="304800" cy="308437"/>
    <xdr:sp macro="" textlink="">
      <xdr:nvSpPr>
        <xdr:cNvPr id="19" name="AutoShape 231" descr="Resultado de imagen para beer consumption trend">
          <a:extLst>
            <a:ext uri="{FF2B5EF4-FFF2-40B4-BE49-F238E27FC236}">
              <a16:creationId xmlns:a16="http://schemas.microsoft.com/office/drawing/2014/main" id="{A23DF9CB-ABDC-4CBC-941E-C3A1E6B7BDD7}"/>
            </a:ext>
          </a:extLst>
        </xdr:cNvPr>
        <xdr:cNvSpPr>
          <a:spLocks noChangeAspect="1" noChangeArrowheads="1"/>
        </xdr:cNvSpPr>
      </xdr:nvSpPr>
      <xdr:spPr bwMode="auto">
        <a:xfrm>
          <a:off x="7829550" y="7143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8437"/>
    <xdr:sp macro="" textlink="">
      <xdr:nvSpPr>
        <xdr:cNvPr id="18" name="AutoShape 232" descr="Resultado de imagen para beer consumption trend">
          <a:extLst>
            <a:ext uri="{FF2B5EF4-FFF2-40B4-BE49-F238E27FC236}">
              <a16:creationId xmlns:a16="http://schemas.microsoft.com/office/drawing/2014/main" id="{290ADD27-FE0C-4C99-AF77-3098E89BD849}"/>
            </a:ext>
          </a:extLst>
        </xdr:cNvPr>
        <xdr:cNvSpPr>
          <a:spLocks noChangeAspect="1" noChangeArrowheads="1"/>
        </xdr:cNvSpPr>
      </xdr:nvSpPr>
      <xdr:spPr bwMode="auto">
        <a:xfrm>
          <a:off x="7829550" y="1200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6171"/>
    <xdr:sp macro="" textlink="">
      <xdr:nvSpPr>
        <xdr:cNvPr id="17" name="AutoShape 233" descr="Resultado de imagen para beer consumption trend">
          <a:extLst>
            <a:ext uri="{FF2B5EF4-FFF2-40B4-BE49-F238E27FC236}">
              <a16:creationId xmlns:a16="http://schemas.microsoft.com/office/drawing/2014/main" id="{76C615DC-9449-489C-838D-7501FF91B816}"/>
            </a:ext>
          </a:extLst>
        </xdr:cNvPr>
        <xdr:cNvSpPr>
          <a:spLocks noChangeAspect="1" noChangeArrowheads="1"/>
        </xdr:cNvSpPr>
      </xdr:nvSpPr>
      <xdr:spPr bwMode="auto">
        <a:xfrm>
          <a:off x="7067550" y="2181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21</xdr:row>
      <xdr:rowOff>0</xdr:rowOff>
    </xdr:from>
    <xdr:ext cx="304800" cy="305262"/>
    <xdr:sp macro="" textlink="">
      <xdr:nvSpPr>
        <xdr:cNvPr id="16" name="AutoShape 231" descr="Resultado de imagen para beer consumption trend">
          <a:extLst>
            <a:ext uri="{FF2B5EF4-FFF2-40B4-BE49-F238E27FC236}">
              <a16:creationId xmlns:a16="http://schemas.microsoft.com/office/drawing/2014/main" id="{3816F209-593F-4972-8238-056F7A06C2DB}"/>
            </a:ext>
          </a:extLst>
        </xdr:cNvPr>
        <xdr:cNvSpPr>
          <a:spLocks noChangeAspect="1" noChangeArrowheads="1"/>
        </xdr:cNvSpPr>
      </xdr:nvSpPr>
      <xdr:spPr bwMode="auto">
        <a:xfrm>
          <a:off x="10601325" y="923925"/>
          <a:ext cx="304800" cy="302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5D67A490-620E-4BB6-ACF8-2FBAECF65CB2}"/>
            </a:ext>
          </a:extLst>
        </xdr:cNvPr>
        <xdr:cNvSpPr>
          <a:spLocks noChangeAspect="1" noChangeArrowheads="1"/>
        </xdr:cNvSpPr>
      </xdr:nvSpPr>
      <xdr:spPr bwMode="auto">
        <a:xfrm>
          <a:off x="10601325" y="1781175"/>
          <a:ext cx="304800" cy="30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1207"/>
    <xdr:sp macro="" textlink="">
      <xdr:nvSpPr>
        <xdr:cNvPr id="14" name="AutoShape 233" descr="Resultado de imagen para beer consumption trend">
          <a:extLst>
            <a:ext uri="{FF2B5EF4-FFF2-40B4-BE49-F238E27FC236}">
              <a16:creationId xmlns:a16="http://schemas.microsoft.com/office/drawing/2014/main" id="{71A499F7-7BCB-43D8-AAAA-8629B391E887}"/>
            </a:ext>
          </a:extLst>
        </xdr:cNvPr>
        <xdr:cNvSpPr>
          <a:spLocks noChangeAspect="1" noChangeArrowheads="1"/>
        </xdr:cNvSpPr>
      </xdr:nvSpPr>
      <xdr:spPr bwMode="auto">
        <a:xfrm>
          <a:off x="10601325" y="3152775"/>
          <a:ext cx="304800" cy="285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642470</xdr:colOff>
      <xdr:row>1</xdr:row>
      <xdr:rowOff>29882</xdr:rowOff>
    </xdr:from>
    <xdr:to>
      <xdr:col>1</xdr:col>
      <xdr:colOff>1735730</xdr:colOff>
      <xdr:row>1</xdr:row>
      <xdr:rowOff>1006774</xdr:rowOff>
    </xdr:to>
    <xdr:pic>
      <xdr:nvPicPr>
        <xdr:cNvPr id="2" name="Imagem 2">
          <a:extLst>
            <a:ext uri="{FF2B5EF4-FFF2-40B4-BE49-F238E27FC236}">
              <a16:creationId xmlns:a16="http://schemas.microsoft.com/office/drawing/2014/main" id="{3BFFA781-C200-1F47-950B-FCB5F2D2CCE8}"/>
            </a:ext>
            <a:ext uri="{147F2762-F138-4A5C-976F-8EAC2B608ADB}">
              <a16:predDERef xmlns:a16="http://schemas.microsoft.com/office/drawing/2014/main" pred="{0CDB40F5-5823-773E-3385-7BC4789F6433}"/>
            </a:ext>
          </a:extLst>
        </xdr:cNvPr>
        <xdr:cNvPicPr>
          <a:picLocks noChangeAspect="1"/>
        </xdr:cNvPicPr>
      </xdr:nvPicPr>
      <xdr:blipFill>
        <a:blip xmlns:r="http://schemas.openxmlformats.org/officeDocument/2006/relationships" r:embed="rId1"/>
        <a:stretch>
          <a:fillRect/>
        </a:stretch>
      </xdr:blipFill>
      <xdr:spPr>
        <a:xfrm>
          <a:off x="687294" y="209176"/>
          <a:ext cx="1102785" cy="971177"/>
        </a:xfrm>
        <a:prstGeom prst="rect">
          <a:avLst/>
        </a:prstGeom>
      </xdr:spPr>
    </xdr:pic>
    <xdr:clientData/>
  </xdr:twoCellAnchor>
  <xdr:twoCellAnchor editAs="oneCell">
    <xdr:from>
      <xdr:col>1</xdr:col>
      <xdr:colOff>74707</xdr:colOff>
      <xdr:row>2</xdr:row>
      <xdr:rowOff>134471</xdr:rowOff>
    </xdr:from>
    <xdr:to>
      <xdr:col>1</xdr:col>
      <xdr:colOff>2171144</xdr:colOff>
      <xdr:row>2</xdr:row>
      <xdr:rowOff>896770</xdr:rowOff>
    </xdr:to>
    <xdr:pic>
      <xdr:nvPicPr>
        <xdr:cNvPr id="3" name="Picture 2" descr="Ørsted Portugal | Uma empresa 100% focada em energia sustentável e líder em  energia eólica offshore">
          <a:extLst>
            <a:ext uri="{FF2B5EF4-FFF2-40B4-BE49-F238E27FC236}">
              <a16:creationId xmlns:a16="http://schemas.microsoft.com/office/drawing/2014/main" id="{C87AFA30-BB9C-314C-A21A-5523D15BC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531" y="1344706"/>
          <a:ext cx="2342518" cy="747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358588</xdr:colOff>
      <xdr:row>3</xdr:row>
      <xdr:rowOff>123266</xdr:rowOff>
    </xdr:from>
    <xdr:to>
      <xdr:col>1</xdr:col>
      <xdr:colOff>2308188</xdr:colOff>
      <xdr:row>3</xdr:row>
      <xdr:rowOff>930986</xdr:rowOff>
    </xdr:to>
    <xdr:pic>
      <xdr:nvPicPr>
        <xdr:cNvPr id="4" name="Immagine 4">
          <a:extLst>
            <a:ext uri="{FF2B5EF4-FFF2-40B4-BE49-F238E27FC236}">
              <a16:creationId xmlns:a16="http://schemas.microsoft.com/office/drawing/2014/main" id="{0A5A7D7A-5FE3-0348-8E4A-C80AD156ABBC}"/>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835" r="4660"/>
        <a:stretch/>
      </xdr:blipFill>
      <xdr:spPr bwMode="auto">
        <a:xfrm>
          <a:off x="392206" y="2398060"/>
          <a:ext cx="1961030" cy="796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657412</xdr:colOff>
      <xdr:row>4</xdr:row>
      <xdr:rowOff>44823</xdr:rowOff>
    </xdr:from>
    <xdr:to>
      <xdr:col>1</xdr:col>
      <xdr:colOff>1622873</xdr:colOff>
      <xdr:row>5</xdr:row>
      <xdr:rowOff>16555</xdr:rowOff>
    </xdr:to>
    <xdr:pic>
      <xdr:nvPicPr>
        <xdr:cNvPr id="5" name="Immagine 1">
          <a:extLst>
            <a:ext uri="{FF2B5EF4-FFF2-40B4-BE49-F238E27FC236}">
              <a16:creationId xmlns:a16="http://schemas.microsoft.com/office/drawing/2014/main" id="{51BB6B06-F40A-364A-93A6-3F8A6088570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2236" y="3316941"/>
          <a:ext cx="971176" cy="9969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179294</xdr:colOff>
      <xdr:row>5</xdr:row>
      <xdr:rowOff>44824</xdr:rowOff>
    </xdr:from>
    <xdr:to>
      <xdr:col>1</xdr:col>
      <xdr:colOff>2003873</xdr:colOff>
      <xdr:row>5</xdr:row>
      <xdr:rowOff>1006750</xdr:rowOff>
    </xdr:to>
    <xdr:pic>
      <xdr:nvPicPr>
        <xdr:cNvPr id="6" name="Immagine 5">
          <a:extLst>
            <a:ext uri="{FF2B5EF4-FFF2-40B4-BE49-F238E27FC236}">
              <a16:creationId xmlns:a16="http://schemas.microsoft.com/office/drawing/2014/main" id="{F133084F-6134-CF45-876F-CE7264C5844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4118" y="4347883"/>
          <a:ext cx="1830294" cy="969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19</xdr:col>
      <xdr:colOff>748393</xdr:colOff>
      <xdr:row>0</xdr:row>
      <xdr:rowOff>-4536</xdr:rowOff>
    </xdr:from>
    <xdr:to>
      <xdr:col>23</xdr:col>
      <xdr:colOff>922564</xdr:colOff>
      <xdr:row>6</xdr:row>
      <xdr:rowOff>144689</xdr:rowOff>
    </xdr:to>
    <xdr:graphicFrame macro="">
      <xdr:nvGraphicFramePr>
        <xdr:cNvPr id="5" name="Gráfico 8">
          <a:extLst>
            <a:ext uri="{FF2B5EF4-FFF2-40B4-BE49-F238E27FC236}">
              <a16:creationId xmlns:a16="http://schemas.microsoft.com/office/drawing/2014/main" i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500742</xdr:colOff>
      <xdr:row>7</xdr:row>
      <xdr:rowOff>143328</xdr:rowOff>
    </xdr:from>
    <xdr:to>
      <xdr:col>23</xdr:col>
      <xdr:colOff>669470</xdr:colOff>
      <xdr:row>12</xdr:row>
      <xdr:rowOff>73478</xdr:rowOff>
    </xdr:to>
    <xdr:graphicFrame macro="">
      <xdr:nvGraphicFramePr>
        <xdr:cNvPr id="301" name="Gráfico 9">
          <a:extLst>
            <a:ext uri="{FF2B5EF4-FFF2-40B4-BE49-F238E27FC236}">
              <a16:creationId xmlns:a16="http://schemas.microsoft.com/office/drawing/2014/main" id="{CF12CB32-795F-7528-355F-ABE1EF8A57CA}"/>
            </a:ext>
            <a:ext uri="{147F2762-F138-4A5C-976F-8EAC2B608ADB}">
              <a16:predDERef xmlns:a16="http://schemas.microsoft.com/office/drawing/2014/main" pre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353786</xdr:colOff>
      <xdr:row>13</xdr:row>
      <xdr:rowOff>34018</xdr:rowOff>
    </xdr:from>
    <xdr:to>
      <xdr:col>23</xdr:col>
      <xdr:colOff>522514</xdr:colOff>
      <xdr:row>19</xdr:row>
      <xdr:rowOff>113393</xdr:rowOff>
    </xdr:to>
    <xdr:graphicFrame macro="">
      <xdr:nvGraphicFramePr>
        <xdr:cNvPr id="284" name="Gráfico 10">
          <a:extLst>
            <a:ext uri="{FF2B5EF4-FFF2-40B4-BE49-F238E27FC236}">
              <a16:creationId xmlns:a16="http://schemas.microsoft.com/office/drawing/2014/main" id="{E53AAB4F-BCF1-AFDB-6C67-D6DB06F29436}"/>
            </a:ext>
            <a:ext uri="{147F2762-F138-4A5C-976F-8EAC2B608ADB}">
              <a16:predDERef xmlns:a16="http://schemas.microsoft.com/office/drawing/2014/main" pred="{CF12CB32-795F-7528-355F-ABE1EF8A5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200025</xdr:colOff>
      <xdr:row>19</xdr:row>
      <xdr:rowOff>117929</xdr:rowOff>
    </xdr:from>
    <xdr:to>
      <xdr:col>21</xdr:col>
      <xdr:colOff>1111703</xdr:colOff>
      <xdr:row>26</xdr:row>
      <xdr:rowOff>486229</xdr:rowOff>
    </xdr:to>
    <xdr:graphicFrame macro="">
      <xdr:nvGraphicFramePr>
        <xdr:cNvPr id="271" name="Gráfico 11">
          <a:extLst>
            <a:ext uri="{FF2B5EF4-FFF2-40B4-BE49-F238E27FC236}">
              <a16:creationId xmlns:a16="http://schemas.microsoft.com/office/drawing/2014/main" id="{278A061F-1821-F77F-C4FB-83DCDAE48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37</xdr:col>
      <xdr:colOff>110490</xdr:colOff>
      <xdr:row>21</xdr:row>
      <xdr:rowOff>40005</xdr:rowOff>
    </xdr:from>
    <xdr:to>
      <xdr:col>42</xdr:col>
      <xdr:colOff>554660</xdr:colOff>
      <xdr:row>40</xdr:row>
      <xdr:rowOff>55530</xdr:rowOff>
    </xdr:to>
    <xdr:pic>
      <xdr:nvPicPr>
        <xdr:cNvPr id="2" name="Picture 1">
          <a:extLst>
            <a:ext uri="{FF2B5EF4-FFF2-40B4-BE49-F238E27FC236}">
              <a16:creationId xmlns:a16="http://schemas.microsoft.com/office/drawing/2014/main" id="{9B730D71-00A1-EDB9-04BB-A0E390ED35FC}"/>
            </a:ext>
          </a:extLst>
        </xdr:cNvPr>
        <xdr:cNvPicPr>
          <a:picLocks noChangeAspect="1"/>
        </xdr:cNvPicPr>
      </xdr:nvPicPr>
      <xdr:blipFill>
        <a:blip xmlns:r="http://schemas.openxmlformats.org/officeDocument/2006/relationships" r:embed="rId1"/>
        <a:stretch>
          <a:fillRect/>
        </a:stretch>
      </xdr:blipFill>
      <xdr:spPr>
        <a:xfrm>
          <a:off x="28199715" y="3316605"/>
          <a:ext cx="3501695" cy="3284505"/>
        </a:xfrm>
        <a:prstGeom prst="rect">
          <a:avLst/>
        </a:prstGeom>
      </xdr:spPr>
    </xdr:pic>
    <xdr:clientData/>
  </xdr:twoCellAnchor>
  <xdr:twoCellAnchor editAs="oneCell">
    <xdr:from>
      <xdr:col>36</xdr:col>
      <xdr:colOff>579120</xdr:colOff>
      <xdr:row>55</xdr:row>
      <xdr:rowOff>36195</xdr:rowOff>
    </xdr:from>
    <xdr:to>
      <xdr:col>48</xdr:col>
      <xdr:colOff>269213</xdr:colOff>
      <xdr:row>70</xdr:row>
      <xdr:rowOff>91677</xdr:rowOff>
    </xdr:to>
    <xdr:pic>
      <xdr:nvPicPr>
        <xdr:cNvPr id="3" name="Picture 2">
          <a:extLst>
            <a:ext uri="{FF2B5EF4-FFF2-40B4-BE49-F238E27FC236}">
              <a16:creationId xmlns:a16="http://schemas.microsoft.com/office/drawing/2014/main" id="{F18348AF-16F0-E644-84BA-08A0AC908C73}"/>
            </a:ext>
          </a:extLst>
        </xdr:cNvPr>
        <xdr:cNvPicPr>
          <a:picLocks noChangeAspect="1"/>
        </xdr:cNvPicPr>
      </xdr:nvPicPr>
      <xdr:blipFill>
        <a:blip xmlns:r="http://schemas.openxmlformats.org/officeDocument/2006/relationships" r:embed="rId2"/>
        <a:stretch>
          <a:fillRect/>
        </a:stretch>
      </xdr:blipFill>
      <xdr:spPr>
        <a:xfrm>
          <a:off x="28058745" y="6398895"/>
          <a:ext cx="7005293" cy="2741532"/>
        </a:xfrm>
        <a:prstGeom prst="rect">
          <a:avLst/>
        </a:prstGeom>
      </xdr:spPr>
    </xdr:pic>
    <xdr:clientData/>
  </xdr:twoCellAnchor>
  <xdr:twoCellAnchor editAs="oneCell">
    <xdr:from>
      <xdr:col>0</xdr:col>
      <xdr:colOff>0</xdr:colOff>
      <xdr:row>64</xdr:row>
      <xdr:rowOff>76200</xdr:rowOff>
    </xdr:from>
    <xdr:to>
      <xdr:col>5</xdr:col>
      <xdr:colOff>362672</xdr:colOff>
      <xdr:row>68</xdr:row>
      <xdr:rowOff>34345</xdr:rowOff>
    </xdr:to>
    <xdr:pic>
      <xdr:nvPicPr>
        <xdr:cNvPr id="4" name="Picture 3">
          <a:extLst>
            <a:ext uri="{FF2B5EF4-FFF2-40B4-BE49-F238E27FC236}">
              <a16:creationId xmlns:a16="http://schemas.microsoft.com/office/drawing/2014/main" id="{99B29409-735A-687C-5E0A-9544F18F0356}"/>
            </a:ext>
          </a:extLst>
        </xdr:cNvPr>
        <xdr:cNvPicPr>
          <a:picLocks noChangeAspect="1"/>
        </xdr:cNvPicPr>
      </xdr:nvPicPr>
      <xdr:blipFill>
        <a:blip xmlns:r="http://schemas.openxmlformats.org/officeDocument/2006/relationships" r:embed="rId3"/>
        <a:stretch>
          <a:fillRect/>
        </a:stretch>
      </xdr:blipFill>
      <xdr:spPr>
        <a:xfrm>
          <a:off x="0" y="7981950"/>
          <a:ext cx="8335097" cy="643945"/>
        </a:xfrm>
        <a:prstGeom prst="rect">
          <a:avLst/>
        </a:prstGeom>
      </xdr:spPr>
    </xdr:pic>
    <xdr:clientData/>
  </xdr:twoCellAnchor>
  <xdr:twoCellAnchor editAs="oneCell">
    <xdr:from>
      <xdr:col>0</xdr:col>
      <xdr:colOff>0</xdr:colOff>
      <xdr:row>70</xdr:row>
      <xdr:rowOff>142875</xdr:rowOff>
    </xdr:from>
    <xdr:to>
      <xdr:col>5</xdr:col>
      <xdr:colOff>459837</xdr:colOff>
      <xdr:row>98</xdr:row>
      <xdr:rowOff>93758</xdr:rowOff>
    </xdr:to>
    <xdr:pic>
      <xdr:nvPicPr>
        <xdr:cNvPr id="5" name="Picture 4">
          <a:extLst>
            <a:ext uri="{FF2B5EF4-FFF2-40B4-BE49-F238E27FC236}">
              <a16:creationId xmlns:a16="http://schemas.microsoft.com/office/drawing/2014/main" id="{3AA9F523-7FA8-0F1A-BF06-77169FD945D1}"/>
            </a:ext>
          </a:extLst>
        </xdr:cNvPr>
        <xdr:cNvPicPr>
          <a:picLocks noChangeAspect="1"/>
        </xdr:cNvPicPr>
      </xdr:nvPicPr>
      <xdr:blipFill>
        <a:blip xmlns:r="http://schemas.openxmlformats.org/officeDocument/2006/relationships" r:embed="rId4"/>
        <a:stretch>
          <a:fillRect/>
        </a:stretch>
      </xdr:blipFill>
      <xdr:spPr>
        <a:xfrm>
          <a:off x="0" y="9191625"/>
          <a:ext cx="8447502" cy="4759103"/>
        </a:xfrm>
        <a:prstGeom prst="rect">
          <a:avLst/>
        </a:prstGeom>
      </xdr:spPr>
    </xdr:pic>
    <xdr:clientData/>
  </xdr:twoCellAnchor>
  <xdr:twoCellAnchor editAs="oneCell">
    <xdr:from>
      <xdr:col>0</xdr:col>
      <xdr:colOff>0</xdr:colOff>
      <xdr:row>100</xdr:row>
      <xdr:rowOff>9525</xdr:rowOff>
    </xdr:from>
    <xdr:to>
      <xdr:col>5</xdr:col>
      <xdr:colOff>646544</xdr:colOff>
      <xdr:row>127</xdr:row>
      <xdr:rowOff>400</xdr:rowOff>
    </xdr:to>
    <xdr:pic>
      <xdr:nvPicPr>
        <xdr:cNvPr id="6" name="Picture 5">
          <a:extLst>
            <a:ext uri="{FF2B5EF4-FFF2-40B4-BE49-F238E27FC236}">
              <a16:creationId xmlns:a16="http://schemas.microsoft.com/office/drawing/2014/main" id="{7E00876A-C695-0785-29F6-331E47DB6330}"/>
            </a:ext>
          </a:extLst>
        </xdr:cNvPr>
        <xdr:cNvPicPr>
          <a:picLocks noChangeAspect="1"/>
        </xdr:cNvPicPr>
      </xdr:nvPicPr>
      <xdr:blipFill>
        <a:blip xmlns:r="http://schemas.openxmlformats.org/officeDocument/2006/relationships" r:embed="rId5"/>
        <a:stretch>
          <a:fillRect/>
        </a:stretch>
      </xdr:blipFill>
      <xdr:spPr>
        <a:xfrm>
          <a:off x="0" y="14201775"/>
          <a:ext cx="8639924" cy="4620025"/>
        </a:xfrm>
        <a:prstGeom prst="rect">
          <a:avLst/>
        </a:prstGeom>
      </xdr:spPr>
    </xdr:pic>
    <xdr:clientData/>
  </xdr:twoCellAnchor>
  <xdr:twoCellAnchor editAs="oneCell">
    <xdr:from>
      <xdr:col>0</xdr:col>
      <xdr:colOff>0</xdr:colOff>
      <xdr:row>128</xdr:row>
      <xdr:rowOff>104775</xdr:rowOff>
    </xdr:from>
    <xdr:to>
      <xdr:col>6</xdr:col>
      <xdr:colOff>50289</xdr:colOff>
      <xdr:row>156</xdr:row>
      <xdr:rowOff>154725</xdr:rowOff>
    </xdr:to>
    <xdr:pic>
      <xdr:nvPicPr>
        <xdr:cNvPr id="7" name="Picture 6">
          <a:extLst>
            <a:ext uri="{FF2B5EF4-FFF2-40B4-BE49-F238E27FC236}">
              <a16:creationId xmlns:a16="http://schemas.microsoft.com/office/drawing/2014/main" id="{508020E0-FEE5-7FCA-F604-358AA68E2E40}"/>
            </a:ext>
          </a:extLst>
        </xdr:cNvPr>
        <xdr:cNvPicPr>
          <a:picLocks noChangeAspect="1"/>
        </xdr:cNvPicPr>
      </xdr:nvPicPr>
      <xdr:blipFill>
        <a:blip xmlns:r="http://schemas.openxmlformats.org/officeDocument/2006/relationships" r:embed="rId6"/>
        <a:stretch>
          <a:fillRect/>
        </a:stretch>
      </xdr:blipFill>
      <xdr:spPr>
        <a:xfrm>
          <a:off x="0" y="19097625"/>
          <a:ext cx="8750424" cy="4850550"/>
        </a:xfrm>
        <a:prstGeom prst="rect">
          <a:avLst/>
        </a:prstGeom>
      </xdr:spPr>
    </xdr:pic>
    <xdr:clientData/>
  </xdr:twoCellAnchor>
  <xdr:twoCellAnchor editAs="oneCell">
    <xdr:from>
      <xdr:col>6</xdr:col>
      <xdr:colOff>316230</xdr:colOff>
      <xdr:row>66</xdr:row>
      <xdr:rowOff>17145</xdr:rowOff>
    </xdr:from>
    <xdr:to>
      <xdr:col>19</xdr:col>
      <xdr:colOff>524631</xdr:colOff>
      <xdr:row>95</xdr:row>
      <xdr:rowOff>122336</xdr:rowOff>
    </xdr:to>
    <xdr:pic>
      <xdr:nvPicPr>
        <xdr:cNvPr id="15" name="Picture 7">
          <a:extLst>
            <a:ext uri="{FF2B5EF4-FFF2-40B4-BE49-F238E27FC236}">
              <a16:creationId xmlns:a16="http://schemas.microsoft.com/office/drawing/2014/main" id="{29403B06-3C72-6D27-7B88-8EF1C91BE9EF}"/>
            </a:ext>
          </a:extLst>
        </xdr:cNvPr>
        <xdr:cNvPicPr>
          <a:picLocks noChangeAspect="1"/>
        </xdr:cNvPicPr>
      </xdr:nvPicPr>
      <xdr:blipFill>
        <a:blip xmlns:r="http://schemas.openxmlformats.org/officeDocument/2006/relationships" r:embed="rId7"/>
        <a:stretch>
          <a:fillRect/>
        </a:stretch>
      </xdr:blipFill>
      <xdr:spPr>
        <a:xfrm>
          <a:off x="8660130" y="11637645"/>
          <a:ext cx="8729466" cy="4804826"/>
        </a:xfrm>
        <a:prstGeom prst="rect">
          <a:avLst/>
        </a:prstGeom>
      </xdr:spPr>
    </xdr:pic>
    <xdr:clientData/>
  </xdr:twoCellAnchor>
  <xdr:twoCellAnchor editAs="oneCell">
    <xdr:from>
      <xdr:col>7</xdr:col>
      <xdr:colOff>198120</xdr:colOff>
      <xdr:row>128</xdr:row>
      <xdr:rowOff>9525</xdr:rowOff>
    </xdr:from>
    <xdr:to>
      <xdr:col>20</xdr:col>
      <xdr:colOff>364618</xdr:colOff>
      <xdr:row>154</xdr:row>
      <xdr:rowOff>93740</xdr:rowOff>
    </xdr:to>
    <xdr:pic>
      <xdr:nvPicPr>
        <xdr:cNvPr id="9" name="Picture 8">
          <a:extLst>
            <a:ext uri="{FF2B5EF4-FFF2-40B4-BE49-F238E27FC236}">
              <a16:creationId xmlns:a16="http://schemas.microsoft.com/office/drawing/2014/main" id="{980FCBF1-015F-B673-7122-57A257B9B75B}"/>
            </a:ext>
          </a:extLst>
        </xdr:cNvPr>
        <xdr:cNvPicPr>
          <a:picLocks noChangeAspect="1"/>
        </xdr:cNvPicPr>
      </xdr:nvPicPr>
      <xdr:blipFill>
        <a:blip xmlns:r="http://schemas.openxmlformats.org/officeDocument/2006/relationships" r:embed="rId8"/>
        <a:stretch>
          <a:fillRect/>
        </a:stretch>
      </xdr:blipFill>
      <xdr:spPr>
        <a:xfrm>
          <a:off x="9275445" y="19002375"/>
          <a:ext cx="8815198" cy="4549535"/>
        </a:xfrm>
        <a:prstGeom prst="rect">
          <a:avLst/>
        </a:prstGeom>
      </xdr:spPr>
    </xdr:pic>
    <xdr:clientData/>
  </xdr:twoCellAnchor>
  <xdr:twoCellAnchor editAs="oneCell">
    <xdr:from>
      <xdr:col>0</xdr:col>
      <xdr:colOff>495300</xdr:colOff>
      <xdr:row>162</xdr:row>
      <xdr:rowOff>19050</xdr:rowOff>
    </xdr:from>
    <xdr:to>
      <xdr:col>6</xdr:col>
      <xdr:colOff>362692</xdr:colOff>
      <xdr:row>187</xdr:row>
      <xdr:rowOff>93723</xdr:rowOff>
    </xdr:to>
    <xdr:pic>
      <xdr:nvPicPr>
        <xdr:cNvPr id="10" name="Picture 9">
          <a:extLst>
            <a:ext uri="{FF2B5EF4-FFF2-40B4-BE49-F238E27FC236}">
              <a16:creationId xmlns:a16="http://schemas.microsoft.com/office/drawing/2014/main" id="{A8504C84-7B11-25D2-EA6B-21B93DF4C17E}"/>
            </a:ext>
          </a:extLst>
        </xdr:cNvPr>
        <xdr:cNvPicPr>
          <a:picLocks noChangeAspect="1"/>
        </xdr:cNvPicPr>
      </xdr:nvPicPr>
      <xdr:blipFill>
        <a:blip xmlns:r="http://schemas.openxmlformats.org/officeDocument/2006/relationships" r:embed="rId9"/>
        <a:stretch>
          <a:fillRect/>
        </a:stretch>
      </xdr:blipFill>
      <xdr:spPr>
        <a:xfrm>
          <a:off x="495300" y="24841200"/>
          <a:ext cx="8561812" cy="4368543"/>
        </a:xfrm>
        <a:prstGeom prst="rect">
          <a:avLst/>
        </a:prstGeom>
      </xdr:spPr>
    </xdr:pic>
    <xdr:clientData/>
  </xdr:twoCellAnchor>
  <xdr:twoCellAnchor editAs="oneCell">
    <xdr:from>
      <xdr:col>6</xdr:col>
      <xdr:colOff>685800</xdr:colOff>
      <xdr:row>97</xdr:row>
      <xdr:rowOff>133350</xdr:rowOff>
    </xdr:from>
    <xdr:to>
      <xdr:col>19</xdr:col>
      <xdr:colOff>574155</xdr:colOff>
      <xdr:row>124</xdr:row>
      <xdr:rowOff>15631</xdr:rowOff>
    </xdr:to>
    <xdr:pic>
      <xdr:nvPicPr>
        <xdr:cNvPr id="11" name="Picture 10">
          <a:extLst>
            <a:ext uri="{FF2B5EF4-FFF2-40B4-BE49-F238E27FC236}">
              <a16:creationId xmlns:a16="http://schemas.microsoft.com/office/drawing/2014/main" id="{E462B89F-55D5-5ECE-6FF1-61ADF506D777}"/>
            </a:ext>
          </a:extLst>
        </xdr:cNvPr>
        <xdr:cNvPicPr>
          <a:picLocks noChangeAspect="1"/>
        </xdr:cNvPicPr>
      </xdr:nvPicPr>
      <xdr:blipFill>
        <a:blip xmlns:r="http://schemas.openxmlformats.org/officeDocument/2006/relationships" r:embed="rId10"/>
        <a:stretch>
          <a:fillRect/>
        </a:stretch>
      </xdr:blipFill>
      <xdr:spPr>
        <a:xfrm>
          <a:off x="9029700" y="13811250"/>
          <a:ext cx="8660880" cy="4515241"/>
        </a:xfrm>
        <a:prstGeom prst="rect">
          <a:avLst/>
        </a:prstGeom>
      </xdr:spPr>
    </xdr:pic>
    <xdr:clientData/>
  </xdr:twoCellAnchor>
  <xdr:twoCellAnchor editAs="oneCell">
    <xdr:from>
      <xdr:col>7</xdr:col>
      <xdr:colOff>123825</xdr:colOff>
      <xdr:row>160</xdr:row>
      <xdr:rowOff>142875</xdr:rowOff>
    </xdr:from>
    <xdr:to>
      <xdr:col>19</xdr:col>
      <xdr:colOff>589382</xdr:colOff>
      <xdr:row>188</xdr:row>
      <xdr:rowOff>93757</xdr:rowOff>
    </xdr:to>
    <xdr:pic>
      <xdr:nvPicPr>
        <xdr:cNvPr id="12" name="Picture 11">
          <a:extLst>
            <a:ext uri="{FF2B5EF4-FFF2-40B4-BE49-F238E27FC236}">
              <a16:creationId xmlns:a16="http://schemas.microsoft.com/office/drawing/2014/main" id="{B446E266-8B3B-BB20-3312-CF1B73A67DF1}"/>
            </a:ext>
          </a:extLst>
        </xdr:cNvPr>
        <xdr:cNvPicPr>
          <a:picLocks noChangeAspect="1"/>
        </xdr:cNvPicPr>
      </xdr:nvPicPr>
      <xdr:blipFill>
        <a:blip xmlns:r="http://schemas.openxmlformats.org/officeDocument/2006/relationships" r:embed="rId11"/>
        <a:stretch>
          <a:fillRect/>
        </a:stretch>
      </xdr:blipFill>
      <xdr:spPr>
        <a:xfrm>
          <a:off x="9201150" y="24622125"/>
          <a:ext cx="8504657" cy="4759102"/>
        </a:xfrm>
        <a:prstGeom prst="rect">
          <a:avLst/>
        </a:prstGeom>
      </xdr:spPr>
    </xdr:pic>
    <xdr:clientData/>
  </xdr:twoCellAnchor>
  <xdr:twoCellAnchor editAs="oneCell">
    <xdr:from>
      <xdr:col>0</xdr:col>
      <xdr:colOff>0</xdr:colOff>
      <xdr:row>189</xdr:row>
      <xdr:rowOff>55245</xdr:rowOff>
    </xdr:from>
    <xdr:to>
      <xdr:col>5</xdr:col>
      <xdr:colOff>688456</xdr:colOff>
      <xdr:row>214</xdr:row>
      <xdr:rowOff>78477</xdr:rowOff>
    </xdr:to>
    <xdr:pic>
      <xdr:nvPicPr>
        <xdr:cNvPr id="13" name="Picture 12">
          <a:extLst>
            <a:ext uri="{FF2B5EF4-FFF2-40B4-BE49-F238E27FC236}">
              <a16:creationId xmlns:a16="http://schemas.microsoft.com/office/drawing/2014/main" id="{B9393362-A96B-EE01-E11C-E34AA432B6EC}"/>
            </a:ext>
          </a:extLst>
        </xdr:cNvPr>
        <xdr:cNvPicPr>
          <a:picLocks noChangeAspect="1"/>
        </xdr:cNvPicPr>
      </xdr:nvPicPr>
      <xdr:blipFill>
        <a:blip xmlns:r="http://schemas.openxmlformats.org/officeDocument/2006/relationships" r:embed="rId12"/>
        <a:stretch>
          <a:fillRect/>
        </a:stretch>
      </xdr:blipFill>
      <xdr:spPr>
        <a:xfrm>
          <a:off x="0" y="29506545"/>
          <a:ext cx="8662786" cy="4309482"/>
        </a:xfrm>
        <a:prstGeom prst="rect">
          <a:avLst/>
        </a:prstGeom>
      </xdr:spPr>
    </xdr:pic>
    <xdr:clientData/>
  </xdr:twoCellAnchor>
  <xdr:twoCellAnchor editAs="oneCell">
    <xdr:from>
      <xdr:col>6</xdr:col>
      <xdr:colOff>704850</xdr:colOff>
      <xdr:row>190</xdr:row>
      <xdr:rowOff>57150</xdr:rowOff>
    </xdr:from>
    <xdr:to>
      <xdr:col>19</xdr:col>
      <xdr:colOff>574154</xdr:colOff>
      <xdr:row>218</xdr:row>
      <xdr:rowOff>76618</xdr:rowOff>
    </xdr:to>
    <xdr:pic>
      <xdr:nvPicPr>
        <xdr:cNvPr id="14" name="Picture 13">
          <a:extLst>
            <a:ext uri="{FF2B5EF4-FFF2-40B4-BE49-F238E27FC236}">
              <a16:creationId xmlns:a16="http://schemas.microsoft.com/office/drawing/2014/main" id="{A0B03457-3EBB-F5F5-2311-9A77D49DA4B3}"/>
            </a:ext>
          </a:extLst>
        </xdr:cNvPr>
        <xdr:cNvPicPr>
          <a:picLocks noChangeAspect="1"/>
        </xdr:cNvPicPr>
      </xdr:nvPicPr>
      <xdr:blipFill>
        <a:blip xmlns:r="http://schemas.openxmlformats.org/officeDocument/2006/relationships" r:embed="rId13"/>
        <a:stretch>
          <a:fillRect/>
        </a:stretch>
      </xdr:blipFill>
      <xdr:spPr>
        <a:xfrm>
          <a:off x="9048750" y="29679900"/>
          <a:ext cx="8641829" cy="4820068"/>
        </a:xfrm>
        <a:prstGeom prst="rect">
          <a:avLst/>
        </a:prstGeom>
      </xdr:spPr>
    </xdr:pic>
    <xdr:clientData/>
  </xdr:twoCellAnchor>
  <xdr:twoCellAnchor editAs="oneCell">
    <xdr:from>
      <xdr:col>20</xdr:col>
      <xdr:colOff>533400</xdr:colOff>
      <xdr:row>128</xdr:row>
      <xdr:rowOff>0</xdr:rowOff>
    </xdr:from>
    <xdr:to>
      <xdr:col>27</xdr:col>
      <xdr:colOff>75565</xdr:colOff>
      <xdr:row>150</xdr:row>
      <xdr:rowOff>76835</xdr:rowOff>
    </xdr:to>
    <xdr:pic>
      <xdr:nvPicPr>
        <xdr:cNvPr id="8" name="Picture 7" descr="A graph of a chart&#10;&#10;Description automatically generated with medium confidence">
          <a:extLst>
            <a:ext uri="{FF2B5EF4-FFF2-40B4-BE49-F238E27FC236}">
              <a16:creationId xmlns:a16="http://schemas.microsoft.com/office/drawing/2014/main" id="{8EA2DDC2-877E-1B25-D1D1-B1914EA327F3}"/>
            </a:ext>
          </a:extLst>
        </xdr:cNvPr>
        <xdr:cNvPicPr/>
      </xdr:nvPicPr>
      <xdr:blipFill>
        <a:blip xmlns:r="http://schemas.openxmlformats.org/officeDocument/2006/relationships" r:embed="rId14"/>
        <a:stretch>
          <a:fillRect/>
        </a:stretch>
      </xdr:blipFill>
      <xdr:spPr>
        <a:xfrm>
          <a:off x="18592800" y="21877020"/>
          <a:ext cx="3809365" cy="3764915"/>
        </a:xfrm>
        <a:prstGeom prst="rect">
          <a:avLst/>
        </a:prstGeom>
        <a:noFill/>
        <a:ln>
          <a:noFill/>
          <a:prstDash/>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623718</xdr:colOff>
      <xdr:row>6</xdr:row>
      <xdr:rowOff>6009</xdr:rowOff>
    </xdr:from>
    <xdr:to>
      <xdr:col>18</xdr:col>
      <xdr:colOff>410807</xdr:colOff>
      <xdr:row>31</xdr:row>
      <xdr:rowOff>138916</xdr:rowOff>
    </xdr:to>
    <xdr:pic>
      <xdr:nvPicPr>
        <xdr:cNvPr id="4" name="Picture 1" descr="A graph of a chart&#10;&#10;Description automatically generated with medium confidence">
          <a:extLst>
            <a:ext uri="{FF2B5EF4-FFF2-40B4-BE49-F238E27FC236}">
              <a16:creationId xmlns:a16="http://schemas.microsoft.com/office/drawing/2014/main" id="{5270CA6F-52DB-8CA6-088F-EDAE06F3D487}"/>
            </a:ext>
          </a:extLst>
        </xdr:cNvPr>
        <xdr:cNvPicPr>
          <a:picLocks noChangeAspect="1"/>
        </xdr:cNvPicPr>
      </xdr:nvPicPr>
      <xdr:blipFill>
        <a:blip xmlns:r="http://schemas.openxmlformats.org/officeDocument/2006/relationships" r:embed="rId1"/>
        <a:stretch>
          <a:fillRect/>
        </a:stretch>
      </xdr:blipFill>
      <xdr:spPr>
        <a:xfrm>
          <a:off x="13420836" y="1126597"/>
          <a:ext cx="3600899" cy="418293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HENRIQUE JOSE CABRITA DE ALBUQUERQUE" id="{13A363EC-2A73-4F7F-8E9F-74D095CFAE5F}" userId="S::l55402@aln.iseg.ulisboa.pt::ef625cd5-da3a-4ca4-9c5d-f69973e3c2c9" providerId="AD"/>
  <person displayName="DAVID TITA" id="{6D2C5BD9-1C3E-4972-9F97-1CA81A3CC14E}" userId="S::david.tita@aln.iseg.ulisboa.pt::2b554b1a-dfdf-4fc2-8414-05963e9f059c"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8">
  <rv s="0">
    <v>https://www.bing.com/financeapi/forcetrigger?t=alwl27&amp;q=XLIS%3aEDPR&amp;form=skydnc</v>
    <v>Learn more on Bing</v>
  </rv>
  <rv s="1">
    <v>en-US</v>
    <v>alwl27</v>
    <v>268435456</v>
    <v>1</v>
    <v>Powered by Refinitiv</v>
    <v>0</v>
    <v>EDP Renovaveis SA (XLIS:EDPR)</v>
    <v>2</v>
    <v>3</v>
    <v>Finance</v>
    <v>4</v>
    <v>20.91</v>
    <v>11.91</v>
    <v>1.4229000000000001</v>
    <v>-0.43</v>
    <v>-2.8344999999999999E-2</v>
    <v>EUR</v>
    <v>EDP Renovaveis SA, also known as EDPR, is a Spain-based company active in the renewable energy sector. The Company concentrates on the production of energy from renewable resources. The Company's activities comprise the development, operation and maintenance of such electric power stations as hydroelectric, wind, solar, tidal, biomass and waste plants, among others. It operates in Spain, Portugal, Belgium, France, Italy, Poland, Romania, the United Kingdom, Brasil, the United States, as well as Canada.</v>
    <v>3024</v>
    <v>Euronext Lisbon</v>
    <v>XLIS</v>
    <v>XLIS</v>
    <v>Centro Empresarial Parque Norte Building, MADRID, MADRID ES</v>
    <v>15.2</v>
    <v>Electrical Utilities &amp; IPPs</v>
    <v>Stock</v>
    <v>45429.666666666664</v>
    <v>0</v>
    <v>14.74</v>
    <v>15333020000</v>
    <v>EDP Renovaveis SA</v>
    <v>EDP Renovaveis SA</v>
    <v>15.13</v>
    <v>48.4709</v>
    <v>15.17</v>
    <v>14.74</v>
    <v>1040232000</v>
    <v>EDPR</v>
    <v>EDP Renovaveis SA (XLIS:EDPR)</v>
    <v>811872</v>
    <v>1214490</v>
    <v>2007</v>
  </rv>
  <rv s="2">
    <v>1</v>
  </rv>
  <rv s="0">
    <v>https://www.bing.com/financeapi/forcetrigger?t=adzmtc&amp;q=XCSE%3aVWS&amp;form=skydnc</v>
    <v>Learn more on Bing</v>
  </rv>
  <rv s="3">
    <v>en-GB</v>
    <v>adzmtc</v>
    <v>268435456</v>
    <v>1</v>
    <v>Powered by Refinitiv</v>
    <v>5</v>
    <v>Vestas Wind Systems A/S (XCSE:VWS)</v>
    <v>2</v>
    <v>6</v>
    <v>Finance</v>
    <v>7</v>
    <v>1.5477000000000001</v>
    <v>-7.6</v>
    <v>-3.8152999999999999E-2</v>
    <v>DKK</v>
    <v>Vestas Wind Systems A/S is a Denmark-based company active within the wind power industry. The Company operates through two segments, Project and Service. The Project segment is responsible for sale of wind power plants and wind turbines, among others. The Service segment contains provision of services related to the Company's offer, as well as sale of spare parts and other activities. Vestas Wind System's product line comprises 2 Megawatt (MW) and 3MW energy capture platforms equipped with ice, smoke and shadow detection systems. Its services range consists of data-driven consultancy services, fleet optimization, blade maintenance and inspection, power generator repairs and gearbox exchange, among others.</v>
    <v>31363</v>
    <v>Nasdaq Copenhagen</v>
    <v>XCSE</v>
    <v>XCSE</v>
    <v>Hedeager 42, Aarhus N, DENMARK-NA, 8200 DK</v>
    <v>198.15</v>
    <v>Renewable Energy</v>
    <v>Stock</v>
    <v>45429.638888888891</v>
    <v>3</v>
    <v>191.4</v>
    <v>193544300000</v>
    <v>Vestas Wind Systems A/S</v>
    <v>Vestas Wind Systems A/S</v>
    <v>197.7</v>
    <v>199.2</v>
    <v>191.6</v>
    <v>1009867000</v>
    <v>VWS</v>
    <v>Vestas Wind Systems A/S (XCSE:VWS)</v>
    <v>2555897</v>
    <v>2649750</v>
    <v>1986</v>
  </rv>
  <rv s="2">
    <v>4</v>
  </rv>
  <rv s="0">
    <v>https://www.bing.com/financeapi/forcetrigger?t=adzj2w&amp;q=XCSE%3aORSTED&amp;form=skydnc</v>
    <v>Learn more on Bing</v>
  </rv>
  <rv s="4">
    <v>en-GB</v>
    <v>adzj2w</v>
    <v>268435456</v>
    <v>1</v>
    <v>Powered by Refinitiv</v>
    <v>8</v>
    <v>Oersted A/S (XCSE:ORSTED)</v>
    <v>2</v>
    <v>9</v>
    <v>Finance</v>
    <v>7</v>
    <v>1400.5</v>
    <v>248</v>
    <v>1.1649</v>
    <v>-12.9</v>
    <v>-2.9832999999999998E-2</v>
    <v>DKK</v>
    <v>Orsted A/S, formerly Dong Energy A/S, is a Denmark-based energy company engaged in procuring, producing, distributing and trading energy and related products in Northwestern Europe. The Company operates through three segments: Wind Power, engaged in the development, construction and operations of wind farms; Bioenergy and Thermal Power, responsible for the generation of electricity and heat from thermal power stations; and Distribution and Customer Solutions, responsible for the purchase, sale and distribution of energy. The Company's competences are aimed at three core activities: development and construction of assets, operations and maintenance of assets, and sales and optimization of the energy commodities portfolio.</v>
    <v>8706</v>
    <v>Nasdaq Copenhagen</v>
    <v>XCSE</v>
    <v>XCSE</v>
    <v>Kraftvaerksvej 53, Skaerbaek, FREDERICIA, DENMARK-NA, 7000 DK</v>
    <v>435.1</v>
    <v>Electrical Utilities &amp; IPPs</v>
    <v>Stock</v>
    <v>45429.638888888891</v>
    <v>6</v>
    <v>415.5</v>
    <v>176349900000</v>
    <v>Oersted A/S</v>
    <v>Oersted A/S</v>
    <v>430.7</v>
    <v>432.4</v>
    <v>419.5</v>
    <v>420381100</v>
    <v>ORSTED</v>
    <v>Oersted A/S (XCSE:ORSTED)</v>
    <v>679856</v>
    <v>757050</v>
    <v>1972</v>
  </rv>
  <rv s="2">
    <v>7</v>
  </rv>
  <rv s="0">
    <v>https://www.bing.com/financeapi/forcetrigger?t=amfx6h&amp;q=BMEX%3aIBE&amp;form=skydnc</v>
    <v>Learn more on Bing</v>
  </rv>
  <rv s="5">
    <v>en-GB</v>
    <v>amfx6h</v>
    <v>268435456</v>
    <v>1</v>
    <v>Powered by Refinitiv</v>
    <v>10</v>
    <v>Iberdrola SA (BMEX:IBE)</v>
    <v>2</v>
    <v>11</v>
    <v>Finance</v>
    <v>12</v>
    <v>12.43</v>
    <v>9.7149999999999999</v>
    <v>0.54359999999999997</v>
    <v>-4.4999999999999998E-2</v>
    <v>-2.5579000000000001E-2</v>
    <v>-3.6409999999999997E-3</v>
    <v>-0.315</v>
    <v>EUR</v>
    <v>IBERDROLA, S.A. is engaged in carrying out electricity and gas activities in Spain and abroad. The Company's segments include Network business, Deregulated business, Renewable business and Other businesses. The Company's Network business segment includes all the energy transmission and distribution activities, and any other regulated activity originated in Spain, the United Kingdom, the United States and Brazil. Its Deregulated business segment includes electricity generation and sales businesses, as well as gas trading and storage businesses carried on by the Company in Spain, Portugal, the United Kingdom and North America. Its Renewable business segment includes activities related to renewable energies in Spain, the United Kingdom, the United States and the rest of the world. Its Other businesses segment includes the engineering and construction businesses and the non-power businesses. The Company offers its customers power and natural gas, both in the wholesale and retail markets.</v>
    <v>41384</v>
    <v>Bolsas y Mercados Espanoles</v>
    <v>BMEX</v>
    <v>BMEX</v>
    <v>Plaza Euskadi numero 5, BILBAO, VIZCAYA ES</v>
    <v>12.35</v>
    <v>Electrical Utilities &amp; IPPs</v>
    <v>Stock</v>
    <v>45429.667615740742</v>
    <v>9</v>
    <v>12.215</v>
    <v>79102930000</v>
    <v>Iberdrola SA</v>
    <v>Iberdrola SA</v>
    <v>12.335000000000001</v>
    <v>13.3063</v>
    <v>12.36</v>
    <v>12.315</v>
    <v>12</v>
    <v>6423299000</v>
    <v>IBE</v>
    <v>Iberdrola SA (BMEX:IBE)</v>
    <v>6723713</v>
    <v>7971550</v>
  </rv>
  <rv s="2">
    <v>10</v>
  </rv>
  <rv s="0">
    <v>https://www.bing.com/financeapi/forcetrigger?t=af9doc&amp;q=XFRA%3aEOAN&amp;form=skydnc</v>
    <v>Learn more on Bing</v>
  </rv>
  <rv s="1">
    <v>en-GB</v>
    <v>af9doc</v>
    <v>268435456</v>
    <v>1</v>
    <v>Powered by Refinitiv</v>
    <v>0</v>
    <v>E ON SE (XFRA:EOAN)</v>
    <v>2</v>
    <v>3</v>
    <v>Finance</v>
    <v>4</v>
    <v>13.46</v>
    <v>7.3</v>
    <v>0.65059999999999996</v>
    <v>-0.69499999999999995</v>
    <v>-5.1845999999999996E-2</v>
    <v>EUR</v>
    <v>E.ON SE is a Germany-based energy company. The Company's business activities are divided into four core segments: Energy Networks, Customer Solutions, innogy and Renewables. The Energy Networks segment consists of its power and gas distribution networks and related activities. The Customer Solutions segment serves as the platform for working with its customers to shape Europe's energy transition, supplying power, gas and heat. The Innogy segment consists of the network and sales businesses, as well as the corporate functions and internal services of the innogy Group. The Renewables segment builds, operates and manages wind and solar generation assets. In addition, it has a nuclear power business in Germany, which is operated by its subsidiary PreussenElektra and is not a strategic business. The Company’s customers are residential, small and medium-sized enterprises, industrial and commercial and public entities.</v>
    <v>72242</v>
    <v>Deutsche Boerse AG</v>
    <v>XFRA</v>
    <v>XFRA</v>
    <v>Bruesseler Platz 1, ESSEN, NORDRHEIN-WESTFALEN, 45131 DE</v>
    <v>12.98</v>
    <v>Multiline Utilities</v>
    <v>Stock</v>
    <v>45429.836805555555</v>
    <v>12</v>
    <v>12.68</v>
    <v>33544750000</v>
    <v>E ON SE</v>
    <v>E ON SE</v>
    <v>12.91</v>
    <v>28.886399999999998</v>
    <v>13.404999999999999</v>
    <v>12.71</v>
    <v>2641319000</v>
    <v>EOAN</v>
    <v>E ON SE (XFRA:EOAN)</v>
    <v>55690</v>
    <v>6284830</v>
    <v>2017</v>
  </rv>
  <rv s="2">
    <v>13</v>
  </rv>
  <rv s="0">
    <v>https://www.bing.com/financeapi/forcetrigger?t=ajeyzr&amp;q=XMIL%3aENEL&amp;form=skydnc</v>
    <v>Learn more on Bing</v>
  </rv>
  <rv s="1">
    <v>en-GB</v>
    <v>ajeyzr</v>
    <v>268435456</v>
    <v>1</v>
    <v>Powered by Refinitiv</v>
    <v>0</v>
    <v>Enel SpA (XMIL:ENEL)</v>
    <v>2</v>
    <v>3</v>
    <v>Finance</v>
    <v>13</v>
    <v>6.87</v>
    <v>5.47</v>
    <v>0.84089999999999998</v>
    <v>-1.9E-2</v>
    <v>-2.7860000000000003E-3</v>
    <v>EUR</v>
    <v>Enel SpA is an Italy-based multinational power company and an integrated operator in the global power, gas and renewables markets. The Company is active in Europe and is present in more than 30 countries, producing energy with over 86 gigawatt (GW) of installed capacity. Enel distributes electricity through a network of over 2.2 million kilometers, supplying 74 million business and household end users globally. Enel's renewables arm Enel Green Power supplies energy with more than 46 GW of wind, solar, geothermal and hydropower plants installed in Europe, the Americas, Africa, Asia and Oceania. Enel X is Enel's global business line focusing on energy-related products and services including distribution systems and batteries, smart lighting and energy and electric mobility.</v>
    <v>60905</v>
    <v>Borsa Italiana</v>
    <v>XMIL</v>
    <v>XMIL</v>
    <v>Viale Regina Margherita, 137, ROMA, ROMA, 00198 IT</v>
    <v>6.84</v>
    <v>Electrical Utilities &amp; IPPs</v>
    <v>Stock</v>
    <v>45429.666666666664</v>
    <v>15</v>
    <v>6.7519999999999998</v>
    <v>69133420000</v>
    <v>Enel SpA</v>
    <v>Enel SpA</v>
    <v>6.8140000000000001</v>
    <v>15.932499999999999</v>
    <v>6.819</v>
    <v>6.8</v>
    <v>10166680000</v>
    <v>ENEL</v>
    <v>Enel SpA (XMIL:ENEL)</v>
    <v>27277305</v>
    <v>32795930</v>
    <v>1989</v>
  </rv>
  <rv s="2">
    <v>16</v>
  </rv>
</rvData>
</file>

<file path=xl/richData/rdrichvaluestructure.xml><?xml version="1.0" encoding="utf-8"?>
<rvStructures xmlns="http://schemas.microsoft.com/office/spreadsheetml/2017/richdata" count="6">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rvStructures>
</file>

<file path=xl/richData/rdsupportingpropertybag.xml><?xml version="1.0" encoding="utf-8"?>
<supportingPropertyBags xmlns="http://schemas.microsoft.com/office/spreadsheetml/2017/richdata2">
  <spbArrays count="4">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spbArrays>
  <spbData count="14">
    <spb s="0">
      <v>0</v>
      <v>Name</v>
      <v>LearnMoreOnLink</v>
    </spb>
    <spb s="1">
      <v>0</v>
      <v>0</v>
      <v>0</v>
    </spb>
    <spb s="2">
      <v>1</v>
      <v>1</v>
      <v>1</v>
      <v>1</v>
    </spb>
    <spb s="3">
      <v>1</v>
      <v>2</v>
      <v>2</v>
      <v>1</v>
      <v>3</v>
      <v>1</v>
      <v>1</v>
      <v>1</v>
      <v>4</v>
      <v>4</v>
      <v>5</v>
      <v>6</v>
      <v>1</v>
      <v>1</v>
      <v>1</v>
      <v>4</v>
      <v>7</v>
      <v>8</v>
      <v>9</v>
      <v>4</v>
    </spb>
    <spb s="4">
      <v>Delayed 15 minutes</v>
      <v>from previous close</v>
      <v>from previous close</v>
      <v>GMT</v>
    </spb>
    <spb s="0">
      <v>1</v>
      <v>Name</v>
      <v>LearnMoreOnLink</v>
    </spb>
    <spb s="5">
      <v>10</v>
      <v>2</v>
      <v>10</v>
      <v>3</v>
      <v>10</v>
      <v>10</v>
      <v>10</v>
      <v>4</v>
      <v>4</v>
      <v>5</v>
      <v>11</v>
      <v>10</v>
      <v>4</v>
      <v>7</v>
      <v>8</v>
      <v>9</v>
      <v>4</v>
    </spb>
    <spb s="6">
      <v>Delayed 15 minutes</v>
      <v>from previous close</v>
      <v>from previous close</v>
      <v>Source: Nasdaq Nordic</v>
      <v>GMT</v>
    </spb>
    <spb s="0">
      <v>2</v>
      <v>Name</v>
      <v>LearnMoreOnLink</v>
    </spb>
    <spb s="7">
      <v>10</v>
      <v>2</v>
      <v>10</v>
      <v>3</v>
      <v>10</v>
      <v>10</v>
      <v>10</v>
      <v>4</v>
      <v>4</v>
      <v>5</v>
      <v>11</v>
      <v>10</v>
      <v>10</v>
      <v>10</v>
      <v>4</v>
      <v>7</v>
      <v>8</v>
      <v>9</v>
      <v>4</v>
    </spb>
    <spb s="0">
      <v>3</v>
      <v>Name</v>
      <v>LearnMoreOnLink</v>
    </spb>
    <spb s="8">
      <v>1</v>
      <v>2</v>
      <v>2</v>
      <v>1</v>
      <v>3</v>
      <v>1</v>
      <v>1</v>
      <v>1</v>
      <v>4</v>
      <v>4</v>
      <v>5</v>
      <v>6</v>
      <v>1</v>
      <v>1</v>
      <v>1</v>
      <v>4</v>
      <v>7</v>
      <v>9</v>
      <v>4</v>
      <v>1</v>
      <v>1</v>
      <v>5</v>
    </spb>
    <spb s="9">
      <v>at close</v>
      <v>from previous close</v>
      <v>from previous close</v>
      <v>GMT</v>
      <v>Delayed 15 minutes</v>
      <v>from close</v>
      <v>from close</v>
    </spb>
    <spb s="6">
      <v>Delayed 15 minutes</v>
      <v>from previous close</v>
      <v>from previous close</v>
      <v>Borsa Italia</v>
      <v>GMT</v>
    </spb>
  </spbData>
</supportingPropertyBags>
</file>

<file path=xl/richData/rdsupportingpropertybagstructure.xml><?xml version="1.0" encoding="utf-8"?>
<spbStructures xmlns="http://schemas.microsoft.com/office/spreadsheetml/2017/richdata2" count="10">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Beta" t="i"/>
    <k n="High" t="i"/>
    <k n="Name" t="i"/>
    <k n="Open" t="i"/>
    <k n="Price" t="i"/>
    <k n="Change" t="i"/>
    <k n="Volume" t="i"/>
    <k n="Employees" t="i"/>
    <k n="Change (%)" t="i"/>
    <k n="Market cap" t="i"/>
    <k n="Previous close" t="i"/>
    <k n="Volume average" t="i"/>
    <k n="Last trade time" t="i"/>
    <k n="Year incorporated" t="i"/>
    <k n="`%EntityServiceId" t="i"/>
    <k n="Shares outstanding" t="i"/>
  </s>
  <s>
    <k n="Price" t="s"/>
    <k n="Change" t="s"/>
    <k n="Change (%)" t="s"/>
    <k n="ExchangeID" t="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4" formatCode="#,##0.00"/>
    </x:dxf>
    <x:dxf>
      <x:numFmt numFmtId="3" formatCode="#,##0"/>
    </x:dxf>
    <x:dxf>
      <x:numFmt numFmtId="14" formatCode="0.00%"/>
    </x:dxf>
    <x:dxf>
      <x:numFmt numFmtId="2" formatCode="0.00"/>
    </x:dxf>
    <x:dxf>
      <x:numFmt numFmtId="1" formatCode="0"/>
    </x:dxf>
    <x:dxf>
      <x:numFmt numFmtId="0" formatCode="General"/>
    </x:dxf>
    <x:dxf>
      <x:numFmt numFmtId="27" formatCode="yyyy/m/d\ h:mm"/>
    </x:dxf>
  </dxfs>
  <richProperties>
    <rPr n="NumberFormat" t="s"/>
    <rPr n="IsTitleField" t="b"/>
  </richProperties>
  <richStyles>
    <rSty dxfid="5">
      <rpv i="0">_([$€-x-euro2] * #,##0.00_);_([$€-x-euro2] * (#,##0.00);_([$€-x-euro2] * "-"??_);_(@_)</rpv>
    </rSty>
    <rSty dxfid="0">
      <rpv i="0">#,##0.00</rpv>
    </rSty>
    <rSty>
      <rpv i="1">1</rpv>
    </rSty>
    <rSty dxfid="1">
      <rpv i="0">#,##0</rpv>
    </rSty>
    <rSty dxfid="2"/>
    <rSty dxfid="5">
      <rpv i="0">_([$€-x-euro2] * #,##0_);_([$€-x-euro2] * (#,##0);_([$€-x-euro2] * "-"_);_(@_)</rpv>
    </rSty>
    <rSty dxfid="6"/>
    <rSty dxfid="4">
      <rpv i="0">0</rpv>
    </rSty>
    <rSty dxfid="3">
      <rpv i="0">0.00</rpv>
    </rSty>
    <rSty dxfid="5">
      <rpv i="0">_-* #,##0.00 [$kr-fo-FO]_-;-* #,##0.00 [$kr-fo-FO]_-;_-* "-"?? [$kr-fo-FO]_-;_-@_-</rpv>
    </rSty>
    <rSty dxfid="5">
      <rpv i="0">_-* #,##0 [$kr-fo-FO]_-;-* #,##0 [$kr-fo-FO]_-;_-* "-" [$kr-fo-FO]_-;_-@_-</rpv>
    </rSty>
  </richStyles>
</richStyleSheet>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text>Date of last update of the report</text>
  </threadedComment>
  <threadedComment ref="D2" dT="2023-03-05T23:56:06.54" personId="{6D2C5BD9-1C3E-4972-9F97-1CA81A3CC14E}" id="{D17B5162-9C54-4F03-8882-3A424C1A2E60}">
    <text>Insert the date when the company will issue their next quarter/annual report</text>
  </threadedComment>
  <threadedComment ref="L2" dT="2023-03-05T23:56:59.28" personId="{6D2C5BD9-1C3E-4972-9F97-1CA81A3CC14E}" id="{74106D0B-4568-4C95-B1A7-D780E3BD20D3}">
    <text>In what exchange the company is listed in (Input the main exchange)</text>
  </threadedComment>
</ThreadedComments>
</file>

<file path=xl/threadedComments/threadedComment2.xml><?xml version="1.0" encoding="utf-8"?>
<ThreadedComments xmlns="http://schemas.microsoft.com/office/spreadsheetml/2018/threadedcomments" xmlns:x="http://schemas.openxmlformats.org/spreadsheetml/2006/main">
  <threadedComment ref="B15" dT="2023-09-11T17:18:09.63" personId="{13A363EC-2A73-4F7F-8E9F-74D095CFAE5F}" id="{0A22704E-A0EF-49BA-9524-80A60B6EFB24}">
    <text>How are these margins possible?</text>
  </threadedComment>
</ThreadedComments>
</file>

<file path=xl/threadedComments/threadedComment3.xml><?xml version="1.0" encoding="utf-8"?>
<ThreadedComments xmlns="http://schemas.microsoft.com/office/spreadsheetml/2018/threadedcomments" xmlns:x="http://schemas.openxmlformats.org/spreadsheetml/2006/main">
  <threadedComment ref="C38" dT="2023-11-20T18:55:19.30" personId="{13A363EC-2A73-4F7F-8E9F-74D095CFAE5F}" id="{50990F61-2886-4CE3-8E80-5E7EC86CF5BC}">
    <text>With/without Goodwill</text>
  </threadedComment>
  <threadedComment ref="D56" dT="2023-09-14T23:39:03.33" personId="{13A363EC-2A73-4F7F-8E9F-74D095CFAE5F}" id="{DB1B54B2-8209-4158-AD4D-17C4B2AAA1AD}">
    <text>Corporate tax last year EDPR</text>
  </threadedComment>
  <threadedComment ref="E56" dT="2023-09-14T23:40:07.46" personId="{13A363EC-2A73-4F7F-8E9F-74D095CFAE5F}" id="{727949B8-3F24-4CB5-8002-DFB71AD3642E}">
    <text>https://tradingeconomics.com/spain/corporate-tax-rate#:~:text=Corporate%20Tax%20Rate%20in%20Spain%20is%20expected%20to%20reach%2025.00,macro%20models%20and%20analysts%20expectations.</text>
    <extLst>
      <x:ext xmlns:xltc2="http://schemas.microsoft.com/office/spreadsheetml/2020/threadedcomments2" uri="{F7C98A9C-CBB3-438F-8F68-D28B6AF4A901}">
        <xltc2:checksum>1007642441</xltc2:checksum>
        <xltc2:hyperlink startIndex="0" length="181" url="https://tradingeconomics.com/spain/corporate-tax-rate#:~:text=Corporate%20Tax%20Rate%20in%20Spain%20is%20expected%20to%20reach%2025.00,macro%20models%20and%20analysts%20expectations"/>
      </x:ext>
    </extLst>
  </threadedComment>
  <threadedComment ref="E65" dT="2023-09-24T23:11:30.37" personId="{13A363EC-2A73-4F7F-8E9F-74D095CFAE5F}" id="{9E7AFB74-DF17-47E7-8775-492CF70A0576}">
    <text>Div policy</text>
  </threadedComment>
</ThreadedComments>
</file>

<file path=xl/threadedComments/threadedComment4.xml><?xml version="1.0" encoding="utf-8"?>
<ThreadedComments xmlns="http://schemas.microsoft.com/office/spreadsheetml/2018/threadedcomments" xmlns:x="http://schemas.openxmlformats.org/spreadsheetml/2006/main">
  <threadedComment ref="B7" dT="2023-09-12T22:07:22.65" personId="{13A363EC-2A73-4F7F-8E9F-74D095CFAE5F}" id="{FB6C6F6C-1507-4282-8EAB-59104C4AA7D9}">
    <text>https://www.grandviewresearch.com/industry-analysis/renewable-energy-market#:~:text=The%20global%20renewable%20energy%20market,16.9%25%20from%202023%20to%202030.</text>
    <extLst>
      <x:ext xmlns:xltc2="http://schemas.microsoft.com/office/spreadsheetml/2020/threadedcomments2" uri="{F7C98A9C-CBB3-438F-8F68-D28B6AF4A901}">
        <xltc2:checksum>2151623678</xltc2:checksum>
        <xltc2:hyperlink startIndex="0" length="160" url="https://www.grandviewresearch.com/industry-analysis/renewable-energy-market#:~:text=The%20global%20renewable%20energy%20market,16.9%25%20from%202023%20to%202030"/>
      </x:ext>
    </extLst>
  </threadedComment>
  <threadedComment ref="B7" dT="2023-09-12T22:13:12.56" personId="{13A363EC-2A73-4F7F-8E9F-74D095CFAE5F}" id="{0D9BFC32-130A-4B75-8C02-46A0687131D1}" parentId="{FB6C6F6C-1507-4282-8EAB-59104C4AA7D9}">
    <text>Until 2030</text>
  </threadedComment>
  <threadedComment ref="B18" dT="2023-09-12T23:08:51.30" personId="{13A363EC-2A73-4F7F-8E9F-74D095CFAE5F}" id="{3475FBE3-761B-49DE-B615-9335A3C97761}">
    <text>https://pages.stern.nyu.edu/~adamodar/New_Home_Page/datafile/margin.html</text>
    <extLst>
      <x:ext xmlns:xltc2="http://schemas.microsoft.com/office/spreadsheetml/2020/threadedcomments2" uri="{F7C98A9C-CBB3-438F-8F68-D28B6AF4A901}">
        <xltc2:checksum>560180212</xltc2:checksum>
        <xltc2:hyperlink startIndex="0" length="72" url="https://pages.stern.nyu.edu/~adamodar/New_Home_Page/datafile/margin.html"/>
      </x:ext>
    </extLst>
  </threadedComment>
  <threadedComment ref="B24" dT="2023-09-15T22:14:44.68" personId="{13A363EC-2A73-4F7F-8E9F-74D095CFAE5F}" id="{FE8E25FD-ED94-43A4-B98F-41D950E86DA6}">
    <text>https://www.edpr.com/en/news/2023/02/27/edpr-increases-target-dividend-payout-ratio-30-50-and-announces-new-scrip-dividend</text>
    <extLst>
      <x:ext xmlns:xltc2="http://schemas.microsoft.com/office/spreadsheetml/2020/threadedcomments2" uri="{F7C98A9C-CBB3-438F-8F68-D28B6AF4A901}">
        <xltc2:checksum>1868894410</xltc2:checksum>
        <xltc2:hyperlink startIndex="0" length="122" url="https://www.edpr.com/en/news/2023/02/27/edpr-increases-target-dividend-payout-ratio-30-50-and-announces-new-scrip-dividend"/>
      </x:ext>
    </extLst>
  </threadedComment>
</ThreadedComments>
</file>

<file path=xl/threadedComments/threadedComment5.xml><?xml version="1.0" encoding="utf-8"?>
<ThreadedComments xmlns="http://schemas.microsoft.com/office/spreadsheetml/2018/threadedcomments" xmlns:x="http://schemas.openxmlformats.org/spreadsheetml/2006/main">
  <threadedComment ref="A7" dT="2023-07-23T21:54:19.39" personId="{13A363EC-2A73-4F7F-8E9F-74D095CFAE5F}" id="{6CE34BAC-D0DC-4F7F-8235-7AB10E0F099F}">
    <text>Koyfin 2022 and 2021
EBITDA the rest of the years</text>
  </threadedComment>
  <threadedComment ref="A8" dT="2023-07-23T21:57:11.85" personId="{13A363EC-2A73-4F7F-8E9F-74D095CFAE5F}" id="{AC3FBE06-2353-4ED3-B9D8-C30A22AB887D}">
    <text>EBIT</text>
  </threadedComment>
  <threadedComment ref="A9" dT="2023-07-23T22:00:56.07" personId="{13A363EC-2A73-4F7F-8E9F-74D095CFAE5F}" id="{93914D01-090E-46D2-AAEF-EA284AF944D5}">
    <text>Other operating income</text>
  </threadedComment>
  <threadedComment ref="A10" dT="2023-07-23T22:27:37.88" personId="{13A363EC-2A73-4F7F-8E9F-74D095CFAE5F}" id="{F38C63C8-45CA-44A4-BF98-D3700D068BA4}">
    <text>Net interest expense koyfin for 2022/2021
Reports rest of the period</text>
  </threadedComment>
  <threadedComment ref="A11" dT="2023-07-23T22:41:17.51" personId="{13A363EC-2A73-4F7F-8E9F-74D095CFAE5F}" id="{0CBB5F86-08C6-43B4-9CB5-A473B3678050}">
    <text>Report</text>
  </threadedComment>
  <threadedComment ref="A20" dT="2023-07-23T23:11:41.30" personId="{13A363EC-2A73-4F7F-8E9F-74D095CFAE5F}" id="{76DF0939-2698-44F8-888D-9816CE7325AF}">
    <text xml:space="preserve">EQUITY HOLDERS  OF THE PARENT + NONCONTROLLING INTERESTS </text>
  </threadedComment>
  <threadedComment ref="A45" dT="2023-07-28T23:10:06.76" personId="{13A363EC-2A73-4F7F-8E9F-74D095CFAE5F}" id="{DF72E35F-F1C0-4249-8724-9D8D5B298AAD}">
    <text xml:space="preserve">Couldn´t find info
</text>
  </threadedComment>
  <threadedComment ref="A49" dT="2023-07-28T23:10:25.46" personId="{13A363EC-2A73-4F7F-8E9F-74D095CFAE5F}" id="{1AA03ACF-3B48-4D67-958D-F6EF044D450A}">
    <text>Could not find info in the report</text>
  </threadedComment>
  <threadedComment ref="A62" dT="2023-07-30T20:03:59.38" personId="{13A363EC-2A73-4F7F-8E9F-74D095CFAE5F}" id="{2F22B2D7-2E45-4955-9E0C-C7D1A6D58345}">
    <text>Changes in NWC</text>
  </threadedComment>
  <threadedComment ref="A65" dT="2023-07-26T16:36:04.25" personId="{13A363EC-2A73-4F7F-8E9F-74D095CFAE5F}" id="{F6A8F688-5854-4B3C-B853-A3282362B871}">
    <text>CapEx</text>
  </threadedComment>
  <threadedComment ref="A66" dT="2023-07-25T18:01:07.80" personId="{13A363EC-2A73-4F7F-8E9F-74D095CFAE5F}" id="{C5230E95-2372-455D-853E-ADC547DFFA07}">
    <text>Acquisition of subsidiries CF statement</text>
  </threadedComment>
  <threadedComment ref="A70" dT="2023-07-28T23:09:41.49" personId="{13A363EC-2A73-4F7F-8E9F-74D095CFAE5F}" id="{CD3D7731-2DE3-41EF-8E4F-FEFCEA80B230}">
    <text>Could not find info</text>
  </threadedComment>
  <threadedComment ref="A71" dT="2023-07-28T23:01:37.28" personId="{13A363EC-2A73-4F7F-8E9F-74D095CFAE5F}" id="{D931E53D-FDD8-454A-A310-358907BAF729}">
    <text>No info founded in the report</text>
  </threadedComment>
  <threadedComment ref="A74" dT="2023-07-29T21:51:11.37" personId="{13A363EC-2A73-4F7F-8E9F-74D095CFAE5F}" id="{1F018087-7676-491D-9A79-FF595735B60E}">
    <text xml:space="preserve">Increases /(decreases) in capital and share premium by non-controlling interests </text>
  </threadedComment>
  <threadedComment ref="A76" dT="2023-07-26T17:37:27.46" personId="{13A363EC-2A73-4F7F-8E9F-74D095CFAE5F}" id="{BA20DC74-F1FF-4673-8735-0C2CB0A4B0CC}">
    <text xml:space="preserve">Effect of exchange rate fluctuations on cash held </text>
  </threadedComment>
  <threadedComment ref="B86" dT="2023-07-26T17:47:41.86" personId="{13A363EC-2A73-4F7F-8E9F-74D095CFAE5F}" id="{FE80AB0A-9963-428B-A6B2-EA8B41F2ECCF}">
    <text xml:space="preserve">Average volume
</text>
  </threadedComment>
  <threadedComment ref="B88" dT="2023-07-26T17:49:37.84" personId="{13A363EC-2A73-4F7F-8E9F-74D095CFAE5F}" id="{D0448A42-6FB0-4470-901E-8A5E9DF2E48D}">
    <text>Yahoo finance</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 Id="rId4" Type="http://schemas.microsoft.com/office/2017/10/relationships/threadedComment" Target="../threadedComments/threadedComment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S106"/>
  <sheetViews>
    <sheetView showGridLines="0" topLeftCell="A24" zoomScale="86" zoomScaleNormal="86" workbookViewId="0">
      <selection activeCell="E23" sqref="E23"/>
    </sheetView>
  </sheetViews>
  <sheetFormatPr defaultColWidth="11.42578125" defaultRowHeight="12.75"/>
  <cols>
    <col min="1" max="1" width="0.42578125" customWidth="1"/>
    <col min="2" max="2" width="21.140625" bestFit="1" customWidth="1"/>
    <col min="3" max="3" width="23.42578125" customWidth="1"/>
    <col min="4" max="4" width="32" customWidth="1"/>
    <col min="5" max="5" width="20.42578125" bestFit="1" customWidth="1"/>
    <col min="6" max="6" width="17" bestFit="1" customWidth="1"/>
    <col min="7" max="7" width="13.42578125" bestFit="1" customWidth="1"/>
    <col min="8" max="8" width="24.7109375" customWidth="1"/>
    <col min="9" max="9" width="17.140625" customWidth="1"/>
    <col min="10" max="10" width="10.42578125" customWidth="1"/>
    <col min="11" max="11" width="13.42578125" customWidth="1"/>
    <col min="12" max="12" width="20.42578125" bestFit="1" customWidth="1"/>
    <col min="13" max="13" width="31" customWidth="1"/>
  </cols>
  <sheetData>
    <row r="1" spans="2:17" ht="3.75" customHeight="1" thickBot="1"/>
    <row r="2" spans="2:17" ht="22.5" customHeight="1">
      <c r="B2" s="471">
        <v>45039</v>
      </c>
      <c r="C2" s="328" t="s">
        <v>0</v>
      </c>
      <c r="D2" s="472"/>
      <c r="E2" s="937" t="e" vm="1">
        <f>Inputs!H3</f>
        <v>#VALUE!</v>
      </c>
      <c r="F2" s="938"/>
      <c r="G2" s="938"/>
      <c r="H2" s="938"/>
      <c r="I2" s="938"/>
      <c r="J2" s="938"/>
      <c r="K2" s="939"/>
      <c r="L2" s="329" t="s">
        <v>1</v>
      </c>
      <c r="M2" s="560" t="s">
        <v>2</v>
      </c>
    </row>
    <row r="3" spans="2:17" ht="26.25" customHeight="1">
      <c r="B3" s="916"/>
      <c r="C3" s="917"/>
      <c r="D3" s="920" t="s">
        <v>3</v>
      </c>
      <c r="E3" s="920"/>
      <c r="F3" s="920"/>
      <c r="G3" s="920"/>
      <c r="H3" s="920" t="s">
        <v>4</v>
      </c>
      <c r="I3" s="920"/>
      <c r="J3" s="920"/>
      <c r="K3" s="920"/>
      <c r="L3" s="920"/>
      <c r="M3" s="921"/>
    </row>
    <row r="4" spans="2:17">
      <c r="B4" s="916"/>
      <c r="C4" s="917"/>
      <c r="D4" s="947" t="str" cm="1">
        <f t="array" ref="D4">_FV(Inputs!H3,"Description")</f>
        <v>EDP Renovaveis SA, also known as EDPR, is a Spain-based company active in the renewable energy sector. The Company concentrates on the production of energy from renewable resources. The Company's activities comprise the development, operation and maintenance of such electric power stations as hydroelectric, wind, solar, tidal, biomass and waste plants, among others. It operates in Spain, Portugal, Belgium, France, Italy, Poland, Romania, the United Kingdom, Brasil, the United States, as well as Canada.</v>
      </c>
      <c r="E4" s="947"/>
      <c r="F4" s="947"/>
      <c r="G4" s="947"/>
      <c r="H4" s="128" t="s">
        <v>5</v>
      </c>
      <c r="I4" s="129" t="s">
        <v>6</v>
      </c>
      <c r="J4" s="129" t="s">
        <v>7</v>
      </c>
      <c r="K4" s="129" t="s">
        <v>8</v>
      </c>
      <c r="L4" s="129" t="s">
        <v>9</v>
      </c>
      <c r="M4" s="130" t="s">
        <v>10</v>
      </c>
    </row>
    <row r="5" spans="2:17">
      <c r="B5" s="916"/>
      <c r="C5" s="917"/>
      <c r="D5" s="947"/>
      <c r="E5" s="947"/>
      <c r="F5" s="947"/>
      <c r="G5" s="947"/>
      <c r="H5" s="633" t="s">
        <v>11</v>
      </c>
      <c r="I5" s="451" t="s">
        <v>12</v>
      </c>
      <c r="J5" s="739">
        <v>47</v>
      </c>
      <c r="K5" s="739">
        <v>2</v>
      </c>
      <c r="L5" s="739" t="s">
        <v>13</v>
      </c>
      <c r="M5" s="814" t="s">
        <v>14</v>
      </c>
    </row>
    <row r="6" spans="2:17" ht="25.5">
      <c r="B6" s="916"/>
      <c r="C6" s="917"/>
      <c r="D6" s="947"/>
      <c r="E6" s="947"/>
      <c r="F6" s="947"/>
      <c r="G6" s="947"/>
      <c r="H6" s="131" t="s">
        <v>15</v>
      </c>
      <c r="I6" s="451" t="s">
        <v>12</v>
      </c>
      <c r="J6" s="739">
        <v>65</v>
      </c>
      <c r="K6" s="739">
        <v>2</v>
      </c>
      <c r="L6" s="739" t="s">
        <v>16</v>
      </c>
      <c r="M6" s="814" t="s">
        <v>17</v>
      </c>
    </row>
    <row r="7" spans="2:17" ht="36">
      <c r="B7" s="916"/>
      <c r="C7" s="917"/>
      <c r="D7" s="947"/>
      <c r="E7" s="947"/>
      <c r="F7" s="947"/>
      <c r="G7" s="947"/>
      <c r="H7" s="633" t="s">
        <v>18</v>
      </c>
      <c r="I7" s="451" t="s">
        <v>12</v>
      </c>
      <c r="J7" s="739">
        <v>51</v>
      </c>
      <c r="K7" s="739">
        <v>4</v>
      </c>
      <c r="L7" s="739" t="s">
        <v>13</v>
      </c>
      <c r="M7" s="814" t="s">
        <v>19</v>
      </c>
      <c r="O7" s="11"/>
      <c r="P7" s="11"/>
      <c r="Q7" s="11"/>
    </row>
    <row r="8" spans="2:17" ht="72">
      <c r="B8" s="916"/>
      <c r="C8" s="917"/>
      <c r="D8" s="947"/>
      <c r="E8" s="947"/>
      <c r="F8" s="947"/>
      <c r="G8" s="947"/>
      <c r="H8" s="131" t="s">
        <v>20</v>
      </c>
      <c r="I8" s="451" t="s">
        <v>21</v>
      </c>
      <c r="J8" s="739">
        <v>49</v>
      </c>
      <c r="K8" s="739">
        <v>4</v>
      </c>
      <c r="L8" s="739" t="s">
        <v>16</v>
      </c>
      <c r="M8" s="812" t="s">
        <v>22</v>
      </c>
      <c r="O8" s="11"/>
      <c r="P8" s="11"/>
      <c r="Q8" s="11"/>
    </row>
    <row r="9" spans="2:17" ht="60">
      <c r="B9" s="916"/>
      <c r="C9" s="917"/>
      <c r="D9" s="947"/>
      <c r="E9" s="947"/>
      <c r="F9" s="947"/>
      <c r="G9" s="947"/>
      <c r="H9" s="131" t="s">
        <v>23</v>
      </c>
      <c r="I9" s="451" t="s">
        <v>21</v>
      </c>
      <c r="J9" s="739">
        <v>50</v>
      </c>
      <c r="K9" s="739">
        <v>2</v>
      </c>
      <c r="L9" s="739" t="s">
        <v>16</v>
      </c>
      <c r="M9" s="812" t="s">
        <v>24</v>
      </c>
    </row>
    <row r="10" spans="2:17" ht="25.5">
      <c r="B10" s="916"/>
      <c r="C10" s="917"/>
      <c r="D10" s="947"/>
      <c r="E10" s="947"/>
      <c r="F10" s="947"/>
      <c r="G10" s="947"/>
      <c r="H10" s="131" t="s">
        <v>25</v>
      </c>
      <c r="I10" s="451" t="s">
        <v>12</v>
      </c>
      <c r="J10" s="739">
        <v>64</v>
      </c>
      <c r="K10" s="739">
        <v>15</v>
      </c>
      <c r="L10" s="739" t="s">
        <v>16</v>
      </c>
      <c r="M10" s="812" t="s">
        <v>26</v>
      </c>
    </row>
    <row r="11" spans="2:17" ht="25.5">
      <c r="B11" s="916"/>
      <c r="C11" s="917"/>
      <c r="D11" s="947"/>
      <c r="E11" s="947"/>
      <c r="F11" s="947"/>
      <c r="G11" s="947"/>
      <c r="H11" s="131" t="s">
        <v>27</v>
      </c>
      <c r="I11" s="451" t="s">
        <v>12</v>
      </c>
      <c r="J11" s="739">
        <v>66</v>
      </c>
      <c r="K11" s="739">
        <v>10</v>
      </c>
      <c r="L11" s="739" t="s">
        <v>16</v>
      </c>
      <c r="M11" s="813" t="s">
        <v>28</v>
      </c>
    </row>
    <row r="12" spans="2:17" ht="36">
      <c r="B12" s="916"/>
      <c r="C12" s="917"/>
      <c r="D12" s="947"/>
      <c r="E12" s="947"/>
      <c r="F12" s="947"/>
      <c r="G12" s="947"/>
      <c r="H12" s="131" t="s">
        <v>29</v>
      </c>
      <c r="I12" s="451" t="s">
        <v>12</v>
      </c>
      <c r="J12" s="739">
        <v>76</v>
      </c>
      <c r="K12" s="739">
        <v>8</v>
      </c>
      <c r="L12" s="739" t="s">
        <v>16</v>
      </c>
      <c r="M12" s="812" t="s">
        <v>30</v>
      </c>
      <c r="P12" s="473"/>
    </row>
    <row r="13" spans="2:17">
      <c r="B13" s="916"/>
      <c r="C13" s="917"/>
      <c r="D13" s="947"/>
      <c r="E13" s="947"/>
      <c r="F13" s="947"/>
      <c r="G13" s="947"/>
      <c r="H13" s="131" t="s">
        <v>31</v>
      </c>
      <c r="I13" s="451" t="s">
        <v>21</v>
      </c>
      <c r="J13" s="2">
        <v>58</v>
      </c>
      <c r="K13" s="739">
        <v>2</v>
      </c>
      <c r="L13" s="739" t="s">
        <v>16</v>
      </c>
      <c r="M13" s="812" t="s">
        <v>32</v>
      </c>
    </row>
    <row r="14" spans="2:17">
      <c r="B14" s="916"/>
      <c r="C14" s="917"/>
      <c r="D14" s="947"/>
      <c r="E14" s="947"/>
      <c r="F14" s="947"/>
      <c r="G14" s="947"/>
      <c r="H14" s="131" t="s">
        <v>33</v>
      </c>
      <c r="I14" s="451" t="s">
        <v>12</v>
      </c>
      <c r="J14" s="739">
        <v>63</v>
      </c>
      <c r="K14" s="739">
        <v>2</v>
      </c>
      <c r="L14" s="739" t="s">
        <v>16</v>
      </c>
      <c r="M14" s="812" t="s">
        <v>34</v>
      </c>
      <c r="Q14" s="330"/>
    </row>
    <row r="15" spans="2:17" ht="25.5" customHeight="1">
      <c r="B15" s="916"/>
      <c r="C15" s="917"/>
      <c r="D15" s="947"/>
      <c r="E15" s="947"/>
      <c r="F15" s="947"/>
      <c r="G15" s="947"/>
      <c r="H15" s="131" t="s">
        <v>35</v>
      </c>
      <c r="I15" s="451" t="s">
        <v>12</v>
      </c>
      <c r="J15" s="739" t="s">
        <v>28</v>
      </c>
      <c r="K15" s="739">
        <v>1</v>
      </c>
      <c r="L15" s="739" t="s">
        <v>16</v>
      </c>
      <c r="M15" s="812" t="s">
        <v>28</v>
      </c>
    </row>
    <row r="16" spans="2:17" ht="24">
      <c r="B16" s="909" t="s">
        <v>36</v>
      </c>
      <c r="C16" s="910"/>
      <c r="D16" s="947"/>
      <c r="E16" s="947"/>
      <c r="F16" s="947"/>
      <c r="G16" s="947"/>
      <c r="H16" s="11" t="s">
        <v>37</v>
      </c>
      <c r="I16" s="452" t="s">
        <v>21</v>
      </c>
      <c r="J16" s="739">
        <v>47</v>
      </c>
      <c r="K16" s="739">
        <v>2</v>
      </c>
      <c r="L16" s="739" t="s">
        <v>16</v>
      </c>
      <c r="M16" s="812" t="s">
        <v>38</v>
      </c>
    </row>
    <row r="17" spans="2:13" ht="18">
      <c r="B17" s="852" t="s">
        <v>39</v>
      </c>
      <c r="C17" s="853"/>
      <c r="D17" s="853"/>
      <c r="E17" s="853"/>
      <c r="F17" s="853"/>
      <c r="G17" s="853"/>
      <c r="H17" s="853"/>
      <c r="I17" s="853"/>
      <c r="J17" s="853"/>
      <c r="K17" s="853"/>
      <c r="L17" s="853"/>
      <c r="M17" s="854"/>
    </row>
    <row r="18" spans="2:13" ht="15.75">
      <c r="B18" s="914" t="s">
        <v>40</v>
      </c>
      <c r="C18" s="915"/>
      <c r="D18" s="918" t="s">
        <v>41</v>
      </c>
      <c r="E18" s="934"/>
      <c r="F18" s="922" t="s">
        <v>42</v>
      </c>
      <c r="G18" s="923"/>
      <c r="H18" s="924"/>
      <c r="I18" s="918" t="s">
        <v>43</v>
      </c>
      <c r="J18" s="933"/>
      <c r="K18" s="934"/>
      <c r="L18" s="918" t="s">
        <v>44</v>
      </c>
      <c r="M18" s="919"/>
    </row>
    <row r="19" spans="2:13">
      <c r="B19" s="559" t="s">
        <v>45</v>
      </c>
      <c r="C19" s="143" cm="1">
        <f t="array" ref="C19">_FV(E2,"Price")</f>
        <v>14.74</v>
      </c>
      <c r="D19" s="13" t="s">
        <v>46</v>
      </c>
      <c r="E19" s="141">
        <f>_xlfn.XLOOKUP(D19,'Fin. Data'!A:A,'Fin. Data'!B:B,,0)</f>
        <v>27493</v>
      </c>
      <c r="F19" s="940" t="s">
        <v>47</v>
      </c>
      <c r="G19" s="941"/>
      <c r="H19" s="122" t="s">
        <v>48</v>
      </c>
      <c r="I19" t="s">
        <v>49</v>
      </c>
      <c r="J19" s="948">
        <v>2022</v>
      </c>
      <c r="K19" s="949"/>
      <c r="L19" s="12" t="s">
        <v>50</v>
      </c>
      <c r="M19" s="594">
        <f>0.29625/1.04</f>
        <v>0.28485576923076922</v>
      </c>
    </row>
    <row r="20" spans="2:13" ht="12.75" customHeight="1">
      <c r="B20" s="559" t="s">
        <v>51</v>
      </c>
      <c r="C20" s="370" cm="1">
        <f t="array" ref="C20">_FV(E2,"Shares outstanding",TRUE)</f>
        <v>1040232000</v>
      </c>
      <c r="D20" s="12" t="s">
        <v>52</v>
      </c>
      <c r="E20" s="141">
        <f>_xlfn.XLOOKUP(D20,'Fin. Data'!A:A,'Fin. Data'!B:B,,0)</f>
        <v>16922</v>
      </c>
      <c r="F20" s="904" t="str">
        <f>Segments!C5</f>
        <v>Portugal</v>
      </c>
      <c r="G20" s="905"/>
      <c r="H20" s="17">
        <f>Segments!B5</f>
        <v>0.10841356215989954</v>
      </c>
      <c r="I20" s="12" t="s">
        <v>53</v>
      </c>
      <c r="J20" s="944" t="s">
        <v>54</v>
      </c>
      <c r="K20" s="945"/>
      <c r="L20" s="12" t="s">
        <v>55</v>
      </c>
      <c r="M20" s="558" t="s">
        <v>56</v>
      </c>
    </row>
    <row r="21" spans="2:13">
      <c r="B21" s="559" t="s">
        <v>57</v>
      </c>
      <c r="C21" s="53">
        <f>C19*C20/1000000</f>
        <v>15333.019679999999</v>
      </c>
      <c r="D21" s="12" t="s">
        <v>58</v>
      </c>
      <c r="E21" s="599">
        <f>_xlfn.XLOOKUP("Cash &amp; Eq.",'Fin. Data'!A:A,'Fin. Data'!B:B,,0)*1000000/C20</f>
        <v>1.1265756100562183</v>
      </c>
      <c r="F21" s="904" t="str">
        <f>Segments!C6</f>
        <v>Spain</v>
      </c>
      <c r="G21" s="905"/>
      <c r="H21" s="17">
        <f>Segments!B6</f>
        <v>0.21557136877354541</v>
      </c>
      <c r="I21" s="911" t="s">
        <v>59</v>
      </c>
      <c r="J21" s="911"/>
      <c r="K21" s="141">
        <f>_xlfn.XLOOKUP(I21,'Fin. Data'!A:A,'Fin. Data'!B:B,,0)</f>
        <v>1168.2</v>
      </c>
      <c r="L21" s="8" t="s">
        <v>60</v>
      </c>
      <c r="M21" s="740" t="s">
        <v>61</v>
      </c>
    </row>
    <row r="22" spans="2:13" ht="12.75" customHeight="1">
      <c r="B22" s="557" t="s">
        <v>62</v>
      </c>
      <c r="C22" s="53">
        <f>'Fin. Data'!B58</f>
        <v>6160</v>
      </c>
      <c r="D22" s="12" t="s">
        <v>63</v>
      </c>
      <c r="E22" s="441">
        <f>'Fin. Data (Common Size)'!B19/(-'Fin. Data (Common Size)'!B14)</f>
        <v>6.4863964464186568</v>
      </c>
      <c r="F22" s="904" t="str">
        <f>Segments!C7</f>
        <v>Rest of Europe</v>
      </c>
      <c r="G22" s="905"/>
      <c r="H22" s="17">
        <f>Segments!B7</f>
        <v>0.20468815403934701</v>
      </c>
      <c r="I22" s="946" t="s">
        <v>64</v>
      </c>
      <c r="J22" s="946"/>
      <c r="K22" s="141">
        <f>_xlfn.XLOOKUP(I22,'Fin. Data'!A:A,'Fin. Data'!B:B,,0)</f>
        <v>716.3</v>
      </c>
      <c r="L22" s="12" t="s">
        <v>65</v>
      </c>
      <c r="M22" s="556" t="s">
        <v>66</v>
      </c>
    </row>
    <row r="23" spans="2:13" ht="12.75" customHeight="1">
      <c r="B23" s="557" t="s">
        <v>67</v>
      </c>
      <c r="C23" s="53">
        <f>'Fin. Data'!B39</f>
        <v>1171.9000000000001</v>
      </c>
      <c r="D23" s="12" t="s">
        <v>68</v>
      </c>
      <c r="E23" s="441">
        <f>_xlfn.XLOOKUP("Total Debt",'Fin. Data'!A:A,'Fin. Data'!B:B,,0)/_xlfn.XLOOKUP("EBITDA",'Fin. Data'!A:A,'Fin. Data'!B:B,,0)</f>
        <v>5.2730696798493408</v>
      </c>
      <c r="F23" s="904" t="str">
        <f>Segments!C8</f>
        <v>North America</v>
      </c>
      <c r="G23" s="905"/>
      <c r="H23" s="17">
        <f>Segments!B8</f>
        <v>0.39849309334449562</v>
      </c>
      <c r="I23" s="946" t="s">
        <v>69</v>
      </c>
      <c r="J23" s="946"/>
      <c r="K23" s="141">
        <f>_xlfn.XLOOKUP(I23,'Fin. Data'!A:A,'Fin. Data'!B:B,,0)</f>
        <v>1884.5</v>
      </c>
      <c r="L23" s="12" t="s">
        <v>70</v>
      </c>
      <c r="M23" s="555">
        <f>IFERROR((C19*C20/(E19-E20))/1000000,"")</f>
        <v>1.4504795837669096</v>
      </c>
    </row>
    <row r="24" spans="2:13" ht="12.75" customHeight="1">
      <c r="B24" s="557" t="s">
        <v>71</v>
      </c>
      <c r="C24" s="53">
        <f>C21+C22-C23</f>
        <v>20321.119679999996</v>
      </c>
      <c r="D24" s="12" t="s">
        <v>72</v>
      </c>
      <c r="E24" s="441">
        <f>_xlfn.XLOOKUP("Other Assets",'Fin. Data'!A:A,'Fin. Data'!B:B,,0)/_xlfn.XLOOKUP("Total Assets",'Fin. Data'!A:A,'Fin. Data'!B:B,,0)</f>
        <v>0.23882442803622742</v>
      </c>
      <c r="F24" s="904" t="s">
        <v>73</v>
      </c>
      <c r="G24" s="905"/>
      <c r="H24" s="17">
        <f>Segments!B9+Segments!B10</f>
        <v>7.2833821682712435E-2</v>
      </c>
      <c r="I24" s="911" t="s">
        <v>74</v>
      </c>
      <c r="J24" s="911"/>
      <c r="K24" s="141">
        <f>_xlfn.XLOOKUP(I24,'Fin. Data'!A:A,'Fin. Data'!B:B,,0)</f>
        <v>616.20000000000005</v>
      </c>
      <c r="L24" s="12" t="s">
        <v>75</v>
      </c>
      <c r="M24" s="554">
        <f>IFERROR(K30/E19,"")</f>
        <v>2.2154730294984177E-2</v>
      </c>
    </row>
    <row r="25" spans="2:13" ht="12.75" customHeight="1">
      <c r="B25" s="557" t="s">
        <v>76</v>
      </c>
      <c r="C25" s="144" t="s">
        <v>28</v>
      </c>
      <c r="D25" s="12" t="s">
        <v>77</v>
      </c>
      <c r="E25" s="441">
        <f>_xlfn.XLOOKUP(D25,'Fin. Data'!A:A,'Fin. Data'!B:B,,0)</f>
        <v>0.22405703269923252</v>
      </c>
      <c r="F25" s="942" t="s">
        <v>78</v>
      </c>
      <c r="G25" s="943"/>
      <c r="H25" s="123" t="s">
        <v>48</v>
      </c>
      <c r="I25" s="911" t="s">
        <v>79</v>
      </c>
      <c r="J25" s="911"/>
      <c r="K25" s="83">
        <f>1000000*K24/C20</f>
        <v>0.59236785640126433</v>
      </c>
      <c r="L25" s="12" t="s">
        <v>80</v>
      </c>
      <c r="M25" s="553">
        <f>IFERROR(C21/K29,"")</f>
        <v>25.173238680019701</v>
      </c>
    </row>
    <row r="26" spans="2:13" ht="12.75" customHeight="1">
      <c r="B26" s="559" t="s">
        <v>81</v>
      </c>
      <c r="C26" s="145" t="s">
        <v>28</v>
      </c>
      <c r="D26" s="12" t="s">
        <v>82</v>
      </c>
      <c r="E26" s="142">
        <f>AVERAGE(_xlfn.XLOOKUP("EBITDA Margin",'Fin. Data'!A:A,'Fin. Data'!B:D,,0))</f>
        <v>0.4567267562804333</v>
      </c>
      <c r="F26" s="904" t="str">
        <f>Segments!C17</f>
        <v>Onshore wind</v>
      </c>
      <c r="G26" s="905"/>
      <c r="H26" s="17">
        <f>Segments!B17</f>
        <v>0.86334645135025101</v>
      </c>
      <c r="I26" s="911" t="s">
        <v>83</v>
      </c>
      <c r="J26" s="911"/>
      <c r="K26" s="84">
        <f>K24/E19</f>
        <v>2.2412977848906997E-2</v>
      </c>
      <c r="L26" s="12" t="s">
        <v>84</v>
      </c>
      <c r="M26" s="552">
        <f>IFERROR(C24/E19,"")</f>
        <v>0.73913795075110011</v>
      </c>
    </row>
    <row r="27" spans="2:13" ht="12.75" customHeight="1">
      <c r="B27" s="559" t="s">
        <v>85</v>
      </c>
      <c r="C27" s="18" t="s">
        <v>86</v>
      </c>
      <c r="D27" s="12" t="s">
        <v>87</v>
      </c>
      <c r="E27" s="142">
        <f>AVERAGE(_xlfn.XLOOKUP("Operating Margin",'Fin. Data'!A:A,'Fin. Data'!B:D,,0))</f>
        <v>0.61956177312213356</v>
      </c>
      <c r="F27" s="904" t="str">
        <f>Segments!C18</f>
        <v>Offshore wind</v>
      </c>
      <c r="G27" s="905"/>
      <c r="H27" s="17">
        <f>Segments!B18</f>
        <v>2.1848283349165422E-2</v>
      </c>
      <c r="I27" s="911" t="s">
        <v>88</v>
      </c>
      <c r="J27" s="911"/>
      <c r="K27" s="84">
        <f>K24/(E19-(E20-C22))</f>
        <v>3.6829836829836836E-2</v>
      </c>
      <c r="L27" s="12" t="s">
        <v>89</v>
      </c>
      <c r="M27" s="552">
        <f>IFERROR(C24/K28,"")</f>
        <v>22.58069451070449</v>
      </c>
    </row>
    <row r="28" spans="2:13" ht="15.75">
      <c r="B28" s="914" t="s">
        <v>90</v>
      </c>
      <c r="C28" s="915"/>
      <c r="D28" s="12" t="s">
        <v>91</v>
      </c>
      <c r="E28" s="142">
        <f>AVERAGE(_xlfn.XLOOKUP("Net Income Margin",'Fin. Data'!A:A,'Fin. Data'!B:D,,0))</f>
        <v>0.31787303147668616</v>
      </c>
      <c r="F28" s="904" t="str">
        <f>Segments!C19</f>
        <v>Solar (Solar DG + Solar Utility Scale)</v>
      </c>
      <c r="G28" s="905"/>
      <c r="H28" s="17">
        <f>Segments!B19</f>
        <v>0.11480526530058352</v>
      </c>
      <c r="I28" s="911" t="s">
        <v>92</v>
      </c>
      <c r="J28" s="911"/>
      <c r="K28" s="141">
        <f>AVERAGE(_xlfn.XLOOKUP("EBITDA",'Fin. Data'!A:A,'Fin. Data'!B:D,,0))</f>
        <v>899.93333333333339</v>
      </c>
      <c r="L28" s="12" t="s">
        <v>93</v>
      </c>
      <c r="M28" s="553">
        <f>IFERROR(C21/K30,"")</f>
        <v>25.173238680019701</v>
      </c>
    </row>
    <row r="29" spans="2:13" ht="12.75" customHeight="1">
      <c r="B29" s="9" t="s">
        <v>94</v>
      </c>
      <c r="C29" s="635"/>
      <c r="D29" s="758"/>
      <c r="E29" s="148"/>
      <c r="F29" s="904"/>
      <c r="G29" s="905"/>
      <c r="H29" s="17"/>
      <c r="I29" s="911" t="s">
        <v>95</v>
      </c>
      <c r="J29" s="911"/>
      <c r="K29" s="141">
        <f>AVERAGE(_xlfn.XLOOKUP("Net Income",'Fin. Data'!A:A,'Fin. Data'!B:D,,0))</f>
        <v>609.1</v>
      </c>
      <c r="L29" s="12" t="s">
        <v>96</v>
      </c>
      <c r="M29" s="551" t="s">
        <v>28</v>
      </c>
    </row>
    <row r="30" spans="2:13" ht="12.75" customHeight="1">
      <c r="B30" s="9" t="s">
        <v>97</v>
      </c>
      <c r="C30" s="634"/>
      <c r="D30" s="12" t="s">
        <v>98</v>
      </c>
      <c r="E30" s="606">
        <f>-_xlfn.XLOOKUP("Net Financial Cost",'Fin. Data'!A:A,'Fin. Data'!B:B,,0)/AVERAGE(_xlfn.XLOOKUP("Net Debt",'Fin. Data'!A:A,'Fin. Data'!B:D,,0))</f>
        <v>4.6989554977692354E-2</v>
      </c>
      <c r="F30" s="904"/>
      <c r="G30" s="905"/>
      <c r="H30" s="17"/>
      <c r="I30" s="911" t="s">
        <v>99</v>
      </c>
      <c r="J30" s="911"/>
      <c r="K30" s="141">
        <f>AVERAGE(_xlfn.XLOOKUP("Net Income",'Fin. Data'!A:A,'Fin. Data'!B:D,,0))</f>
        <v>609.1</v>
      </c>
      <c r="L30" s="12" t="s">
        <v>100</v>
      </c>
      <c r="M30" s="550">
        <f>-IFERROR(SUM(E51:E53)/(3*C21),"")</f>
        <v>8.1740802496206889E-3</v>
      </c>
    </row>
    <row r="31" spans="2:13" ht="12.6" customHeight="1" thickBot="1">
      <c r="B31" s="636" t="s">
        <v>101</v>
      </c>
      <c r="C31" s="637"/>
      <c r="D31" s="638"/>
      <c r="E31" s="639"/>
      <c r="F31" s="902"/>
      <c r="G31" s="903"/>
      <c r="H31" s="640"/>
      <c r="I31" s="638"/>
      <c r="J31" s="641"/>
      <c r="K31" s="641"/>
      <c r="L31" s="642" t="s">
        <v>102</v>
      </c>
      <c r="M31" s="643">
        <f>-IFERROR(L52/C21,"")</f>
        <v>1.0108902436366012E-2</v>
      </c>
    </row>
    <row r="32" spans="2:13" ht="18.75" thickBot="1">
      <c r="B32" s="930" t="s">
        <v>103</v>
      </c>
      <c r="C32" s="931"/>
      <c r="D32" s="931"/>
      <c r="E32" s="931"/>
      <c r="F32" s="931"/>
      <c r="G32" s="931"/>
      <c r="H32" s="931"/>
      <c r="I32" s="931"/>
      <c r="J32" s="931"/>
      <c r="K32" s="931"/>
      <c r="L32" s="931"/>
      <c r="M32" s="932"/>
    </row>
    <row r="33" spans="1:19" ht="16.5" thickBot="1">
      <c r="B33" s="907" t="s">
        <v>104</v>
      </c>
      <c r="C33" s="908"/>
      <c r="D33" s="908"/>
      <c r="E33" s="908"/>
      <c r="F33" s="908"/>
      <c r="G33" s="908"/>
      <c r="H33" s="644" t="s">
        <v>105</v>
      </c>
      <c r="I33" s="908" t="s">
        <v>106</v>
      </c>
      <c r="J33" s="908"/>
      <c r="K33" s="908"/>
      <c r="L33" s="908"/>
      <c r="M33" s="912"/>
      <c r="N33" s="11"/>
    </row>
    <row r="34" spans="1:19" ht="13.35" customHeight="1" thickBot="1">
      <c r="A34" s="11"/>
      <c r="B34" s="759" t="s">
        <v>107</v>
      </c>
      <c r="C34" s="913" t="s">
        <v>108</v>
      </c>
      <c r="D34" s="913"/>
      <c r="E34" s="913"/>
      <c r="F34" s="913"/>
      <c r="G34" s="913"/>
      <c r="H34" s="929" t="s">
        <v>109</v>
      </c>
      <c r="I34" s="953" t="s">
        <v>110</v>
      </c>
      <c r="J34" s="953"/>
      <c r="K34" s="953"/>
      <c r="L34" s="953"/>
      <c r="M34" s="954"/>
    </row>
    <row r="35" spans="1:19" ht="34.35" customHeight="1" thickBot="1">
      <c r="A35" s="11"/>
      <c r="B35" s="760" t="s">
        <v>111</v>
      </c>
      <c r="C35" s="906" t="s">
        <v>112</v>
      </c>
      <c r="D35" s="906"/>
      <c r="E35" s="906"/>
      <c r="F35" s="906"/>
      <c r="G35" s="906"/>
      <c r="H35" s="929"/>
      <c r="I35" s="953"/>
      <c r="J35" s="953"/>
      <c r="K35" s="953"/>
      <c r="L35" s="953"/>
      <c r="M35" s="954"/>
    </row>
    <row r="36" spans="1:19" ht="24.6" customHeight="1" thickBot="1">
      <c r="A36" s="11"/>
      <c r="B36" s="760" t="s">
        <v>113</v>
      </c>
      <c r="C36" s="906" t="s">
        <v>114</v>
      </c>
      <c r="D36" s="906"/>
      <c r="E36" s="906"/>
      <c r="F36" s="906"/>
      <c r="G36" s="906"/>
      <c r="H36" s="929"/>
      <c r="I36" s="953"/>
      <c r="J36" s="953"/>
      <c r="K36" s="953"/>
      <c r="L36" s="953"/>
      <c r="M36" s="954"/>
    </row>
    <row r="37" spans="1:19" ht="24.6" customHeight="1" thickBot="1">
      <c r="B37" s="760" t="s">
        <v>115</v>
      </c>
      <c r="C37" s="906" t="s">
        <v>116</v>
      </c>
      <c r="D37" s="906"/>
      <c r="E37" s="906"/>
      <c r="F37" s="906"/>
      <c r="G37" s="906"/>
      <c r="H37" s="929"/>
      <c r="I37" s="953"/>
      <c r="J37" s="953"/>
      <c r="K37" s="953"/>
      <c r="L37" s="953"/>
      <c r="M37" s="954"/>
    </row>
    <row r="38" spans="1:19" ht="13.5" customHeight="1" thickBot="1">
      <c r="B38" s="907" t="s">
        <v>117</v>
      </c>
      <c r="C38" s="908"/>
      <c r="D38" s="908"/>
      <c r="E38" s="908"/>
      <c r="F38" s="908"/>
      <c r="G38" s="908"/>
      <c r="H38" s="644" t="s">
        <v>118</v>
      </c>
      <c r="I38" s="908" t="s">
        <v>119</v>
      </c>
      <c r="J38" s="908"/>
      <c r="K38" s="908"/>
      <c r="L38" s="908"/>
      <c r="M38" s="912"/>
    </row>
    <row r="39" spans="1:19" ht="13.35" customHeight="1" thickBot="1">
      <c r="B39" s="759" t="s">
        <v>120</v>
      </c>
      <c r="C39" s="913" t="s">
        <v>108</v>
      </c>
      <c r="D39" s="913"/>
      <c r="E39" s="913"/>
      <c r="F39" s="913"/>
      <c r="G39" s="913"/>
      <c r="H39" s="925">
        <f>DCF!D75</f>
        <v>13.897934229825639</v>
      </c>
      <c r="I39" s="926" t="s">
        <v>121</v>
      </c>
      <c r="J39" s="927">
        <f>DCF!F50</f>
        <v>0.12820000000000001</v>
      </c>
      <c r="K39" s="927"/>
      <c r="L39" s="927" t="s">
        <v>122</v>
      </c>
      <c r="M39" s="928">
        <f>DCF!D74</f>
        <v>-5.7127935561354204E-2</v>
      </c>
    </row>
    <row r="40" spans="1:19" ht="12.75" customHeight="1">
      <c r="B40" s="760" t="s">
        <v>123</v>
      </c>
      <c r="C40" s="936" t="s">
        <v>124</v>
      </c>
      <c r="D40" s="936"/>
      <c r="E40" s="936"/>
      <c r="F40" s="936"/>
      <c r="G40" s="936"/>
      <c r="H40" s="925"/>
      <c r="I40" s="926"/>
      <c r="J40" s="927"/>
      <c r="K40" s="927"/>
      <c r="L40" s="927"/>
      <c r="M40" s="928"/>
    </row>
    <row r="41" spans="1:19" ht="13.35" customHeight="1" thickBot="1">
      <c r="B41" s="761" t="s">
        <v>125</v>
      </c>
      <c r="C41" s="935" t="s">
        <v>126</v>
      </c>
      <c r="D41" s="935"/>
      <c r="E41" s="935"/>
      <c r="F41" s="935"/>
      <c r="G41" s="935"/>
      <c r="H41" s="925"/>
      <c r="I41" s="926"/>
      <c r="J41" s="927"/>
      <c r="K41" s="927"/>
      <c r="L41" s="927"/>
      <c r="M41" s="928"/>
    </row>
    <row r="42" spans="1:19" ht="12.75" customHeight="1" thickBot="1">
      <c r="B42" s="761" t="s">
        <v>127</v>
      </c>
      <c r="C42" s="935" t="s">
        <v>128</v>
      </c>
      <c r="D42" s="935"/>
      <c r="E42" s="935"/>
      <c r="F42" s="935"/>
      <c r="G42" s="935"/>
      <c r="H42" s="925"/>
      <c r="I42" s="926"/>
      <c r="J42" s="927"/>
      <c r="K42" s="927"/>
      <c r="L42" s="927"/>
      <c r="M42" s="928"/>
    </row>
    <row r="43" spans="1:19" ht="18">
      <c r="B43" s="852" t="s">
        <v>129</v>
      </c>
      <c r="C43" s="853"/>
      <c r="D43" s="853"/>
      <c r="E43" s="853"/>
      <c r="F43" s="853"/>
      <c r="G43" s="853"/>
      <c r="H43" s="853"/>
      <c r="I43" s="853"/>
      <c r="J43" s="853"/>
      <c r="K43" s="853"/>
      <c r="L43" s="853"/>
      <c r="M43" s="854"/>
    </row>
    <row r="44" spans="1:19">
      <c r="B44" s="630" t="s">
        <v>130</v>
      </c>
      <c r="C44" s="132" t="s">
        <v>131</v>
      </c>
      <c r="D44" s="132" t="s">
        <v>132</v>
      </c>
      <c r="E44" s="152" t="s">
        <v>133</v>
      </c>
      <c r="F44" s="132" t="s">
        <v>134</v>
      </c>
      <c r="G44" s="132" t="s">
        <v>77</v>
      </c>
      <c r="H44" s="151" t="s">
        <v>64</v>
      </c>
      <c r="I44" s="151" t="s">
        <v>135</v>
      </c>
      <c r="J44" s="863" t="s">
        <v>136</v>
      </c>
      <c r="K44" s="863"/>
      <c r="L44" s="863"/>
      <c r="M44" s="950"/>
    </row>
    <row r="45" spans="1:19">
      <c r="B45" s="631">
        <f t="shared" ref="B45:B51" si="0">B46-1</f>
        <v>2014</v>
      </c>
      <c r="C45" s="150" cm="1">
        <f t="array" ref="C45:C53">_xlfn.SORTBY(TRANSPOSE(_xlfn.XLOOKUP(C$44,'Fin. Data'!$A:$A,'Fin. Data'!$B:$J,,0)),$B$45:$B$53,-1)</f>
        <v>1276.7</v>
      </c>
      <c r="D45" s="125" cm="1">
        <f t="array" ref="D45:D53">_xlfn.SORTBY(TRANSPOSE(_xlfn.XLOOKUP(D$44,'Fin. Data'!$A:$A,'Fin. Data'!$B:$J,,0)),$B$45:$B$53,-1)</f>
        <v>0.33053967259340489</v>
      </c>
      <c r="E45" s="150" cm="1">
        <f t="array" ref="E45:E53">_xlfn.SORTBY(TRANSPOSE(_xlfn.XLOOKUP(E$44,'Fin. Data'!$A:$A,'Fin. Data'!$B:$J,,0)),$B$45:$B$53,-1)</f>
        <v>-68</v>
      </c>
      <c r="F45" s="149">
        <f>Inputs!J77</f>
        <v>112</v>
      </c>
      <c r="G45" s="125" cm="1">
        <f t="array" ref="G45:G53">_xlfn.SORTBY(TRANSPOSE(_xlfn.XLOOKUP(G$44,'Fin. Data'!$A:$A,'Fin. Data'!$B:$J,,0)),$B$45:$B$53,-1)</f>
        <v>0.27249231628946635</v>
      </c>
      <c r="H45" s="150" cm="1">
        <f t="array" ref="H45:H53">_xlfn.SORTBY(TRANSPOSE(_xlfn.XLOOKUP(H$44,'Fin. Data'!$A:$A,'Fin. Data'!$B:$J,,0)),$B$45:$B$53,-1)</f>
        <v>472.5</v>
      </c>
      <c r="I45" s="150" cm="1">
        <f t="array" ref="I45:I53">_xlfn.SORTBY(TRANSPOSE(_xlfn.XLOOKUP(I$44,'Fin. Data'!$A:$A,'Fin. Data'!$B:$J,,0)),$B$45:$B$53,-1)</f>
        <v>-558</v>
      </c>
      <c r="J45" s="476"/>
      <c r="K45" s="147"/>
      <c r="L45" s="126">
        <f>J19</f>
        <v>2022</v>
      </c>
      <c r="M45" s="478">
        <f>L45-1</f>
        <v>2021</v>
      </c>
    </row>
    <row r="46" spans="1:19">
      <c r="B46" s="631">
        <f t="shared" si="0"/>
        <v>2015</v>
      </c>
      <c r="C46" s="150">
        <v>1547</v>
      </c>
      <c r="D46" s="124">
        <v>0.37362637362637363</v>
      </c>
      <c r="E46" s="150">
        <v>-78</v>
      </c>
      <c r="F46" s="149">
        <f>Inputs!I77</f>
        <v>123</v>
      </c>
      <c r="G46" s="125">
        <v>0.26817488561260805</v>
      </c>
      <c r="H46" s="150">
        <v>565.79999999999995</v>
      </c>
      <c r="I46" s="150">
        <v>-1043.94</v>
      </c>
      <c r="J46" s="955" t="s">
        <v>74</v>
      </c>
      <c r="K46" s="956"/>
      <c r="L46" s="53">
        <f>_xlfn.XLOOKUP($J46,'Fin. Data'!$A:$A,'Fin. Data'!B:B,,0)</f>
        <v>616.20000000000005</v>
      </c>
      <c r="M46" s="549">
        <f>_xlfn.XLOOKUP($J46,'Fin. Data'!$A:$A,'Fin. Data'!C:C,,0)</f>
        <v>655.4</v>
      </c>
      <c r="N46" s="21">
        <f t="shared" ref="N46:N54" si="1">(C46/C45)-1</f>
        <v>0.21171770972037285</v>
      </c>
      <c r="O46" s="21">
        <f t="shared" ref="O46:O54" si="2">(D46/D45)-1</f>
        <v>0.13035258580282272</v>
      </c>
      <c r="P46" s="20"/>
      <c r="Q46" s="19"/>
      <c r="R46" s="19"/>
      <c r="S46" s="19"/>
    </row>
    <row r="47" spans="1:19">
      <c r="B47" s="631">
        <f t="shared" si="0"/>
        <v>2016</v>
      </c>
      <c r="C47" s="150">
        <v>1650.8</v>
      </c>
      <c r="D47" s="124">
        <v>0.34165253210564578</v>
      </c>
      <c r="E47" s="150">
        <v>-85</v>
      </c>
      <c r="F47" s="149">
        <f>Inputs!H77</f>
        <v>232</v>
      </c>
      <c r="G47" s="125">
        <v>0.20353770766104937</v>
      </c>
      <c r="H47" s="150">
        <v>621.1</v>
      </c>
      <c r="I47" s="150">
        <v>-1082</v>
      </c>
      <c r="J47" s="955" t="s">
        <v>137</v>
      </c>
      <c r="K47" s="956"/>
      <c r="L47" s="53">
        <f>_xlfn.XLOOKUP($J47,'Fin. Data'!$A:$A,'Fin. Data'!B:B,,0)</f>
        <v>1049</v>
      </c>
      <c r="M47" s="549">
        <f>_xlfn.XLOOKUP($J47,'Fin. Data'!$A:$A,'Fin. Data'!C:C,,0)</f>
        <v>811</v>
      </c>
      <c r="N47" s="21">
        <f t="shared" si="1"/>
        <v>6.7097608274078846E-2</v>
      </c>
      <c r="O47" s="21">
        <f t="shared" si="2"/>
        <v>-8.5577046423124581E-2</v>
      </c>
      <c r="P47" s="20"/>
      <c r="Q47" s="19">
        <f t="shared" ref="Q47:Q53" si="3">F47/F46-1</f>
        <v>0.88617886178861793</v>
      </c>
      <c r="R47" s="19">
        <f t="shared" ref="R47:S53" si="4">H47/H46-1</f>
        <v>9.7737716507599881E-2</v>
      </c>
      <c r="S47" s="19">
        <f t="shared" si="4"/>
        <v>3.6458033986627614E-2</v>
      </c>
    </row>
    <row r="48" spans="1:19">
      <c r="B48" s="631">
        <f t="shared" si="0"/>
        <v>2017</v>
      </c>
      <c r="C48" s="150">
        <v>1827.2</v>
      </c>
      <c r="D48" s="124">
        <v>0.43947022767075306</v>
      </c>
      <c r="E48" s="150">
        <v>-92</v>
      </c>
      <c r="F48" s="149">
        <f>Inputs!G77</f>
        <v>-216</v>
      </c>
      <c r="G48" s="125">
        <v>0.19951923076923078</v>
      </c>
      <c r="H48" s="150">
        <v>532.6</v>
      </c>
      <c r="I48" s="150">
        <v>-1019.25</v>
      </c>
      <c r="J48" s="955" t="s">
        <v>138</v>
      </c>
      <c r="K48" s="956"/>
      <c r="L48" s="53">
        <f>_xlfn.XLOOKUP($J48,'Fin. Data'!$A:$A,'Fin. Data'!B:B,,0)</f>
        <v>-1919</v>
      </c>
      <c r="M48" s="549">
        <f>_xlfn.XLOOKUP($J48,'Fin. Data'!$A:$A,'Fin. Data'!C:C,,0)</f>
        <v>-1962</v>
      </c>
      <c r="N48" s="21">
        <f t="shared" si="1"/>
        <v>0.10685728131814876</v>
      </c>
      <c r="O48" s="21">
        <f t="shared" si="2"/>
        <v>0.2863075387214169</v>
      </c>
      <c r="P48" s="20"/>
      <c r="Q48" s="19">
        <f t="shared" si="3"/>
        <v>-1.9310344827586206</v>
      </c>
      <c r="R48" s="19">
        <f t="shared" si="4"/>
        <v>-0.14248913218483339</v>
      </c>
      <c r="S48" s="19">
        <f t="shared" si="4"/>
        <v>-5.7994454713493515E-2</v>
      </c>
    </row>
    <row r="49" spans="2:19">
      <c r="B49" s="631">
        <f t="shared" si="0"/>
        <v>2018</v>
      </c>
      <c r="C49" s="150">
        <v>1696.7</v>
      </c>
      <c r="D49" s="124">
        <v>0.44439205516591029</v>
      </c>
      <c r="E49" s="150">
        <v>-113</v>
      </c>
      <c r="F49" s="149">
        <f>Inputs!F77</f>
        <v>164</v>
      </c>
      <c r="G49" s="125">
        <v>0.20810764581789157</v>
      </c>
      <c r="H49" s="150">
        <v>555.20000000000005</v>
      </c>
      <c r="I49" s="150">
        <v>-1275</v>
      </c>
      <c r="J49" s="957" t="s">
        <v>139</v>
      </c>
      <c r="K49" s="958"/>
      <c r="L49" s="53">
        <f>_xlfn.XLOOKUP($J49,'Fin. Data'!$A:$A,'Fin. Data'!B:B,,0)</f>
        <v>-3446</v>
      </c>
      <c r="M49" s="549">
        <f>_xlfn.XLOOKUP($J49,'Fin. Data'!$A:$A,'Fin. Data'!C:C,,0)</f>
        <v>-2552</v>
      </c>
      <c r="N49" s="21">
        <f t="shared" si="1"/>
        <v>-7.1420753064798559E-2</v>
      </c>
      <c r="O49" s="21">
        <f t="shared" si="2"/>
        <v>1.1199456038793576E-2</v>
      </c>
      <c r="P49" s="20"/>
      <c r="Q49" s="19">
        <f t="shared" si="3"/>
        <v>-1.7592592592592593</v>
      </c>
      <c r="R49" s="19">
        <f t="shared" si="4"/>
        <v>4.243334585054459E-2</v>
      </c>
      <c r="S49" s="19">
        <f t="shared" si="4"/>
        <v>0.25091979396615161</v>
      </c>
    </row>
    <row r="50" spans="2:19">
      <c r="B50" s="631">
        <f t="shared" si="0"/>
        <v>2019</v>
      </c>
      <c r="C50" s="150">
        <v>1824</v>
      </c>
      <c r="D50" s="124">
        <v>0.57839912280701755</v>
      </c>
      <c r="E50" s="150">
        <v>-99</v>
      </c>
      <c r="F50" s="149">
        <f>Inputs!E77</f>
        <v>31</v>
      </c>
      <c r="G50" s="125">
        <v>0.19312722545639519</v>
      </c>
      <c r="H50" s="150">
        <v>593.5</v>
      </c>
      <c r="I50" s="150">
        <v>-1122</v>
      </c>
      <c r="J50" s="957" t="s">
        <v>140</v>
      </c>
      <c r="K50" s="958"/>
      <c r="L50" s="53">
        <f>_xlfn.XLOOKUP($J50,'Fin. Data'!$A:$A,'Fin. Data'!B:B,,0)</f>
        <v>-1170</v>
      </c>
      <c r="M50" s="549">
        <f>_xlfn.XLOOKUP($J50,'Fin. Data'!$A:$A,'Fin. Data'!C:C,,0)</f>
        <v>-88</v>
      </c>
      <c r="N50" s="21">
        <f t="shared" si="1"/>
        <v>7.5027995520716706E-2</v>
      </c>
      <c r="O50" s="21">
        <f t="shared" si="2"/>
        <v>0.30155144783377552</v>
      </c>
      <c r="P50" s="20"/>
      <c r="Q50" s="19">
        <f t="shared" si="3"/>
        <v>-0.81097560975609762</v>
      </c>
      <c r="R50" s="19">
        <f t="shared" si="4"/>
        <v>6.8984149855907617E-2</v>
      </c>
      <c r="S50" s="19">
        <f t="shared" si="4"/>
        <v>-0.12</v>
      </c>
    </row>
    <row r="51" spans="2:19">
      <c r="B51" s="631">
        <f t="shared" si="0"/>
        <v>2020</v>
      </c>
      <c r="C51" s="150">
        <v>1731</v>
      </c>
      <c r="D51" s="124">
        <v>0.60889659156556908</v>
      </c>
      <c r="E51" s="150">
        <v>-107</v>
      </c>
      <c r="F51" s="149">
        <f>Inputs!D77</f>
        <v>-106</v>
      </c>
      <c r="G51" s="125">
        <v>0.21730991576281453</v>
      </c>
      <c r="H51" s="150">
        <v>616.1</v>
      </c>
      <c r="I51" s="150">
        <v>-2680</v>
      </c>
      <c r="J51" s="955" t="s">
        <v>141</v>
      </c>
      <c r="K51" s="956"/>
      <c r="L51" s="53">
        <f>_xlfn.XLOOKUP($J51,'Fin. Data'!$A:$A,'Fin. Data'!B:B,,0)</f>
        <v>966</v>
      </c>
      <c r="M51" s="549">
        <f>_xlfn.XLOOKUP($J51,'Fin. Data'!$A:$A,'Fin. Data'!C:C,,0)</f>
        <v>1673</v>
      </c>
      <c r="N51" s="21">
        <f t="shared" si="1"/>
        <v>-5.0986842105263164E-2</v>
      </c>
      <c r="O51" s="21">
        <f t="shared" si="2"/>
        <v>5.2727377265969544E-2</v>
      </c>
      <c r="P51" s="20"/>
      <c r="Q51" s="19">
        <f t="shared" si="3"/>
        <v>-4.4193548387096779</v>
      </c>
      <c r="R51" s="19">
        <f t="shared" si="4"/>
        <v>3.8079191238416188E-2</v>
      </c>
      <c r="S51" s="19">
        <f t="shared" si="4"/>
        <v>1.3885918003565063</v>
      </c>
    </row>
    <row r="52" spans="2:19">
      <c r="B52" s="631">
        <f>B53-1</f>
        <v>2021</v>
      </c>
      <c r="C52" s="150">
        <v>1758</v>
      </c>
      <c r="D52" s="124">
        <v>0.6547212741751991</v>
      </c>
      <c r="E52" s="150">
        <v>-114</v>
      </c>
      <c r="F52" s="149">
        <f>Inputs!C$77</f>
        <v>528</v>
      </c>
      <c r="G52" s="125">
        <v>0.18341503267973855</v>
      </c>
      <c r="H52" s="150">
        <v>623.29999999999995</v>
      </c>
      <c r="I52" s="150">
        <v>-2640</v>
      </c>
      <c r="J52" s="957" t="s">
        <v>142</v>
      </c>
      <c r="K52" s="958"/>
      <c r="L52" s="53">
        <f>_xlfn.XLOOKUP($J52,'Fin. Data'!$A:$A,'Fin. Data'!B:B,,0)</f>
        <v>-155</v>
      </c>
      <c r="M52" s="549">
        <f>_xlfn.XLOOKUP($J52,'Fin. Data'!$A:$A,'Fin. Data'!C:C,,0)</f>
        <v>-114</v>
      </c>
      <c r="N52" s="21">
        <f t="shared" si="1"/>
        <v>1.5597920277296451E-2</v>
      </c>
      <c r="O52" s="21">
        <f t="shared" si="2"/>
        <v>7.5258563185265137E-2</v>
      </c>
      <c r="P52" s="20"/>
      <c r="Q52" s="19">
        <f t="shared" si="3"/>
        <v>-5.9811320754716979</v>
      </c>
      <c r="R52" s="19">
        <f t="shared" si="4"/>
        <v>1.1686414543093493E-2</v>
      </c>
      <c r="S52" s="19">
        <f t="shared" si="4"/>
        <v>-1.4925373134328401E-2</v>
      </c>
    </row>
    <row r="53" spans="2:19">
      <c r="B53" s="631">
        <f>J19</f>
        <v>2022</v>
      </c>
      <c r="C53" s="150">
        <v>2372</v>
      </c>
      <c r="D53" s="124">
        <v>0.5950674536256324</v>
      </c>
      <c r="E53" s="150">
        <v>-155</v>
      </c>
      <c r="F53" s="149">
        <f>Inputs!B77</f>
        <v>168</v>
      </c>
      <c r="G53" s="125">
        <v>0.22405703269923252</v>
      </c>
      <c r="H53" s="150">
        <v>716.3</v>
      </c>
      <c r="I53" s="150">
        <v>-4616</v>
      </c>
      <c r="J53" s="957" t="s">
        <v>143</v>
      </c>
      <c r="K53" s="958"/>
      <c r="L53" s="53">
        <f>_xlfn.XLOOKUP($J53,'Fin. Data'!$A:$A,'Fin. Data'!B:B,,0)</f>
        <v>0</v>
      </c>
      <c r="M53" s="549">
        <f>_xlfn.XLOOKUP($J53,'Fin. Data'!$A:$A,'Fin. Data'!C:C,,0)</f>
        <v>0</v>
      </c>
      <c r="N53" s="21">
        <f t="shared" si="1"/>
        <v>0.34926052332195678</v>
      </c>
      <c r="O53" s="21">
        <f t="shared" si="2"/>
        <v>-9.1113307146948985E-2</v>
      </c>
      <c r="P53" s="20"/>
      <c r="Q53" s="19">
        <f t="shared" si="3"/>
        <v>-0.68181818181818188</v>
      </c>
      <c r="R53" s="19">
        <f t="shared" si="4"/>
        <v>0.14920583988448577</v>
      </c>
      <c r="S53" s="19">
        <f t="shared" si="4"/>
        <v>0.74848484848484853</v>
      </c>
    </row>
    <row r="54" spans="2:19">
      <c r="B54" s="632" t="s">
        <v>144</v>
      </c>
      <c r="C54" s="127">
        <f>IFERROR((C53/C45)^(1/8)-1,"")</f>
        <v>8.0508601026670235E-2</v>
      </c>
      <c r="D54" s="127">
        <f>IFERROR((D53/D45)^(1/8)-1,"")</f>
        <v>7.626155122289302E-2</v>
      </c>
      <c r="E54" s="146"/>
      <c r="F54" s="127">
        <f>IFERROR((F53/F45)^(1/8)-1,"")</f>
        <v>5.1989505508644118E-2</v>
      </c>
      <c r="G54" s="146"/>
      <c r="H54" s="127">
        <f>IFERROR((H53/H45)^(1/8)-1,"")</f>
        <v>5.3383817549820911E-2</v>
      </c>
      <c r="I54" s="146"/>
      <c r="J54" s="955" t="s">
        <v>145</v>
      </c>
      <c r="K54" s="956"/>
      <c r="L54" s="53">
        <f>_xlfn.XLOOKUP($J54,'Fin. Data'!$A:$A,'Fin. Data'!B:B,,0)</f>
        <v>72</v>
      </c>
      <c r="M54" s="549">
        <f>_xlfn.XLOOKUP($J54,'Fin. Data'!$A:$A,'Fin. Data'!C:C,,0)</f>
        <v>6</v>
      </c>
      <c r="N54" s="21">
        <f t="shared" si="1"/>
        <v>-0.9999660587685385</v>
      </c>
      <c r="O54" s="21">
        <f t="shared" si="2"/>
        <v>-0.87184385440970447</v>
      </c>
      <c r="P54" s="20"/>
      <c r="Q54" s="19"/>
      <c r="R54" s="19"/>
      <c r="S54" s="19"/>
    </row>
    <row r="55" spans="2:19">
      <c r="B55" s="632" t="s">
        <v>146</v>
      </c>
      <c r="C55" s="127">
        <f>IFERROR(AVERAGE(N46:N53),"")</f>
        <v>8.7893930407813584E-2</v>
      </c>
      <c r="D55" s="127">
        <f>IFERROR(AVERAGE(O46:O53),"")</f>
        <v>8.5088326909746229E-2</v>
      </c>
      <c r="E55" s="146"/>
      <c r="F55" s="127">
        <f>IFERROR(AVERAGE(Q46:Q53),"")</f>
        <v>-2.0996279408549881</v>
      </c>
      <c r="G55" s="146"/>
      <c r="H55" s="127">
        <f>IFERROR(AVERAGE(S46:S53),"")</f>
        <v>0.31879066413518747</v>
      </c>
      <c r="I55" s="146"/>
      <c r="J55" s="959" t="s">
        <v>147</v>
      </c>
      <c r="K55" s="960"/>
      <c r="L55" s="153">
        <f>L47-L48+L51-L52-L53</f>
        <v>4089</v>
      </c>
      <c r="M55" s="479">
        <f>M47-M48+M51-M52-M53</f>
        <v>4560</v>
      </c>
    </row>
    <row r="56" spans="2:19">
      <c r="B56" s="632" t="s">
        <v>148</v>
      </c>
      <c r="C56" s="127">
        <f>IFERROR(STDEV(C46:C53)/AVERAGE(C46:C53),"")</f>
        <v>0.13794250210536144</v>
      </c>
      <c r="D56" s="127">
        <f>IFERROR(STDEV(D45:D53)/AVERAGE(D45:D53),"")</f>
        <v>0.25816936108906391</v>
      </c>
      <c r="E56" s="146"/>
      <c r="F56" s="127">
        <f>IFERROR(STDEV(F45:F53)/AVERAGE(F45:F53),"")</f>
        <v>1.8300007065716346</v>
      </c>
      <c r="G56" s="146"/>
      <c r="H56" s="127">
        <f>IFERROR(STDEV(H45:H53)/AVERAGE(H45:H53),"")</f>
        <v>0.1164934096517697</v>
      </c>
      <c r="I56" s="146"/>
      <c r="J56" s="961" t="s">
        <v>149</v>
      </c>
      <c r="K56" s="962"/>
      <c r="L56" s="474">
        <f>IFERROR(SUM(I50:I53)/(C53-C49),"")</f>
        <v>-16.374944469124834</v>
      </c>
      <c r="M56" s="548">
        <f>IFERROR((SUM(I50:I53)-SUM(H50:H53))/(C53-C49),"")</f>
        <v>-20.149859321782913</v>
      </c>
    </row>
    <row r="57" spans="2:19">
      <c r="B57" s="632" t="s">
        <v>150</v>
      </c>
      <c r="C57" s="127">
        <f>IFERROR(C53/C52-1,"")</f>
        <v>0.34926052332195678</v>
      </c>
      <c r="D57" s="127">
        <f>IFERROR(1-(D53/D52),"")</f>
        <v>9.1113307146948985E-2</v>
      </c>
      <c r="E57" s="146"/>
      <c r="F57" s="127">
        <f>IFERROR(1-(F53/F52),"")</f>
        <v>0.68181818181818188</v>
      </c>
      <c r="G57" s="146"/>
      <c r="H57" s="127">
        <f>IFERROR(1-(H53/H52),"")</f>
        <v>-0.14920583988448577</v>
      </c>
      <c r="I57" s="146"/>
      <c r="J57" s="848" t="s">
        <v>151</v>
      </c>
      <c r="K57" s="849"/>
      <c r="L57" s="475">
        <f>IFERROR(L56/E26,"")</f>
        <v>-35.852825007411013</v>
      </c>
      <c r="M57" s="480">
        <f>IFERROR(M56/E26,"")</f>
        <v>-44.117974357102838</v>
      </c>
    </row>
    <row r="58" spans="2:19" ht="18">
      <c r="B58" s="852" t="s">
        <v>152</v>
      </c>
      <c r="C58" s="853"/>
      <c r="D58" s="853"/>
      <c r="E58" s="853"/>
      <c r="F58" s="853"/>
      <c r="G58" s="853"/>
      <c r="H58" s="853"/>
      <c r="I58" s="853"/>
      <c r="J58" s="853"/>
      <c r="K58" s="853"/>
      <c r="L58" s="853"/>
      <c r="M58" s="854"/>
    </row>
    <row r="59" spans="2:19" ht="15.75">
      <c r="B59" s="850" t="s">
        <v>153</v>
      </c>
      <c r="C59" s="851"/>
      <c r="D59" s="851"/>
      <c r="E59" s="851"/>
      <c r="F59" s="851"/>
      <c r="G59" s="851"/>
      <c r="H59" s="851"/>
      <c r="I59" s="851"/>
      <c r="J59" s="851" t="s">
        <v>154</v>
      </c>
      <c r="K59" s="851"/>
      <c r="L59" s="851"/>
      <c r="M59" s="855"/>
    </row>
    <row r="60" spans="2:19">
      <c r="B60" s="862" t="s">
        <v>155</v>
      </c>
      <c r="C60" s="863"/>
      <c r="D60" s="863"/>
      <c r="E60" s="863" t="s">
        <v>156</v>
      </c>
      <c r="F60" s="863"/>
      <c r="G60" s="863"/>
      <c r="H60" s="863"/>
      <c r="I60" s="863"/>
      <c r="J60" s="863" t="s">
        <v>5</v>
      </c>
      <c r="K60" s="863"/>
      <c r="L60" s="863"/>
      <c r="M60" s="477" t="s">
        <v>157</v>
      </c>
    </row>
    <row r="61" spans="2:19" ht="15" customHeight="1">
      <c r="B61" s="864" t="s">
        <v>158</v>
      </c>
      <c r="C61" s="865"/>
      <c r="D61" s="866"/>
      <c r="E61" s="890" t="s">
        <v>159</v>
      </c>
      <c r="F61" s="865"/>
      <c r="G61" s="865"/>
      <c r="H61" s="865"/>
      <c r="I61" s="866"/>
      <c r="J61" s="899" t="s">
        <v>160</v>
      </c>
      <c r="K61" s="900"/>
      <c r="L61" s="901"/>
      <c r="M61" s="741" t="s">
        <v>161</v>
      </c>
      <c r="N61" s="616"/>
    </row>
    <row r="62" spans="2:19" ht="15" customHeight="1">
      <c r="B62" s="867"/>
      <c r="C62" s="868"/>
      <c r="D62" s="869"/>
      <c r="E62" s="951"/>
      <c r="F62" s="868"/>
      <c r="G62" s="868"/>
      <c r="H62" s="868"/>
      <c r="I62" s="869"/>
      <c r="J62" s="736" t="s">
        <v>162</v>
      </c>
      <c r="K62" s="737"/>
      <c r="L62" s="738"/>
      <c r="M62" s="741" t="s">
        <v>163</v>
      </c>
      <c r="N62" s="616"/>
    </row>
    <row r="63" spans="2:19" ht="15" customHeight="1">
      <c r="B63" s="867"/>
      <c r="C63" s="868"/>
      <c r="D63" s="869"/>
      <c r="E63" s="951"/>
      <c r="F63" s="868"/>
      <c r="G63" s="868"/>
      <c r="H63" s="868"/>
      <c r="I63" s="869"/>
      <c r="J63" s="736" t="s">
        <v>164</v>
      </c>
      <c r="K63" s="737"/>
      <c r="L63" s="738"/>
      <c r="M63" s="741" t="s">
        <v>165</v>
      </c>
      <c r="N63" s="616"/>
      <c r="O63" s="11"/>
    </row>
    <row r="64" spans="2:19">
      <c r="B64" s="867"/>
      <c r="C64" s="868"/>
      <c r="D64" s="869"/>
      <c r="E64" s="951"/>
      <c r="F64" s="868"/>
      <c r="G64" s="868"/>
      <c r="H64" s="868"/>
      <c r="I64" s="869"/>
      <c r="J64" s="856" t="s">
        <v>166</v>
      </c>
      <c r="K64" s="857"/>
      <c r="L64" s="858"/>
      <c r="M64" s="741" t="s">
        <v>167</v>
      </c>
      <c r="N64" s="616"/>
    </row>
    <row r="65" spans="2:15" ht="13.35" customHeight="1">
      <c r="B65" s="867"/>
      <c r="C65" s="868"/>
      <c r="D65" s="869"/>
      <c r="E65" s="951"/>
      <c r="F65" s="868"/>
      <c r="G65" s="868"/>
      <c r="H65" s="868"/>
      <c r="I65" s="869"/>
      <c r="J65" s="859" t="s">
        <v>168</v>
      </c>
      <c r="K65" s="860"/>
      <c r="L65" s="861"/>
      <c r="M65" s="481" t="s">
        <v>169</v>
      </c>
      <c r="N65" s="616"/>
    </row>
    <row r="66" spans="2:15" ht="13.35" customHeight="1">
      <c r="B66" s="867"/>
      <c r="C66" s="868"/>
      <c r="D66" s="869"/>
      <c r="E66" s="951"/>
      <c r="F66" s="868"/>
      <c r="G66" s="868"/>
      <c r="H66" s="868"/>
      <c r="I66" s="869"/>
      <c r="J66" s="859" t="s">
        <v>170</v>
      </c>
      <c r="K66" s="860"/>
      <c r="L66" s="861"/>
      <c r="M66" s="481" t="s">
        <v>171</v>
      </c>
      <c r="N66" s="616"/>
    </row>
    <row r="67" spans="2:15">
      <c r="B67" s="867"/>
      <c r="C67" s="868"/>
      <c r="D67" s="869"/>
      <c r="E67" s="951"/>
      <c r="F67" s="868"/>
      <c r="G67" s="868"/>
      <c r="H67" s="868"/>
      <c r="I67" s="869"/>
      <c r="J67" s="856" t="s">
        <v>172</v>
      </c>
      <c r="K67" s="857"/>
      <c r="L67" s="858"/>
      <c r="M67" s="481" t="s">
        <v>173</v>
      </c>
      <c r="N67" s="616"/>
    </row>
    <row r="68" spans="2:15" ht="13.35" customHeight="1">
      <c r="B68" s="867"/>
      <c r="C68" s="868"/>
      <c r="D68" s="869"/>
      <c r="E68" s="951"/>
      <c r="F68" s="868"/>
      <c r="G68" s="868"/>
      <c r="H68" s="868"/>
      <c r="I68" s="869"/>
      <c r="J68" s="856" t="s">
        <v>174</v>
      </c>
      <c r="K68" s="857"/>
      <c r="L68" s="858"/>
      <c r="M68" s="481" t="s">
        <v>175</v>
      </c>
      <c r="N68" s="616"/>
    </row>
    <row r="69" spans="2:15" ht="13.35" customHeight="1">
      <c r="B69" s="867"/>
      <c r="C69" s="868"/>
      <c r="D69" s="869"/>
      <c r="E69" s="951"/>
      <c r="F69" s="868"/>
      <c r="G69" s="868"/>
      <c r="H69" s="868"/>
      <c r="I69" s="869"/>
      <c r="J69" s="856" t="s">
        <v>176</v>
      </c>
      <c r="K69" s="857"/>
      <c r="L69" s="858"/>
      <c r="M69" s="481" t="s">
        <v>177</v>
      </c>
      <c r="N69" s="616"/>
    </row>
    <row r="70" spans="2:15">
      <c r="B70" s="870"/>
      <c r="C70" s="871"/>
      <c r="D70" s="872"/>
      <c r="E70" s="952"/>
      <c r="F70" s="871"/>
      <c r="G70" s="871"/>
      <c r="H70" s="871"/>
      <c r="I70" s="872"/>
      <c r="J70" s="856" t="s">
        <v>178</v>
      </c>
      <c r="K70" s="857"/>
      <c r="L70" s="858"/>
      <c r="M70" s="481" t="s">
        <v>179</v>
      </c>
      <c r="N70" s="757"/>
    </row>
    <row r="71" spans="2:15">
      <c r="B71" s="862" t="s">
        <v>180</v>
      </c>
      <c r="C71" s="863"/>
      <c r="D71" s="863"/>
      <c r="E71" s="863" t="s">
        <v>181</v>
      </c>
      <c r="F71" s="863"/>
      <c r="G71" s="863"/>
      <c r="H71" s="863"/>
      <c r="I71" s="863"/>
      <c r="J71" s="856" t="s">
        <v>182</v>
      </c>
      <c r="K71" s="857"/>
      <c r="L71" s="858"/>
      <c r="M71" s="481" t="s">
        <v>183</v>
      </c>
    </row>
    <row r="72" spans="2:15" ht="15" customHeight="1">
      <c r="B72" s="881" t="s">
        <v>184</v>
      </c>
      <c r="C72" s="882"/>
      <c r="D72" s="883"/>
      <c r="E72" s="890" t="s">
        <v>185</v>
      </c>
      <c r="F72" s="891"/>
      <c r="G72" s="891"/>
      <c r="H72" s="891"/>
      <c r="I72" s="892"/>
      <c r="J72" s="856" t="s">
        <v>186</v>
      </c>
      <c r="K72" s="857"/>
      <c r="L72" s="858"/>
      <c r="M72" s="481" t="s">
        <v>187</v>
      </c>
    </row>
    <row r="73" spans="2:15" ht="15" customHeight="1">
      <c r="B73" s="884"/>
      <c r="C73" s="885"/>
      <c r="D73" s="886"/>
      <c r="E73" s="893"/>
      <c r="F73" s="894"/>
      <c r="G73" s="894"/>
      <c r="H73" s="894"/>
      <c r="I73" s="895"/>
      <c r="J73" s="859" t="s">
        <v>188</v>
      </c>
      <c r="K73" s="860"/>
      <c r="L73" s="861"/>
      <c r="M73" s="481" t="s">
        <v>189</v>
      </c>
      <c r="O73" s="11"/>
    </row>
    <row r="74" spans="2:15" ht="15" customHeight="1">
      <c r="B74" s="884"/>
      <c r="C74" s="885"/>
      <c r="D74" s="886"/>
      <c r="E74" s="893"/>
      <c r="F74" s="894"/>
      <c r="G74" s="894"/>
      <c r="H74" s="894"/>
      <c r="I74" s="895"/>
      <c r="J74" s="873"/>
      <c r="K74" s="874"/>
      <c r="L74" s="874"/>
      <c r="M74" s="875"/>
    </row>
    <row r="75" spans="2:15" ht="15" customHeight="1">
      <c r="B75" s="884"/>
      <c r="C75" s="885"/>
      <c r="D75" s="886"/>
      <c r="E75" s="893"/>
      <c r="F75" s="894"/>
      <c r="G75" s="894"/>
      <c r="H75" s="894"/>
      <c r="I75" s="895"/>
      <c r="J75" s="876"/>
      <c r="K75" s="837"/>
      <c r="L75" s="837"/>
      <c r="M75" s="877"/>
    </row>
    <row r="76" spans="2:15" ht="13.35" customHeight="1">
      <c r="B76" s="884"/>
      <c r="C76" s="885"/>
      <c r="D76" s="886"/>
      <c r="E76" s="893"/>
      <c r="F76" s="894"/>
      <c r="G76" s="894"/>
      <c r="H76" s="894"/>
      <c r="I76" s="895"/>
      <c r="J76" s="876"/>
      <c r="K76" s="837"/>
      <c r="L76" s="837"/>
      <c r="M76" s="877"/>
      <c r="O76" s="11"/>
    </row>
    <row r="77" spans="2:15" ht="13.35" customHeight="1">
      <c r="B77" s="884"/>
      <c r="C77" s="885"/>
      <c r="D77" s="886"/>
      <c r="E77" s="893"/>
      <c r="F77" s="894"/>
      <c r="G77" s="894"/>
      <c r="H77" s="894"/>
      <c r="I77" s="895"/>
      <c r="J77" s="876"/>
      <c r="K77" s="837"/>
      <c r="L77" s="837"/>
      <c r="M77" s="877"/>
      <c r="O77" s="11"/>
    </row>
    <row r="78" spans="2:15">
      <c r="B78" s="884"/>
      <c r="C78" s="885"/>
      <c r="D78" s="886"/>
      <c r="E78" s="893"/>
      <c r="F78" s="894"/>
      <c r="G78" s="894"/>
      <c r="H78" s="894"/>
      <c r="I78" s="895"/>
      <c r="J78" s="876"/>
      <c r="K78" s="837"/>
      <c r="L78" s="837"/>
      <c r="M78" s="877"/>
    </row>
    <row r="79" spans="2:15" ht="13.35" customHeight="1">
      <c r="B79" s="884"/>
      <c r="C79" s="885"/>
      <c r="D79" s="886"/>
      <c r="E79" s="893"/>
      <c r="F79" s="894"/>
      <c r="G79" s="894"/>
      <c r="H79" s="894"/>
      <c r="I79" s="895"/>
      <c r="J79" s="876"/>
      <c r="K79" s="837"/>
      <c r="L79" s="837"/>
      <c r="M79" s="877"/>
    </row>
    <row r="80" spans="2:15" ht="20.45" customHeight="1">
      <c r="B80" s="887"/>
      <c r="C80" s="888"/>
      <c r="D80" s="889"/>
      <c r="E80" s="896"/>
      <c r="F80" s="897"/>
      <c r="G80" s="897"/>
      <c r="H80" s="897"/>
      <c r="I80" s="898"/>
      <c r="J80" s="878"/>
      <c r="K80" s="879"/>
      <c r="L80" s="879"/>
      <c r="M80" s="880"/>
    </row>
    <row r="81" spans="2:14" ht="16.5" thickBot="1">
      <c r="B81" s="832" t="s">
        <v>190</v>
      </c>
      <c r="C81" s="833"/>
      <c r="D81" s="833"/>
      <c r="E81" s="833"/>
      <c r="F81" s="834"/>
      <c r="G81" s="829" t="s">
        <v>191</v>
      </c>
      <c r="H81" s="830"/>
      <c r="I81" s="830"/>
      <c r="J81" s="830"/>
      <c r="K81" s="830"/>
      <c r="L81" s="830"/>
      <c r="M81" s="831"/>
    </row>
    <row r="82" spans="2:14" s="11" customFormat="1" ht="13.35" customHeight="1">
      <c r="B82" s="839"/>
      <c r="C82" s="840"/>
      <c r="D82" s="840"/>
      <c r="E82" s="840"/>
      <c r="F82" s="840"/>
      <c r="G82" s="762"/>
      <c r="H82" s="763"/>
      <c r="I82" s="763"/>
      <c r="J82" s="835"/>
      <c r="K82" s="835"/>
      <c r="L82" s="835"/>
      <c r="M82" s="836"/>
    </row>
    <row r="83" spans="2:14" ht="13.35" customHeight="1">
      <c r="B83" s="841"/>
      <c r="C83" s="842"/>
      <c r="D83" s="842"/>
      <c r="E83" s="842"/>
      <c r="F83" s="842"/>
      <c r="G83" s="764"/>
      <c r="J83" s="837"/>
      <c r="K83" s="837"/>
      <c r="L83" s="837"/>
      <c r="M83" s="838"/>
    </row>
    <row r="84" spans="2:14" ht="13.35" customHeight="1">
      <c r="B84" s="841"/>
      <c r="C84" s="842"/>
      <c r="D84" s="842"/>
      <c r="E84" s="842"/>
      <c r="F84" s="842"/>
      <c r="G84" s="764"/>
      <c r="M84" s="765"/>
    </row>
    <row r="85" spans="2:14" ht="13.35" customHeight="1">
      <c r="B85" s="841"/>
      <c r="C85" s="842"/>
      <c r="D85" s="842"/>
      <c r="E85" s="842"/>
      <c r="F85" s="842"/>
      <c r="G85" s="764"/>
      <c r="M85" s="765"/>
    </row>
    <row r="86" spans="2:14" ht="13.35" customHeight="1">
      <c r="B86" s="841"/>
      <c r="C86" s="842"/>
      <c r="D86" s="842"/>
      <c r="E86" s="842"/>
      <c r="F86" s="842"/>
      <c r="G86" s="764"/>
      <c r="M86" s="765"/>
    </row>
    <row r="87" spans="2:14" ht="13.35" customHeight="1">
      <c r="B87" s="841"/>
      <c r="C87" s="842"/>
      <c r="D87" s="842"/>
      <c r="E87" s="842"/>
      <c r="F87" s="842"/>
      <c r="G87" s="764"/>
      <c r="M87" s="765"/>
    </row>
    <row r="88" spans="2:14" ht="13.35" customHeight="1">
      <c r="B88" s="841"/>
      <c r="C88" s="842"/>
      <c r="D88" s="842"/>
      <c r="E88" s="842"/>
      <c r="F88" s="842"/>
      <c r="G88" s="764"/>
      <c r="M88" s="765"/>
    </row>
    <row r="89" spans="2:14" ht="13.35" customHeight="1">
      <c r="B89" s="841"/>
      <c r="C89" s="842"/>
      <c r="D89" s="842"/>
      <c r="E89" s="842"/>
      <c r="F89" s="842"/>
      <c r="G89" s="764"/>
      <c r="M89" s="765"/>
    </row>
    <row r="90" spans="2:14" ht="13.35" customHeight="1">
      <c r="B90" s="841"/>
      <c r="C90" s="842"/>
      <c r="D90" s="842"/>
      <c r="E90" s="842"/>
      <c r="F90" s="842"/>
      <c r="G90" s="764"/>
      <c r="M90" s="765"/>
    </row>
    <row r="91" spans="2:14" ht="13.35" customHeight="1">
      <c r="B91" s="841"/>
      <c r="C91" s="842"/>
      <c r="D91" s="842"/>
      <c r="E91" s="842"/>
      <c r="F91" s="842"/>
      <c r="G91" s="764"/>
      <c r="M91" s="765"/>
    </row>
    <row r="92" spans="2:14" ht="13.35" customHeight="1">
      <c r="B92" s="841"/>
      <c r="C92" s="842"/>
      <c r="D92" s="842"/>
      <c r="E92" s="842"/>
      <c r="F92" s="842"/>
      <c r="G92" s="764"/>
      <c r="M92" s="765"/>
    </row>
    <row r="93" spans="2:14" ht="13.35" customHeight="1">
      <c r="B93" s="841"/>
      <c r="C93" s="842"/>
      <c r="D93" s="842"/>
      <c r="E93" s="842"/>
      <c r="F93" s="842"/>
      <c r="G93" s="764"/>
      <c r="M93" s="765"/>
    </row>
    <row r="94" spans="2:14" ht="13.35" customHeight="1">
      <c r="B94" s="841"/>
      <c r="C94" s="842"/>
      <c r="D94" s="842"/>
      <c r="E94" s="842"/>
      <c r="F94" s="842"/>
      <c r="G94" s="764"/>
      <c r="M94" s="765"/>
    </row>
    <row r="95" spans="2:14" ht="13.35" customHeight="1">
      <c r="B95" s="841"/>
      <c r="C95" s="842"/>
      <c r="D95" s="842"/>
      <c r="E95" s="842"/>
      <c r="F95" s="842"/>
      <c r="G95" s="764"/>
      <c r="M95" s="765"/>
      <c r="N95" t="s">
        <v>192</v>
      </c>
    </row>
    <row r="96" spans="2:14" ht="13.35" customHeight="1">
      <c r="B96" s="841"/>
      <c r="C96" s="842"/>
      <c r="D96" s="842"/>
      <c r="E96" s="842"/>
      <c r="F96" s="842"/>
      <c r="G96" s="764"/>
      <c r="M96" s="765"/>
    </row>
    <row r="97" spans="2:13" ht="13.35" customHeight="1">
      <c r="B97" s="841"/>
      <c r="C97" s="842"/>
      <c r="D97" s="842"/>
      <c r="E97" s="842"/>
      <c r="F97" s="842"/>
      <c r="G97" s="764"/>
      <c r="M97" s="765"/>
    </row>
    <row r="98" spans="2:13" ht="13.35" customHeight="1">
      <c r="B98" s="841"/>
      <c r="C98" s="842"/>
      <c r="D98" s="842"/>
      <c r="E98" s="842"/>
      <c r="F98" s="842"/>
      <c r="G98" s="764"/>
      <c r="M98" s="765"/>
    </row>
    <row r="99" spans="2:13" ht="13.35" customHeight="1">
      <c r="B99" s="841"/>
      <c r="C99" s="842"/>
      <c r="D99" s="842"/>
      <c r="E99" s="842"/>
      <c r="F99" s="842"/>
      <c r="G99" s="764"/>
      <c r="M99" s="765"/>
    </row>
    <row r="100" spans="2:13" ht="13.35" customHeight="1">
      <c r="B100" s="841"/>
      <c r="C100" s="842"/>
      <c r="D100" s="842"/>
      <c r="E100" s="842"/>
      <c r="F100" s="842"/>
      <c r="G100" s="764"/>
      <c r="M100" s="765"/>
    </row>
    <row r="101" spans="2:13" ht="13.35" customHeight="1">
      <c r="B101" s="841"/>
      <c r="C101" s="842"/>
      <c r="D101" s="842"/>
      <c r="E101" s="842"/>
      <c r="F101" s="842"/>
      <c r="G101" s="764"/>
      <c r="M101" s="765"/>
    </row>
    <row r="102" spans="2:13" ht="13.35" customHeight="1">
      <c r="B102" s="841"/>
      <c r="C102" s="842"/>
      <c r="D102" s="842"/>
      <c r="E102" s="842"/>
      <c r="F102" s="842"/>
      <c r="G102" s="764"/>
      <c r="M102" s="765"/>
    </row>
    <row r="103" spans="2:13" ht="13.35" customHeight="1">
      <c r="B103" s="841"/>
      <c r="C103" s="842"/>
      <c r="D103" s="842"/>
      <c r="E103" s="842"/>
      <c r="F103" s="842"/>
      <c r="G103" s="764"/>
      <c r="M103" s="765"/>
    </row>
    <row r="104" spans="2:13" ht="13.35" customHeight="1">
      <c r="B104" s="841"/>
      <c r="C104" s="842"/>
      <c r="D104" s="842"/>
      <c r="E104" s="842"/>
      <c r="F104" s="842"/>
      <c r="G104" s="764"/>
      <c r="M104" s="765"/>
    </row>
    <row r="105" spans="2:13" ht="14.1" customHeight="1">
      <c r="B105" s="841"/>
      <c r="C105" s="842"/>
      <c r="D105" s="842"/>
      <c r="E105" s="842"/>
      <c r="F105" s="842"/>
      <c r="G105" s="764"/>
      <c r="M105" s="765"/>
    </row>
    <row r="106" spans="2:13" ht="14.1" customHeight="1" thickBot="1">
      <c r="B106" s="843"/>
      <c r="C106" s="844"/>
      <c r="D106" s="844"/>
      <c r="E106" s="844"/>
      <c r="F106" s="844"/>
      <c r="G106" s="845" t="e" vm="1">
        <f>Peers!C49</f>
        <v>#VALUE!</v>
      </c>
      <c r="H106" s="846"/>
      <c r="I106" s="846"/>
      <c r="J106" s="846"/>
      <c r="K106" s="846"/>
      <c r="L106" s="846"/>
      <c r="M106" s="847"/>
    </row>
  </sheetData>
  <mergeCells count="101">
    <mergeCell ref="J44:M44"/>
    <mergeCell ref="B43:M43"/>
    <mergeCell ref="E61:I70"/>
    <mergeCell ref="J60:L60"/>
    <mergeCell ref="E71:I71"/>
    <mergeCell ref="E60:I60"/>
    <mergeCell ref="I34:M37"/>
    <mergeCell ref="I38:M38"/>
    <mergeCell ref="J46:K46"/>
    <mergeCell ref="J47:K47"/>
    <mergeCell ref="J48:K48"/>
    <mergeCell ref="J49:K49"/>
    <mergeCell ref="J50:K50"/>
    <mergeCell ref="J51:K51"/>
    <mergeCell ref="J52:K52"/>
    <mergeCell ref="B38:G38"/>
    <mergeCell ref="C39:G39"/>
    <mergeCell ref="J53:K53"/>
    <mergeCell ref="J54:K54"/>
    <mergeCell ref="J55:K55"/>
    <mergeCell ref="J56:K56"/>
    <mergeCell ref="J66:L66"/>
    <mergeCell ref="J67:L67"/>
    <mergeCell ref="J68:L68"/>
    <mergeCell ref="E2:K2"/>
    <mergeCell ref="F19:G19"/>
    <mergeCell ref="F27:G27"/>
    <mergeCell ref="F25:G25"/>
    <mergeCell ref="J20:K20"/>
    <mergeCell ref="I21:J21"/>
    <mergeCell ref="I22:J22"/>
    <mergeCell ref="I23:J23"/>
    <mergeCell ref="I24:J24"/>
    <mergeCell ref="I25:J25"/>
    <mergeCell ref="I26:J26"/>
    <mergeCell ref="I27:J27"/>
    <mergeCell ref="F26:G26"/>
    <mergeCell ref="D4:G16"/>
    <mergeCell ref="D3:G3"/>
    <mergeCell ref="J19:K19"/>
    <mergeCell ref="D18:E18"/>
    <mergeCell ref="F21:G21"/>
    <mergeCell ref="B3:C15"/>
    <mergeCell ref="L18:M18"/>
    <mergeCell ref="B18:C18"/>
    <mergeCell ref="H3:M3"/>
    <mergeCell ref="F18:H18"/>
    <mergeCell ref="B17:M17"/>
    <mergeCell ref="H39:H42"/>
    <mergeCell ref="I39:I42"/>
    <mergeCell ref="J39:K42"/>
    <mergeCell ref="L39:L42"/>
    <mergeCell ref="M39:M42"/>
    <mergeCell ref="F30:G30"/>
    <mergeCell ref="F28:G28"/>
    <mergeCell ref="F29:G29"/>
    <mergeCell ref="H34:H37"/>
    <mergeCell ref="C36:G36"/>
    <mergeCell ref="B32:M32"/>
    <mergeCell ref="F20:G20"/>
    <mergeCell ref="I18:K18"/>
    <mergeCell ref="C42:G42"/>
    <mergeCell ref="C41:G41"/>
    <mergeCell ref="I28:J28"/>
    <mergeCell ref="I29:J29"/>
    <mergeCell ref="C40:G40"/>
    <mergeCell ref="F31:G31"/>
    <mergeCell ref="F22:G22"/>
    <mergeCell ref="F23:G23"/>
    <mergeCell ref="C37:G37"/>
    <mergeCell ref="B33:G33"/>
    <mergeCell ref="F24:G24"/>
    <mergeCell ref="B16:C16"/>
    <mergeCell ref="I30:J30"/>
    <mergeCell ref="I33:M33"/>
    <mergeCell ref="C34:G34"/>
    <mergeCell ref="C35:G35"/>
    <mergeCell ref="B28:C28"/>
    <mergeCell ref="G81:M81"/>
    <mergeCell ref="B81:F81"/>
    <mergeCell ref="J82:M83"/>
    <mergeCell ref="B82:F106"/>
    <mergeCell ref="G106:M106"/>
    <mergeCell ref="J57:K57"/>
    <mergeCell ref="B59:I59"/>
    <mergeCell ref="B58:M58"/>
    <mergeCell ref="J59:M59"/>
    <mergeCell ref="J71:L71"/>
    <mergeCell ref="J72:L72"/>
    <mergeCell ref="J73:L73"/>
    <mergeCell ref="B60:D60"/>
    <mergeCell ref="B71:D71"/>
    <mergeCell ref="B61:D70"/>
    <mergeCell ref="J74:M80"/>
    <mergeCell ref="B72:D80"/>
    <mergeCell ref="E72:I80"/>
    <mergeCell ref="J69:L69"/>
    <mergeCell ref="J70:L70"/>
    <mergeCell ref="J61:L61"/>
    <mergeCell ref="J64:L64"/>
    <mergeCell ref="J65:L65"/>
  </mergeCells>
  <phoneticPr fontId="0" type="noConversion"/>
  <conditionalFormatting sqref="C45:C53 D45:E45">
    <cfRule type="dataBar" priority="5">
      <dataBar>
        <cfvo type="min"/>
        <cfvo type="max"/>
        <color rgb="FF63C384"/>
      </dataBar>
      <extLst>
        <ext xmlns:x14="http://schemas.microsoft.com/office/spreadsheetml/2009/9/main" uri="{B025F937-C7B1-47D3-B67F-A62EFF666E3E}">
          <x14:id>{F4773E1D-8C81-41A2-B9F2-E9E8E2054B23}</x14:id>
        </ext>
      </extLst>
    </cfRule>
  </conditionalFormatting>
  <conditionalFormatting sqref="D45:D53">
    <cfRule type="dataBar" priority="4">
      <dataBar>
        <cfvo type="min"/>
        <cfvo type="max"/>
        <color rgb="FF638EC6"/>
      </dataBar>
      <extLst>
        <ext xmlns:x14="http://schemas.microsoft.com/office/spreadsheetml/2009/9/main" uri="{B025F937-C7B1-47D3-B67F-A62EFF666E3E}">
          <x14:id>{AB45923C-EAD5-474F-8382-F5BEE7164463}</x14:id>
        </ext>
      </extLst>
    </cfRule>
  </conditionalFormatting>
  <conditionalFormatting sqref="D46:D53">
    <cfRule type="dataBar" priority="11">
      <dataBar>
        <cfvo type="min"/>
        <cfvo type="max"/>
        <color rgb="FF638EC6"/>
      </dataBar>
      <extLst>
        <ext xmlns:x14="http://schemas.microsoft.com/office/spreadsheetml/2009/9/main" uri="{B025F937-C7B1-47D3-B67F-A62EFF666E3E}">
          <x14:id>{8F05AC94-FB75-41DC-A030-BD50695363B2}</x14:id>
        </ext>
      </extLst>
    </cfRule>
    <cfRule type="dataBar" priority="13">
      <dataBar>
        <cfvo type="min"/>
        <cfvo type="max"/>
        <color rgb="FF63C384"/>
      </dataBar>
      <extLst>
        <ext xmlns:x14="http://schemas.microsoft.com/office/spreadsheetml/2009/9/main" uri="{B025F937-C7B1-47D3-B67F-A62EFF666E3E}">
          <x14:id>{16E131EF-4CFA-4C45-B407-C7FA5F1CCD58}</x14:id>
        </ext>
      </extLst>
    </cfRule>
  </conditionalFormatting>
  <conditionalFormatting sqref="E45:E53">
    <cfRule type="dataBar" priority="3">
      <dataBar>
        <cfvo type="min"/>
        <cfvo type="max"/>
        <color rgb="FFFF555A"/>
      </dataBar>
      <extLst>
        <ext xmlns:x14="http://schemas.microsoft.com/office/spreadsheetml/2009/9/main" uri="{B025F937-C7B1-47D3-B67F-A62EFF666E3E}">
          <x14:id>{4C108334-4BC4-4B0F-A919-0620BA53FECB}</x14:id>
        </ext>
      </extLst>
    </cfRule>
  </conditionalFormatting>
  <conditionalFormatting sqref="E46:E53">
    <cfRule type="dataBar" priority="6">
      <dataBar>
        <cfvo type="min"/>
        <cfvo type="max"/>
        <color rgb="FF63C384"/>
      </dataBar>
      <extLst>
        <ext xmlns:x14="http://schemas.microsoft.com/office/spreadsheetml/2009/9/main" uri="{B025F937-C7B1-47D3-B67F-A62EFF666E3E}">
          <x14:id>{3D2B4733-6086-41B3-B3A7-1CB39146AAEB}</x14:id>
        </ext>
      </extLst>
    </cfRule>
  </conditionalFormatting>
  <conditionalFormatting sqref="E54:E57 G54:G57 I54:I57">
    <cfRule type="dataBar" priority="8">
      <dataBar>
        <cfvo type="min"/>
        <cfvo type="max"/>
        <color rgb="FF638EC6"/>
      </dataBar>
      <extLst>
        <ext xmlns:x14="http://schemas.microsoft.com/office/spreadsheetml/2009/9/main" uri="{B025F937-C7B1-47D3-B67F-A62EFF666E3E}">
          <x14:id>{4382A5A4-8938-4754-913D-04C8EB3E9944}</x14:id>
        </ext>
      </extLst>
    </cfRule>
    <cfRule type="dataBar" priority="9">
      <dataBar>
        <cfvo type="min"/>
        <cfvo type="max"/>
        <color rgb="FF63C384"/>
      </dataBar>
      <extLst>
        <ext xmlns:x14="http://schemas.microsoft.com/office/spreadsheetml/2009/9/main" uri="{B025F937-C7B1-47D3-B67F-A62EFF666E3E}">
          <x14:id>{CA48BEF9-536B-483E-93D1-1D70FAC05115}</x14:id>
        </ext>
      </extLst>
    </cfRule>
  </conditionalFormatting>
  <conditionalFormatting sqref="F45:F53">
    <cfRule type="dataBar" priority="10">
      <dataBar>
        <cfvo type="min"/>
        <cfvo type="max"/>
        <color rgb="FF63C384"/>
      </dataBar>
      <extLst>
        <ext xmlns:x14="http://schemas.microsoft.com/office/spreadsheetml/2009/9/main" uri="{B025F937-C7B1-47D3-B67F-A62EFF666E3E}">
          <x14:id>{FD1FEF9A-F365-4DFE-A927-1852D99D71EB}</x14:id>
        </ext>
      </extLst>
    </cfRule>
  </conditionalFormatting>
  <conditionalFormatting sqref="G45:G53">
    <cfRule type="dataBar" priority="12">
      <dataBar>
        <cfvo type="min"/>
        <cfvo type="max"/>
        <color rgb="FF63C384"/>
      </dataBar>
      <extLst>
        <ext xmlns:x14="http://schemas.microsoft.com/office/spreadsheetml/2009/9/main" uri="{B025F937-C7B1-47D3-B67F-A62EFF666E3E}">
          <x14:id>{ADD19CCF-E818-42F8-BF99-60EF2D3A801A}</x14:id>
        </ext>
      </extLst>
    </cfRule>
  </conditionalFormatting>
  <conditionalFormatting sqref="H20:H24">
    <cfRule type="dataBar" priority="2">
      <dataBar>
        <cfvo type="min"/>
        <cfvo type="max"/>
        <color rgb="FF638EC6"/>
      </dataBar>
      <extLst>
        <ext xmlns:x14="http://schemas.microsoft.com/office/spreadsheetml/2009/9/main" uri="{B025F937-C7B1-47D3-B67F-A62EFF666E3E}">
          <x14:id>{FB1A4ECC-D3E1-4C53-9ADF-103FFC3A87EE}</x14:id>
        </ext>
      </extLst>
    </cfRule>
  </conditionalFormatting>
  <conditionalFormatting sqref="H26:H30">
    <cfRule type="dataBar" priority="1">
      <dataBar>
        <cfvo type="min"/>
        <cfvo type="max"/>
        <color rgb="FF638EC6"/>
      </dataBar>
      <extLst>
        <ext xmlns:x14="http://schemas.microsoft.com/office/spreadsheetml/2009/9/main" uri="{B025F937-C7B1-47D3-B67F-A62EFF666E3E}">
          <x14:id>{6EB89896-7685-489D-A212-BEDCDA6C1614}</x14:id>
        </ext>
      </extLst>
    </cfRule>
  </conditionalFormatting>
  <conditionalFormatting sqref="H45:H53">
    <cfRule type="dataBar" priority="15">
      <dataBar>
        <cfvo type="min"/>
        <cfvo type="max"/>
        <color rgb="FF63C384"/>
      </dataBar>
      <extLst>
        <ext xmlns:x14="http://schemas.microsoft.com/office/spreadsheetml/2009/9/main" uri="{B025F937-C7B1-47D3-B67F-A62EFF666E3E}">
          <x14:id>{595E424D-F3AE-4040-A937-2E859AA15AD2}</x14:id>
        </ext>
      </extLst>
    </cfRule>
  </conditionalFormatting>
  <conditionalFormatting sqref="I45:I53">
    <cfRule type="dataBar" priority="7">
      <dataBar>
        <cfvo type="min"/>
        <cfvo type="max"/>
        <color rgb="FF63C384"/>
      </dataBar>
      <extLst>
        <ext xmlns:x14="http://schemas.microsoft.com/office/spreadsheetml/2009/9/main" uri="{B025F937-C7B1-47D3-B67F-A62EFF666E3E}">
          <x14:id>{60823727-C433-4BFE-A422-F2DB16A0B39B}</x14:id>
        </ext>
      </extLst>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N46:S56"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C45:C53 D45:E45</xm:sqref>
        </x14:conditionalFormatting>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D45:D53</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D46:D53</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E45:E53</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E46:E53</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E54:E57 G54:G57 I54:I57</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F45:F53</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G45:G53</xm:sqref>
        </x14:conditionalFormatting>
        <x14:conditionalFormatting xmlns:xm="http://schemas.microsoft.com/office/excel/2006/main">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H20:H24</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H26:H30</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H45:H53</xm:sqref>
        </x14:conditionalFormatting>
        <x14:conditionalFormatting xmlns:xm="http://schemas.microsoft.com/office/excel/2006/main">
          <x14:cfRule type="dataBar" id="{60823727-C433-4BFE-A422-F2DB16A0B39B}">
            <x14:dataBar minLength="0" maxLength="100" border="1" negativeBarBorderColorSameAsPositive="0">
              <x14:cfvo type="autoMin"/>
              <x14:cfvo type="autoMax"/>
              <x14:borderColor rgb="FF63C384"/>
              <x14:negativeFillColor rgb="FFFF0000"/>
              <x14:negativeBorderColor rgb="FFFF0000"/>
              <x14:axisColor rgb="FF000000"/>
            </x14:dataBar>
          </x14:cfRule>
          <xm:sqref>I45:I53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B1:Y79"/>
  <sheetViews>
    <sheetView showGridLines="0" topLeftCell="G31" zoomScale="69" zoomScaleNormal="69" workbookViewId="0">
      <selection activeCell="G31" sqref="G31"/>
    </sheetView>
  </sheetViews>
  <sheetFormatPr defaultColWidth="11.42578125" defaultRowHeight="12.75"/>
  <cols>
    <col min="1" max="1" width="2.140625" customWidth="1"/>
    <col min="2" max="2" width="11" customWidth="1"/>
    <col min="3" max="3" width="42.42578125" customWidth="1"/>
    <col min="4" max="4" width="15.42578125" style="2" customWidth="1"/>
    <col min="5" max="9" width="15.42578125" customWidth="1"/>
    <col min="10" max="11" width="11.42578125" bestFit="1" customWidth="1"/>
    <col min="17" max="17" width="23.42578125" customWidth="1"/>
  </cols>
  <sheetData>
    <row r="1" spans="2:25" ht="7.5" customHeight="1"/>
    <row r="2" spans="2:25" ht="20.25">
      <c r="B2" s="1024" t="str">
        <f>"Regions "&amp;"("&amp;OP!$J$19&amp;")"</f>
        <v>Regions (2022)</v>
      </c>
      <c r="C2" s="1025"/>
      <c r="D2" s="1025"/>
      <c r="E2" s="1025"/>
      <c r="F2" s="1025"/>
      <c r="G2" s="1025"/>
      <c r="H2" s="1025"/>
      <c r="I2" s="1025"/>
      <c r="J2" s="1025"/>
      <c r="K2" s="1025"/>
      <c r="L2" s="1025"/>
      <c r="M2" s="1025"/>
      <c r="N2" s="1025"/>
      <c r="O2" s="1025"/>
      <c r="P2" s="1025"/>
      <c r="Q2" s="1020" t="s">
        <v>193</v>
      </c>
      <c r="R2" s="1021"/>
      <c r="S2" s="1021"/>
      <c r="T2" s="1021"/>
      <c r="U2" s="1021"/>
      <c r="V2" s="1021"/>
      <c r="W2" s="1021"/>
      <c r="X2" s="1021"/>
      <c r="Y2" s="1022"/>
    </row>
    <row r="3" spans="2:25" ht="18.75" thickBot="1">
      <c r="B3" s="188"/>
      <c r="C3" s="189"/>
      <c r="D3" s="1028" t="s">
        <v>194</v>
      </c>
      <c r="E3" s="1028"/>
      <c r="F3" s="1028"/>
      <c r="G3" s="1028"/>
      <c r="H3" s="1028"/>
      <c r="I3" s="1029"/>
      <c r="J3" s="164"/>
      <c r="K3" s="1023" t="s">
        <v>195</v>
      </c>
      <c r="L3" s="1023"/>
      <c r="M3" s="1023"/>
      <c r="N3" s="1023"/>
      <c r="O3" s="1023"/>
      <c r="P3" s="1023"/>
      <c r="Q3" s="615" t="s">
        <v>196</v>
      </c>
      <c r="Y3" s="182"/>
    </row>
    <row r="4" spans="2:25">
      <c r="B4" s="171" t="s">
        <v>197</v>
      </c>
      <c r="C4" s="172" t="s">
        <v>198</v>
      </c>
      <c r="D4" s="173">
        <f>OP!J19</f>
        <v>2022</v>
      </c>
      <c r="E4" s="173">
        <f>D4-1</f>
        <v>2021</v>
      </c>
      <c r="F4" s="173">
        <f>E4-1</f>
        <v>2020</v>
      </c>
      <c r="G4" s="173">
        <f>F4-1</f>
        <v>2019</v>
      </c>
      <c r="H4" s="173">
        <f>G4-1</f>
        <v>2018</v>
      </c>
      <c r="I4" s="173">
        <f>H4-1</f>
        <v>2017</v>
      </c>
      <c r="J4" s="165"/>
      <c r="K4" s="173">
        <f>OP!J19</f>
        <v>2022</v>
      </c>
      <c r="L4" s="173">
        <f t="shared" ref="L4:P4" si="0">K4-1</f>
        <v>2021</v>
      </c>
      <c r="M4" s="173">
        <f t="shared" si="0"/>
        <v>2020</v>
      </c>
      <c r="N4" s="173">
        <f t="shared" si="0"/>
        <v>2019</v>
      </c>
      <c r="O4" s="173">
        <f t="shared" si="0"/>
        <v>2018</v>
      </c>
      <c r="P4" s="190">
        <f t="shared" si="0"/>
        <v>2017</v>
      </c>
      <c r="Q4" s="155"/>
      <c r="Y4" s="182"/>
    </row>
    <row r="5" spans="2:25">
      <c r="B5" s="169">
        <f t="shared" ref="B5:B11" si="1">IFERROR(D5/$D$12,"")</f>
        <v>0.10841356215989954</v>
      </c>
      <c r="C5" s="170" t="s">
        <v>199</v>
      </c>
      <c r="D5" s="174">
        <v>259</v>
      </c>
      <c r="E5" s="174">
        <v>260</v>
      </c>
      <c r="F5" s="174">
        <v>229</v>
      </c>
      <c r="G5" s="174">
        <v>284</v>
      </c>
      <c r="H5" s="174">
        <v>272</v>
      </c>
      <c r="I5" s="174">
        <v>261</v>
      </c>
      <c r="J5" s="166"/>
      <c r="K5" s="344">
        <f t="shared" ref="K5:O9" si="2">(D5-E5)/E5</f>
        <v>-3.8461538461538464E-3</v>
      </c>
      <c r="L5" s="344">
        <f t="shared" si="2"/>
        <v>0.13537117903930132</v>
      </c>
      <c r="M5" s="344">
        <f t="shared" si="2"/>
        <v>-0.19366197183098591</v>
      </c>
      <c r="N5" s="344">
        <f t="shared" si="2"/>
        <v>4.4117647058823532E-2</v>
      </c>
      <c r="O5" s="344">
        <f t="shared" si="2"/>
        <v>4.2145593869731802E-2</v>
      </c>
      <c r="P5" s="673" t="s">
        <v>28</v>
      </c>
      <c r="Q5" s="155"/>
      <c r="Y5" s="182"/>
    </row>
    <row r="6" spans="2:25">
      <c r="B6" s="169">
        <f t="shared" si="1"/>
        <v>0.21557136877354541</v>
      </c>
      <c r="C6" s="170" t="s">
        <v>200</v>
      </c>
      <c r="D6" s="174">
        <v>515</v>
      </c>
      <c r="E6" s="174">
        <v>334</v>
      </c>
      <c r="F6" s="174">
        <v>311</v>
      </c>
      <c r="G6" s="174">
        <v>380</v>
      </c>
      <c r="H6" s="174">
        <v>407</v>
      </c>
      <c r="I6" s="174">
        <v>416</v>
      </c>
      <c r="J6" s="166"/>
      <c r="K6" s="344">
        <f t="shared" si="2"/>
        <v>0.54191616766467066</v>
      </c>
      <c r="L6" s="344">
        <f t="shared" si="2"/>
        <v>7.3954983922829579E-2</v>
      </c>
      <c r="M6" s="344">
        <f t="shared" si="2"/>
        <v>-0.18157894736842106</v>
      </c>
      <c r="N6" s="344">
        <f t="shared" si="2"/>
        <v>-6.6339066339066333E-2</v>
      </c>
      <c r="O6" s="344">
        <f t="shared" si="2"/>
        <v>-2.1634615384615384E-2</v>
      </c>
      <c r="P6" s="673" t="s">
        <v>28</v>
      </c>
      <c r="Q6" s="155"/>
      <c r="Y6" s="182"/>
    </row>
    <row r="7" spans="2:25">
      <c r="B7" s="169">
        <f t="shared" si="1"/>
        <v>0.20468815403934701</v>
      </c>
      <c r="C7" s="170" t="s">
        <v>201</v>
      </c>
      <c r="D7" s="174">
        <v>489</v>
      </c>
      <c r="E7" s="174">
        <v>327</v>
      </c>
      <c r="F7" s="174">
        <v>235</v>
      </c>
      <c r="G7" s="174">
        <v>267</v>
      </c>
      <c r="H7" s="174">
        <v>246</v>
      </c>
      <c r="I7" s="174">
        <v>289</v>
      </c>
      <c r="J7" s="166"/>
      <c r="K7" s="344">
        <f t="shared" si="2"/>
        <v>0.49541284403669728</v>
      </c>
      <c r="L7" s="344">
        <f t="shared" si="2"/>
        <v>0.39148936170212767</v>
      </c>
      <c r="M7" s="344">
        <f t="shared" si="2"/>
        <v>-0.1198501872659176</v>
      </c>
      <c r="N7" s="344">
        <f t="shared" si="2"/>
        <v>8.5365853658536592E-2</v>
      </c>
      <c r="O7" s="344">
        <f t="shared" si="2"/>
        <v>-0.14878892733564014</v>
      </c>
      <c r="P7" s="673" t="s">
        <v>28</v>
      </c>
      <c r="Q7" s="155"/>
      <c r="Y7" s="182"/>
    </row>
    <row r="8" spans="2:25">
      <c r="B8" s="169">
        <f t="shared" si="1"/>
        <v>0.39849309334449562</v>
      </c>
      <c r="C8" s="170" t="s">
        <v>202</v>
      </c>
      <c r="D8" s="174">
        <v>952</v>
      </c>
      <c r="E8" s="174">
        <v>762</v>
      </c>
      <c r="F8" s="174">
        <v>871</v>
      </c>
      <c r="G8" s="174">
        <v>832</v>
      </c>
      <c r="H8" s="174">
        <v>763</v>
      </c>
      <c r="I8" s="174">
        <v>824</v>
      </c>
      <c r="J8" s="166"/>
      <c r="K8" s="344">
        <f t="shared" si="2"/>
        <v>0.24934383202099739</v>
      </c>
      <c r="L8" s="344">
        <f t="shared" si="2"/>
        <v>-0.12514351320321471</v>
      </c>
      <c r="M8" s="344">
        <f t="shared" si="2"/>
        <v>4.6875E-2</v>
      </c>
      <c r="N8" s="344">
        <f t="shared" si="2"/>
        <v>9.0432503276539969E-2</v>
      </c>
      <c r="O8" s="344">
        <f t="shared" si="2"/>
        <v>-7.4029126213592228E-2</v>
      </c>
      <c r="P8" s="673" t="s">
        <v>28</v>
      </c>
      <c r="Q8" s="155"/>
      <c r="Y8" s="182"/>
    </row>
    <row r="9" spans="2:25">
      <c r="B9" s="169">
        <f t="shared" si="1"/>
        <v>3.7254081205525327E-2</v>
      </c>
      <c r="C9" s="170" t="s">
        <v>203</v>
      </c>
      <c r="D9" s="174">
        <v>89</v>
      </c>
      <c r="E9" s="174">
        <v>68</v>
      </c>
      <c r="F9" s="174">
        <v>37</v>
      </c>
      <c r="G9" s="174">
        <v>74</v>
      </c>
      <c r="H9" s="174">
        <v>50</v>
      </c>
      <c r="I9" s="174">
        <v>63</v>
      </c>
      <c r="J9" s="166"/>
      <c r="K9" s="344">
        <f t="shared" si="2"/>
        <v>0.30882352941176472</v>
      </c>
      <c r="L9" s="344">
        <f t="shared" si="2"/>
        <v>0.83783783783783783</v>
      </c>
      <c r="M9" s="344">
        <f t="shared" si="2"/>
        <v>-0.5</v>
      </c>
      <c r="N9" s="344">
        <f t="shared" si="2"/>
        <v>0.48</v>
      </c>
      <c r="O9" s="344">
        <f t="shared" si="2"/>
        <v>-0.20634920634920634</v>
      </c>
      <c r="P9" s="673" t="s">
        <v>28</v>
      </c>
      <c r="Q9" s="155"/>
      <c r="Y9" s="182"/>
    </row>
    <row r="10" spans="2:25" ht="13.5" thickBot="1">
      <c r="B10" s="160">
        <f t="shared" si="1"/>
        <v>3.5579740477187108E-2</v>
      </c>
      <c r="C10" s="158" t="s">
        <v>204</v>
      </c>
      <c r="D10" s="163">
        <v>85</v>
      </c>
      <c r="E10" s="163">
        <v>1</v>
      </c>
      <c r="F10" s="163">
        <v>0</v>
      </c>
      <c r="G10" s="163">
        <v>0</v>
      </c>
      <c r="H10" s="163">
        <v>0</v>
      </c>
      <c r="I10" s="163">
        <v>0</v>
      </c>
      <c r="J10" s="166"/>
      <c r="K10" s="727">
        <v>84</v>
      </c>
      <c r="L10" s="673" t="s">
        <v>28</v>
      </c>
      <c r="M10" s="673" t="s">
        <v>28</v>
      </c>
      <c r="N10" s="673" t="s">
        <v>28</v>
      </c>
      <c r="O10" s="673" t="s">
        <v>28</v>
      </c>
      <c r="P10" s="673" t="s">
        <v>28</v>
      </c>
      <c r="Q10" s="155"/>
      <c r="Y10" s="182"/>
    </row>
    <row r="11" spans="2:25" hidden="1">
      <c r="B11" s="160">
        <f t="shared" si="1"/>
        <v>0</v>
      </c>
      <c r="C11" s="158"/>
      <c r="D11" s="163"/>
      <c r="E11" s="163"/>
      <c r="F11" s="163"/>
      <c r="G11" s="163"/>
      <c r="H11" s="163"/>
      <c r="I11" s="163"/>
      <c r="J11" s="166"/>
      <c r="K11" s="163"/>
      <c r="L11" s="163"/>
      <c r="M11" s="163"/>
      <c r="N11" s="163"/>
      <c r="O11" s="163"/>
      <c r="P11" s="191"/>
      <c r="Q11" s="155"/>
      <c r="Y11" s="182"/>
    </row>
    <row r="12" spans="2:25" ht="13.5" thickBot="1">
      <c r="B12" s="162">
        <f>SUM(B5:B11)</f>
        <v>1</v>
      </c>
      <c r="C12" s="176" t="s">
        <v>205</v>
      </c>
      <c r="D12" s="159">
        <f t="shared" ref="D12:I12" si="3">SUM(D5:D11)</f>
        <v>2389</v>
      </c>
      <c r="E12" s="159">
        <f t="shared" si="3"/>
        <v>1752</v>
      </c>
      <c r="F12" s="159">
        <f t="shared" si="3"/>
        <v>1683</v>
      </c>
      <c r="G12" s="159">
        <f t="shared" si="3"/>
        <v>1837</v>
      </c>
      <c r="H12" s="159">
        <f t="shared" si="3"/>
        <v>1738</v>
      </c>
      <c r="I12" s="159">
        <f t="shared" si="3"/>
        <v>1853</v>
      </c>
      <c r="J12" s="167"/>
      <c r="K12" s="346">
        <f>(D12-E12)/E12</f>
        <v>0.36358447488584472</v>
      </c>
      <c r="L12" s="346">
        <f>(E12-F12)/F12</f>
        <v>4.0998217468805706E-2</v>
      </c>
      <c r="M12" s="346">
        <f>(F12-G12)/G12</f>
        <v>-8.3832335329341312E-2</v>
      </c>
      <c r="N12" s="346">
        <f t="shared" ref="N12:O12" si="4">(G12-H12)/H12</f>
        <v>5.6962025316455694E-2</v>
      </c>
      <c r="O12" s="346">
        <f t="shared" si="4"/>
        <v>-6.2061521856449003E-2</v>
      </c>
      <c r="P12" s="346" t="s">
        <v>28</v>
      </c>
      <c r="Q12" s="155"/>
      <c r="Y12" s="182"/>
    </row>
    <row r="13" spans="2:25">
      <c r="B13" s="186"/>
      <c r="C13" s="6"/>
      <c r="D13" s="15"/>
      <c r="E13" s="15"/>
      <c r="F13" s="15"/>
      <c r="G13" s="15"/>
      <c r="H13" s="15"/>
      <c r="I13" s="15"/>
      <c r="J13" s="15"/>
      <c r="K13" s="15"/>
      <c r="L13" s="15"/>
      <c r="M13" s="15"/>
      <c r="N13" s="15"/>
      <c r="O13" s="15"/>
      <c r="P13" s="15"/>
      <c r="Q13" s="155"/>
      <c r="Y13" s="182"/>
    </row>
    <row r="14" spans="2:25" ht="21.6" customHeight="1">
      <c r="B14" s="1024" t="str">
        <f>"Categories "&amp;"("&amp;OP!$J$19&amp;")"</f>
        <v>Categories (2022)</v>
      </c>
      <c r="C14" s="1025"/>
      <c r="D14" s="1025"/>
      <c r="E14" s="1025"/>
      <c r="F14" s="1025"/>
      <c r="G14" s="1025"/>
      <c r="H14" s="1025"/>
      <c r="I14" s="1025"/>
      <c r="J14" s="1025"/>
      <c r="K14" s="1025"/>
      <c r="L14" s="1025"/>
      <c r="M14" s="1025"/>
      <c r="N14" s="1025"/>
      <c r="O14" s="1025"/>
      <c r="P14" s="1025"/>
      <c r="Q14" s="1030"/>
      <c r="R14" s="1031"/>
      <c r="S14" s="1031"/>
      <c r="Y14" s="182"/>
    </row>
    <row r="15" spans="2:25" ht="21.6" customHeight="1">
      <c r="B15" s="188"/>
      <c r="C15" s="189"/>
      <c r="D15" s="963" t="s">
        <v>194</v>
      </c>
      <c r="E15" s="964"/>
      <c r="F15" s="964"/>
      <c r="G15" s="964"/>
      <c r="H15" s="964"/>
      <c r="I15" s="965"/>
      <c r="J15" s="164"/>
      <c r="K15" s="1026" t="s">
        <v>195</v>
      </c>
      <c r="L15" s="1027"/>
      <c r="M15" s="1027"/>
      <c r="N15" s="1027"/>
      <c r="O15" s="1027"/>
      <c r="P15" s="1027"/>
      <c r="Q15" s="1030"/>
      <c r="R15" s="1031"/>
      <c r="S15" s="1031"/>
      <c r="Y15" s="182"/>
    </row>
    <row r="16" spans="2:25" ht="13.35" customHeight="1">
      <c r="B16" s="187" t="s">
        <v>197</v>
      </c>
      <c r="C16" s="154" t="s">
        <v>206</v>
      </c>
      <c r="D16" s="161">
        <f>OP!J19</f>
        <v>2022</v>
      </c>
      <c r="E16" s="161">
        <f>D16-1</f>
        <v>2021</v>
      </c>
      <c r="F16" s="161">
        <f>E16-1</f>
        <v>2020</v>
      </c>
      <c r="G16" s="161">
        <f>F16-1</f>
        <v>2019</v>
      </c>
      <c r="H16" s="161">
        <f>G16-1</f>
        <v>2018</v>
      </c>
      <c r="I16" s="161">
        <f>H16-1</f>
        <v>2017</v>
      </c>
      <c r="J16" s="165"/>
      <c r="K16" s="168">
        <f>OP!J19</f>
        <v>2022</v>
      </c>
      <c r="L16" s="168">
        <f t="shared" ref="L16:P16" si="5">K16-1</f>
        <v>2021</v>
      </c>
      <c r="M16" s="168">
        <f t="shared" si="5"/>
        <v>2020</v>
      </c>
      <c r="N16" s="168">
        <f t="shared" si="5"/>
        <v>2019</v>
      </c>
      <c r="O16" s="168">
        <f t="shared" si="5"/>
        <v>2018</v>
      </c>
      <c r="P16" s="192">
        <f t="shared" si="5"/>
        <v>2017</v>
      </c>
      <c r="Q16" s="155"/>
      <c r="Y16" s="182"/>
    </row>
    <row r="17" spans="2:25">
      <c r="B17" s="169">
        <f>IFERROR(D17/$D$22,"")</f>
        <v>0.86334645135025101</v>
      </c>
      <c r="C17" s="157" t="s">
        <v>207</v>
      </c>
      <c r="D17" s="343">
        <v>12724</v>
      </c>
      <c r="E17" s="343">
        <v>12434</v>
      </c>
      <c r="F17" s="343">
        <v>11674</v>
      </c>
      <c r="G17" s="343">
        <v>11078</v>
      </c>
      <c r="H17" s="343">
        <v>11527</v>
      </c>
      <c r="I17" s="343">
        <v>10862</v>
      </c>
      <c r="J17" s="166"/>
      <c r="K17" s="347">
        <f>(D17-E17)/E17</f>
        <v>2.3323146211999355E-2</v>
      </c>
      <c r="L17" s="347">
        <f t="shared" ref="L17:O22" si="6">(E17-F17)/F17</f>
        <v>6.5101935925989382E-2</v>
      </c>
      <c r="M17" s="347">
        <f t="shared" si="6"/>
        <v>5.3800324968405852E-2</v>
      </c>
      <c r="N17" s="347">
        <f t="shared" si="6"/>
        <v>-3.8952025678840985E-2</v>
      </c>
      <c r="O17" s="347">
        <f t="shared" si="6"/>
        <v>6.1222610937212298E-2</v>
      </c>
      <c r="P17" s="347" t="s">
        <v>28</v>
      </c>
      <c r="Q17" s="155"/>
      <c r="Y17" s="182"/>
    </row>
    <row r="18" spans="2:25">
      <c r="B18" s="169">
        <f>IFERROR(D18/$D$22,"")</f>
        <v>2.1848283349165422E-2</v>
      </c>
      <c r="C18" s="158" t="s">
        <v>208</v>
      </c>
      <c r="D18" s="343">
        <v>322</v>
      </c>
      <c r="E18" s="343">
        <v>322</v>
      </c>
      <c r="F18" s="343">
        <v>11</v>
      </c>
      <c r="G18" s="343">
        <v>0</v>
      </c>
      <c r="H18" s="343">
        <v>0</v>
      </c>
      <c r="I18" s="343">
        <v>0</v>
      </c>
      <c r="J18" s="166"/>
      <c r="K18" s="348">
        <f t="shared" ref="K18:K21" si="7">(D18-E18)/E18</f>
        <v>0</v>
      </c>
      <c r="L18" s="348">
        <f>(E18-F18)/F18</f>
        <v>28.272727272727273</v>
      </c>
      <c r="M18" s="348" t="s">
        <v>28</v>
      </c>
      <c r="N18" s="348" t="s">
        <v>28</v>
      </c>
      <c r="O18" s="348" t="s">
        <v>28</v>
      </c>
      <c r="P18" s="348" t="s">
        <v>28</v>
      </c>
      <c r="Q18" s="155"/>
      <c r="Y18" s="182"/>
    </row>
    <row r="19" spans="2:25" ht="13.5" thickBot="1">
      <c r="B19" s="169">
        <f t="shared" ref="B19:B21" si="8">IFERROR(D19/$D$22,"")</f>
        <v>0.11480526530058352</v>
      </c>
      <c r="C19" s="158" t="s">
        <v>209</v>
      </c>
      <c r="D19" s="343">
        <v>1692</v>
      </c>
      <c r="E19" s="343">
        <v>824</v>
      </c>
      <c r="F19" s="343">
        <v>484</v>
      </c>
      <c r="G19" s="343">
        <v>284</v>
      </c>
      <c r="H19" s="343">
        <v>145</v>
      </c>
      <c r="I19" s="343">
        <v>145</v>
      </c>
      <c r="J19" s="166"/>
      <c r="K19" s="348">
        <f t="shared" si="7"/>
        <v>1.0533980582524272</v>
      </c>
      <c r="L19" s="348">
        <f t="shared" si="6"/>
        <v>0.7024793388429752</v>
      </c>
      <c r="M19" s="348">
        <f t="shared" si="6"/>
        <v>0.70422535211267601</v>
      </c>
      <c r="N19" s="348">
        <f t="shared" si="6"/>
        <v>0.95862068965517244</v>
      </c>
      <c r="O19" s="348">
        <f t="shared" si="6"/>
        <v>0</v>
      </c>
      <c r="P19" s="348" t="s">
        <v>28</v>
      </c>
      <c r="Q19" s="155"/>
      <c r="Y19" s="182"/>
    </row>
    <row r="20" spans="2:25" ht="13.5" hidden="1" thickBot="1">
      <c r="B20" s="169">
        <f>IFERROR(D20/$D$22,"")</f>
        <v>0</v>
      </c>
      <c r="C20" s="158"/>
      <c r="D20" s="343"/>
      <c r="E20" s="343"/>
      <c r="F20" s="343"/>
      <c r="G20" s="343"/>
      <c r="H20" s="343"/>
      <c r="I20" s="343"/>
      <c r="J20" s="166"/>
      <c r="K20" s="348" t="e">
        <f t="shared" si="7"/>
        <v>#DIV/0!</v>
      </c>
      <c r="L20" s="348" t="e">
        <f t="shared" si="6"/>
        <v>#DIV/0!</v>
      </c>
      <c r="M20" s="348" t="e">
        <f t="shared" si="6"/>
        <v>#DIV/0!</v>
      </c>
      <c r="N20" s="348" t="e">
        <f t="shared" si="6"/>
        <v>#DIV/0!</v>
      </c>
      <c r="O20" s="348" t="e">
        <f t="shared" si="6"/>
        <v>#DIV/0!</v>
      </c>
      <c r="P20" s="348"/>
      <c r="Q20" s="155"/>
      <c r="Y20" s="182"/>
    </row>
    <row r="21" spans="2:25" hidden="1">
      <c r="B21" s="169">
        <f t="shared" si="8"/>
        <v>0</v>
      </c>
      <c r="C21" s="175"/>
      <c r="D21" s="343"/>
      <c r="E21" s="343"/>
      <c r="F21" s="343"/>
      <c r="G21" s="343"/>
      <c r="H21" s="343"/>
      <c r="I21" s="343"/>
      <c r="J21" s="166"/>
      <c r="K21" s="349" t="e">
        <f t="shared" si="7"/>
        <v>#DIV/0!</v>
      </c>
      <c r="L21" s="349" t="e">
        <f t="shared" si="6"/>
        <v>#DIV/0!</v>
      </c>
      <c r="M21" s="349" t="e">
        <f t="shared" si="6"/>
        <v>#DIV/0!</v>
      </c>
      <c r="N21" s="349" t="e">
        <f t="shared" si="6"/>
        <v>#DIV/0!</v>
      </c>
      <c r="O21" s="349" t="e">
        <f t="shared" si="6"/>
        <v>#DIV/0!</v>
      </c>
      <c r="P21" s="349"/>
      <c r="Q21" s="155"/>
      <c r="Y21" s="182"/>
    </row>
    <row r="22" spans="2:25" ht="13.5" thickBot="1">
      <c r="B22" s="162">
        <f>SUM(B17:B21)</f>
        <v>1</v>
      </c>
      <c r="C22" s="176" t="s">
        <v>205</v>
      </c>
      <c r="D22" s="159">
        <f>SUM(D17:D21)</f>
        <v>14738</v>
      </c>
      <c r="E22" s="159">
        <f t="shared" ref="E22:I22" si="9">SUM(E17:E21)</f>
        <v>13580</v>
      </c>
      <c r="F22" s="159">
        <f t="shared" si="9"/>
        <v>12169</v>
      </c>
      <c r="G22" s="159">
        <f t="shared" si="9"/>
        <v>11362</v>
      </c>
      <c r="H22" s="159">
        <f t="shared" si="9"/>
        <v>11672</v>
      </c>
      <c r="I22" s="159">
        <f t="shared" si="9"/>
        <v>11007</v>
      </c>
      <c r="J22" s="167"/>
      <c r="K22" s="345">
        <f>(D22-E22)/E22</f>
        <v>8.5272459499263625E-2</v>
      </c>
      <c r="L22" s="346">
        <f t="shared" si="6"/>
        <v>0.11595036568329362</v>
      </c>
      <c r="M22" s="346">
        <f t="shared" ref="M22" si="10">(F22-G22)/G22</f>
        <v>7.1026227776799858E-2</v>
      </c>
      <c r="N22" s="346">
        <f t="shared" ref="N22" si="11">(G22-H22)/H22</f>
        <v>-2.6559287183002055E-2</v>
      </c>
      <c r="O22" s="346">
        <f t="shared" ref="O22" si="12">(H22-I22)/I22</f>
        <v>6.0416098846188787E-2</v>
      </c>
      <c r="P22" s="346" t="s">
        <v>28</v>
      </c>
      <c r="Q22" s="155"/>
      <c r="R22" s="116"/>
      <c r="Y22" s="182"/>
    </row>
    <row r="23" spans="2:25" ht="13.5" thickBot="1">
      <c r="C23" s="14"/>
      <c r="D23" s="15"/>
      <c r="E23" s="16"/>
      <c r="F23" s="15"/>
      <c r="G23" s="16"/>
      <c r="H23" s="15"/>
      <c r="I23" s="16"/>
      <c r="J23" s="42"/>
      <c r="Q23" s="155"/>
      <c r="Y23" s="182"/>
    </row>
    <row r="24" spans="2:25" ht="20.25">
      <c r="B24" s="963" t="s">
        <v>78</v>
      </c>
      <c r="C24" s="965"/>
      <c r="D24" s="963" t="s">
        <v>210</v>
      </c>
      <c r="E24" s="964"/>
      <c r="F24" s="964"/>
      <c r="G24" s="964"/>
      <c r="H24" s="964"/>
      <c r="I24" s="1008" t="s">
        <v>211</v>
      </c>
      <c r="J24" s="1009"/>
      <c r="K24" s="1009"/>
      <c r="L24" s="1009"/>
      <c r="M24" s="1009"/>
      <c r="N24" s="1009"/>
      <c r="O24" s="1009"/>
      <c r="P24" s="1009"/>
      <c r="Q24" s="155"/>
      <c r="Y24" s="182"/>
    </row>
    <row r="25" spans="2:25" ht="67.5" customHeight="1">
      <c r="B25" s="1004" t="s">
        <v>212</v>
      </c>
      <c r="C25" s="1005"/>
      <c r="D25" s="1002" t="s">
        <v>213</v>
      </c>
      <c r="E25" s="993"/>
      <c r="F25" s="993"/>
      <c r="G25" s="993"/>
      <c r="H25" s="993"/>
      <c r="I25" s="1002" t="s">
        <v>214</v>
      </c>
      <c r="J25" s="993"/>
      <c r="K25" s="993"/>
      <c r="L25" s="993"/>
      <c r="M25" s="993"/>
      <c r="Q25" s="155"/>
      <c r="Y25" s="182"/>
    </row>
    <row r="26" spans="2:25" ht="69" customHeight="1">
      <c r="B26" s="1004" t="s">
        <v>215</v>
      </c>
      <c r="C26" s="1005"/>
      <c r="D26" s="1002" t="s">
        <v>216</v>
      </c>
      <c r="E26" s="993"/>
      <c r="F26" s="993"/>
      <c r="G26" s="993"/>
      <c r="H26" s="1003"/>
      <c r="I26" s="155"/>
      <c r="Q26" s="155"/>
      <c r="S26" s="593"/>
      <c r="Y26" s="182"/>
    </row>
    <row r="27" spans="2:25" ht="67.5" customHeight="1" thickBot="1">
      <c r="B27" s="1004" t="s">
        <v>217</v>
      </c>
      <c r="C27" s="1005"/>
      <c r="D27" s="992" t="s">
        <v>218</v>
      </c>
      <c r="E27" s="993"/>
      <c r="F27" s="993"/>
      <c r="G27" s="993"/>
      <c r="H27" s="993"/>
      <c r="I27" s="155"/>
      <c r="Q27" s="155"/>
      <c r="Y27" s="182"/>
    </row>
    <row r="28" spans="2:25" ht="30.6" hidden="1" customHeight="1">
      <c r="B28" s="1004"/>
      <c r="C28" s="1005"/>
      <c r="D28" s="992"/>
      <c r="E28" s="993"/>
      <c r="F28" s="993"/>
      <c r="G28" s="993"/>
      <c r="H28" s="993"/>
      <c r="I28" s="155"/>
      <c r="Q28" s="155"/>
      <c r="Y28" s="182"/>
    </row>
    <row r="29" spans="2:25" ht="0.75" customHeight="1" thickBot="1">
      <c r="B29" s="1004"/>
      <c r="C29" s="1005"/>
      <c r="D29" s="992"/>
      <c r="E29" s="993"/>
      <c r="F29" s="993"/>
      <c r="G29" s="993"/>
      <c r="H29" s="993"/>
      <c r="I29" s="155"/>
      <c r="Q29" s="155"/>
      <c r="Y29" s="182"/>
    </row>
    <row r="30" spans="2:25" ht="28.35" hidden="1" customHeight="1">
      <c r="B30" s="1004"/>
      <c r="C30" s="1005"/>
      <c r="D30" s="994"/>
      <c r="E30" s="995"/>
      <c r="F30" s="995"/>
      <c r="G30" s="995"/>
      <c r="H30" s="995"/>
      <c r="I30" s="155"/>
      <c r="Q30" s="155"/>
      <c r="Y30" s="182"/>
    </row>
    <row r="31" spans="2:25" ht="56.25" customHeight="1" thickBot="1">
      <c r="I31" s="156"/>
      <c r="J31" s="183"/>
      <c r="K31" s="183"/>
      <c r="L31" s="183"/>
      <c r="M31" s="183"/>
      <c r="N31" s="183"/>
      <c r="O31" s="183"/>
      <c r="P31" s="183"/>
      <c r="Q31" s="156"/>
      <c r="R31" s="183"/>
      <c r="S31" s="183"/>
      <c r="T31" s="183"/>
      <c r="U31" s="183"/>
      <c r="V31" s="183"/>
      <c r="W31" s="183"/>
      <c r="X31" s="183"/>
      <c r="Y31" s="185"/>
    </row>
    <row r="32" spans="2:25" ht="21" thickBot="1">
      <c r="B32" s="963" t="s">
        <v>219</v>
      </c>
      <c r="C32" s="964"/>
      <c r="D32" s="964"/>
      <c r="E32" s="964"/>
      <c r="F32" s="964"/>
      <c r="G32" s="964"/>
      <c r="H32" s="964"/>
      <c r="I32" s="965"/>
      <c r="J32" s="1017" t="s">
        <v>220</v>
      </c>
      <c r="K32" s="1018"/>
      <c r="L32" s="1018"/>
      <c r="M32" s="1018"/>
      <c r="N32" s="1018"/>
      <c r="O32" s="1018"/>
      <c r="P32" s="1018"/>
      <c r="Q32" s="1019"/>
    </row>
    <row r="33" spans="2:21">
      <c r="B33" s="966" t="s">
        <v>221</v>
      </c>
      <c r="C33" s="967"/>
      <c r="D33" s="966" t="s">
        <v>210</v>
      </c>
      <c r="E33" s="971"/>
      <c r="F33" s="971"/>
      <c r="G33" s="971"/>
      <c r="H33" s="971"/>
      <c r="I33" s="967"/>
      <c r="J33" s="177"/>
      <c r="K33" s="180"/>
      <c r="L33" s="180"/>
      <c r="M33" s="180"/>
      <c r="N33" s="180"/>
      <c r="O33" s="180"/>
      <c r="P33" s="180"/>
      <c r="Q33" s="181"/>
    </row>
    <row r="34" spans="2:21" ht="57" customHeight="1">
      <c r="B34" s="1010" t="s">
        <v>222</v>
      </c>
      <c r="C34" s="1011"/>
      <c r="D34" s="996"/>
      <c r="E34" s="997"/>
      <c r="F34" s="997"/>
      <c r="G34" s="997"/>
      <c r="H34" s="997"/>
      <c r="I34" s="998"/>
      <c r="J34" s="155"/>
      <c r="Q34" s="182"/>
    </row>
    <row r="35" spans="2:21" ht="62.25" customHeight="1">
      <c r="B35" s="1015" t="s">
        <v>223</v>
      </c>
      <c r="C35" s="1016"/>
      <c r="D35" s="1012"/>
      <c r="E35" s="1013"/>
      <c r="F35" s="1013"/>
      <c r="G35" s="1013"/>
      <c r="H35" s="1013"/>
      <c r="I35" s="1014"/>
      <c r="J35" s="155"/>
      <c r="Q35" s="182"/>
    </row>
    <row r="36" spans="2:21" ht="67.5" customHeight="1">
      <c r="B36" s="1006" t="s">
        <v>224</v>
      </c>
      <c r="C36" s="1007"/>
      <c r="D36" s="999"/>
      <c r="E36" s="1000"/>
      <c r="F36" s="1000"/>
      <c r="G36" s="1000"/>
      <c r="H36" s="1000"/>
      <c r="I36" s="1001"/>
      <c r="J36" s="155"/>
      <c r="Q36" s="182"/>
    </row>
    <row r="37" spans="2:21">
      <c r="B37" s="966" t="s">
        <v>225</v>
      </c>
      <c r="C37" s="971"/>
      <c r="D37" s="971"/>
      <c r="E37" s="971"/>
      <c r="F37" s="971"/>
      <c r="G37" s="971"/>
      <c r="H37" s="971"/>
      <c r="I37" s="967"/>
      <c r="J37" s="155"/>
      <c r="Q37" s="182"/>
    </row>
    <row r="38" spans="2:21" ht="13.5" customHeight="1">
      <c r="B38" s="972" t="s">
        <v>226</v>
      </c>
      <c r="C38" s="973"/>
      <c r="D38" s="968" t="s">
        <v>227</v>
      </c>
      <c r="E38" s="969"/>
      <c r="F38" s="970"/>
      <c r="G38" s="968" t="s">
        <v>228</v>
      </c>
      <c r="H38" s="969"/>
      <c r="I38" s="970"/>
      <c r="J38" s="155"/>
      <c r="Q38" s="182"/>
      <c r="T38" s="11"/>
      <c r="U38" s="11"/>
    </row>
    <row r="39" spans="2:21">
      <c r="B39" s="974" t="s">
        <v>229</v>
      </c>
      <c r="C39" s="975"/>
      <c r="D39" s="989" t="s">
        <v>230</v>
      </c>
      <c r="E39" s="990"/>
      <c r="F39" s="991"/>
      <c r="G39" s="976" t="s">
        <v>231</v>
      </c>
      <c r="H39" s="977"/>
      <c r="I39" s="978"/>
      <c r="J39" s="155"/>
      <c r="Q39" s="182"/>
      <c r="T39" s="11"/>
      <c r="U39" s="11"/>
    </row>
    <row r="40" spans="2:21">
      <c r="B40" s="985" t="s">
        <v>232</v>
      </c>
      <c r="C40" s="975"/>
      <c r="D40" s="989" t="s">
        <v>233</v>
      </c>
      <c r="E40" s="990"/>
      <c r="F40" s="991"/>
      <c r="G40" s="976" t="s">
        <v>234</v>
      </c>
      <c r="H40" s="977"/>
      <c r="I40" s="978"/>
      <c r="J40" s="155"/>
      <c r="Q40" s="182"/>
      <c r="T40" s="11"/>
      <c r="U40" s="11"/>
    </row>
    <row r="41" spans="2:21">
      <c r="B41" s="717"/>
      <c r="C41" s="718" t="s">
        <v>235</v>
      </c>
      <c r="D41" s="730"/>
      <c r="E41" s="731" t="s">
        <v>236</v>
      </c>
      <c r="F41" s="732"/>
      <c r="G41" s="733"/>
      <c r="H41" s="734" t="s">
        <v>237</v>
      </c>
      <c r="I41" s="735"/>
      <c r="J41" s="155"/>
      <c r="Q41" s="182"/>
      <c r="T41" s="11"/>
      <c r="U41" s="11"/>
    </row>
    <row r="42" spans="2:21" ht="13.5" thickBot="1">
      <c r="B42" s="974" t="s">
        <v>238</v>
      </c>
      <c r="C42" s="975"/>
      <c r="D42" s="989" t="s">
        <v>239</v>
      </c>
      <c r="E42" s="990"/>
      <c r="F42" s="991"/>
      <c r="G42" s="986"/>
      <c r="H42" s="987"/>
      <c r="I42" s="988"/>
      <c r="J42" s="155"/>
      <c r="Q42" s="182"/>
      <c r="T42" s="11"/>
      <c r="U42" s="11"/>
    </row>
    <row r="43" spans="2:21" hidden="1">
      <c r="B43" s="974"/>
      <c r="C43" s="975"/>
      <c r="D43" s="979"/>
      <c r="E43" s="980"/>
      <c r="F43" s="981"/>
      <c r="G43" s="982"/>
      <c r="H43" s="983"/>
      <c r="I43" s="984"/>
      <c r="J43" s="155"/>
      <c r="Q43" s="182"/>
      <c r="T43" s="11"/>
      <c r="U43" s="11"/>
    </row>
    <row r="44" spans="2:21" ht="21" thickBot="1">
      <c r="B44" s="963" t="s">
        <v>240</v>
      </c>
      <c r="C44" s="964"/>
      <c r="D44" s="964"/>
      <c r="E44" s="964"/>
      <c r="F44" s="964"/>
      <c r="G44" s="964"/>
      <c r="H44" s="964"/>
      <c r="I44" s="965"/>
      <c r="J44" s="155"/>
      <c r="Q44" s="182"/>
      <c r="T44" s="11"/>
      <c r="U44" s="11"/>
    </row>
    <row r="45" spans="2:21">
      <c r="B45" s="350"/>
      <c r="C45" s="178"/>
      <c r="D45" s="179"/>
      <c r="E45" s="180"/>
      <c r="F45" s="180"/>
      <c r="G45" s="180"/>
      <c r="H45" s="180"/>
      <c r="I45" s="181"/>
      <c r="J45" s="155"/>
      <c r="Q45" s="182"/>
      <c r="T45" s="11"/>
      <c r="U45" s="11"/>
    </row>
    <row r="46" spans="2:21">
      <c r="B46" s="674"/>
      <c r="I46" s="182"/>
      <c r="J46" s="155"/>
      <c r="Q46" s="182"/>
      <c r="T46" s="11"/>
      <c r="U46" s="11"/>
    </row>
    <row r="47" spans="2:21" ht="12.75" customHeight="1">
      <c r="B47" s="675"/>
      <c r="C47" s="600"/>
      <c r="D47" s="600"/>
      <c r="E47" s="600"/>
      <c r="F47" s="600"/>
      <c r="G47" s="600"/>
      <c r="H47" s="600"/>
      <c r="I47" s="676"/>
      <c r="J47" s="155"/>
      <c r="Q47" s="182"/>
      <c r="T47" s="11"/>
      <c r="U47" s="11"/>
    </row>
    <row r="48" spans="2:21" ht="12.75" customHeight="1">
      <c r="B48" s="675"/>
      <c r="C48" s="600"/>
      <c r="D48" s="600"/>
      <c r="E48" s="600"/>
      <c r="F48" s="600"/>
      <c r="G48" s="600"/>
      <c r="H48" s="600"/>
      <c r="I48" s="676"/>
      <c r="J48" s="155"/>
      <c r="Q48" s="182"/>
      <c r="T48" s="11"/>
      <c r="U48" s="11"/>
    </row>
    <row r="49" spans="2:21">
      <c r="B49" s="677"/>
      <c r="C49" s="600"/>
      <c r="D49" s="600"/>
      <c r="E49" s="600"/>
      <c r="F49" s="600"/>
      <c r="G49" s="600"/>
      <c r="H49" s="600"/>
      <c r="I49" s="676"/>
      <c r="J49" s="155"/>
      <c r="Q49" s="182"/>
      <c r="T49" s="11"/>
      <c r="U49" s="11"/>
    </row>
    <row r="50" spans="2:21">
      <c r="B50" s="677"/>
      <c r="C50" s="600"/>
      <c r="D50" s="600"/>
      <c r="E50" s="600"/>
      <c r="F50" s="600"/>
      <c r="G50" s="600"/>
      <c r="H50" s="600"/>
      <c r="I50" s="676"/>
      <c r="J50" s="155"/>
      <c r="Q50" s="182"/>
      <c r="T50" s="11"/>
      <c r="U50" s="11"/>
    </row>
    <row r="51" spans="2:21">
      <c r="B51" s="677"/>
      <c r="C51" s="679"/>
      <c r="D51" s="600"/>
      <c r="E51" s="600"/>
      <c r="F51" s="600"/>
      <c r="G51" s="600"/>
      <c r="H51" s="600"/>
      <c r="I51" s="676"/>
      <c r="J51" s="155"/>
      <c r="Q51" s="182"/>
      <c r="T51" s="11"/>
      <c r="U51" s="11"/>
    </row>
    <row r="52" spans="2:21">
      <c r="B52" s="729"/>
      <c r="C52" s="679"/>
      <c r="D52" s="600"/>
      <c r="E52" s="600"/>
      <c r="F52" s="600"/>
      <c r="G52" s="600"/>
      <c r="H52" s="600"/>
      <c r="I52" s="676"/>
      <c r="J52" s="155"/>
      <c r="Q52" s="182"/>
      <c r="T52" s="11"/>
      <c r="U52" s="11"/>
    </row>
    <row r="53" spans="2:21">
      <c r="B53" s="678"/>
      <c r="C53" s="679"/>
      <c r="D53" s="600"/>
      <c r="E53" s="600"/>
      <c r="F53" s="600"/>
      <c r="G53" s="600"/>
      <c r="H53" s="600"/>
      <c r="I53" s="676"/>
      <c r="J53" s="155"/>
      <c r="Q53" s="182"/>
      <c r="T53" s="11"/>
      <c r="U53" s="11"/>
    </row>
    <row r="54" spans="2:21">
      <c r="B54" s="678"/>
      <c r="C54" s="679"/>
      <c r="D54" s="600"/>
      <c r="E54" s="600"/>
      <c r="F54" s="600"/>
      <c r="G54" s="600"/>
      <c r="H54" s="600"/>
      <c r="I54" s="676"/>
      <c r="J54" s="155"/>
      <c r="Q54" s="182"/>
      <c r="T54" s="11"/>
      <c r="U54" s="11"/>
    </row>
    <row r="55" spans="2:21">
      <c r="B55" s="678"/>
      <c r="C55" s="679"/>
      <c r="D55" s="600"/>
      <c r="E55" s="600"/>
      <c r="F55" s="600"/>
      <c r="G55" s="600"/>
      <c r="H55" s="600"/>
      <c r="I55" s="676"/>
      <c r="J55" s="155"/>
      <c r="Q55" s="182"/>
      <c r="T55" s="11"/>
      <c r="U55" s="11"/>
    </row>
    <row r="56" spans="2:21">
      <c r="B56" s="678"/>
      <c r="C56" s="679"/>
      <c r="D56" s="600"/>
      <c r="E56" s="600"/>
      <c r="F56" s="600"/>
      <c r="G56" s="600"/>
      <c r="H56" s="600"/>
      <c r="I56" s="676"/>
      <c r="J56" s="155"/>
      <c r="Q56" s="182"/>
      <c r="T56" s="11"/>
      <c r="U56" s="11"/>
    </row>
    <row r="57" spans="2:21">
      <c r="B57" s="678"/>
      <c r="C57" s="679"/>
      <c r="D57" s="600"/>
      <c r="E57" s="600"/>
      <c r="F57" s="600"/>
      <c r="G57" s="600"/>
      <c r="H57" s="600"/>
      <c r="I57" s="676"/>
      <c r="J57" s="155"/>
      <c r="Q57" s="182"/>
      <c r="T57" s="11"/>
      <c r="U57" s="11"/>
    </row>
    <row r="58" spans="2:21">
      <c r="B58" s="155"/>
      <c r="I58" s="182"/>
      <c r="J58" s="155"/>
      <c r="Q58" s="182"/>
      <c r="T58" s="11"/>
      <c r="U58" s="11"/>
    </row>
    <row r="59" spans="2:21">
      <c r="B59" s="155"/>
      <c r="I59" s="182"/>
      <c r="J59" s="155"/>
      <c r="Q59" s="182"/>
      <c r="T59" s="11"/>
      <c r="U59" s="11"/>
    </row>
    <row r="60" spans="2:21">
      <c r="B60" s="155"/>
      <c r="I60" s="182"/>
      <c r="J60" s="155"/>
      <c r="Q60" s="182"/>
      <c r="T60" s="11"/>
      <c r="U60" s="11"/>
    </row>
    <row r="61" spans="2:21">
      <c r="B61" s="155"/>
      <c r="I61" s="182"/>
      <c r="J61" s="155"/>
      <c r="Q61" s="182"/>
      <c r="T61" s="11"/>
      <c r="U61" s="11"/>
    </row>
    <row r="62" spans="2:21">
      <c r="B62" s="155"/>
      <c r="I62" s="182"/>
      <c r="J62" s="155"/>
      <c r="Q62" s="182"/>
      <c r="T62" s="11"/>
      <c r="U62" s="11"/>
    </row>
    <row r="63" spans="2:21">
      <c r="B63" s="156"/>
      <c r="C63" s="183"/>
      <c r="D63" s="184"/>
      <c r="E63" s="183"/>
      <c r="F63" s="183"/>
      <c r="G63" s="183"/>
      <c r="H63" s="183"/>
      <c r="I63" s="185"/>
      <c r="J63" s="155"/>
      <c r="Q63" s="182"/>
      <c r="T63" s="11"/>
      <c r="U63" s="11"/>
    </row>
    <row r="64" spans="2:21">
      <c r="J64" s="155"/>
      <c r="Q64" s="182"/>
      <c r="T64" s="11"/>
      <c r="U64" s="11"/>
    </row>
    <row r="65" spans="10:21">
      <c r="J65" s="156"/>
      <c r="K65" s="183"/>
      <c r="L65" s="183"/>
      <c r="M65" s="183"/>
      <c r="N65" s="183"/>
      <c r="O65" s="183"/>
      <c r="P65" s="183"/>
      <c r="Q65" s="185"/>
      <c r="T65" s="11"/>
      <c r="U65" s="11"/>
    </row>
    <row r="66" spans="10:21">
      <c r="T66" s="11"/>
      <c r="U66" s="11"/>
    </row>
    <row r="67" spans="10:21">
      <c r="T67" s="11"/>
      <c r="U67" s="11"/>
    </row>
    <row r="68" spans="10:21">
      <c r="T68" s="11"/>
      <c r="U68" s="11"/>
    </row>
    <row r="69" spans="10:21">
      <c r="T69" s="11"/>
      <c r="U69" s="11"/>
    </row>
    <row r="70" spans="10:21">
      <c r="O70" s="351"/>
      <c r="T70" s="11"/>
      <c r="U70" s="11"/>
    </row>
    <row r="71" spans="10:21">
      <c r="O71" s="351"/>
      <c r="T71" s="11"/>
      <c r="U71" s="11"/>
    </row>
    <row r="72" spans="10:21">
      <c r="O72" s="351"/>
      <c r="T72" s="11"/>
      <c r="U72" s="11"/>
    </row>
    <row r="73" spans="10:21">
      <c r="T73" s="11"/>
      <c r="U73" s="11"/>
    </row>
    <row r="74" spans="10:21">
      <c r="T74" s="11"/>
      <c r="U74" s="11"/>
    </row>
    <row r="75" spans="10:21">
      <c r="T75" s="11"/>
      <c r="U75" s="11"/>
    </row>
    <row r="76" spans="10:21">
      <c r="T76" s="11"/>
      <c r="U76" s="11"/>
    </row>
    <row r="77" spans="10:21">
      <c r="T77" s="11"/>
      <c r="U77" s="11"/>
    </row>
    <row r="78" spans="10:21">
      <c r="T78" s="11"/>
      <c r="U78" s="11"/>
    </row>
    <row r="79" spans="10:21">
      <c r="T79" s="11"/>
      <c r="U79" s="11"/>
    </row>
  </sheetData>
  <mergeCells count="51">
    <mergeCell ref="Q2:Y2"/>
    <mergeCell ref="K3:P3"/>
    <mergeCell ref="B2:P2"/>
    <mergeCell ref="K15:P15"/>
    <mergeCell ref="D3:I3"/>
    <mergeCell ref="B14:P14"/>
    <mergeCell ref="D15:I15"/>
    <mergeCell ref="Q14:S15"/>
    <mergeCell ref="I24:P24"/>
    <mergeCell ref="B25:C25"/>
    <mergeCell ref="D33:I33"/>
    <mergeCell ref="B34:C34"/>
    <mergeCell ref="D35:I35"/>
    <mergeCell ref="B35:C35"/>
    <mergeCell ref="B28:C28"/>
    <mergeCell ref="B29:C29"/>
    <mergeCell ref="B24:C24"/>
    <mergeCell ref="B27:C27"/>
    <mergeCell ref="I25:M25"/>
    <mergeCell ref="D24:H24"/>
    <mergeCell ref="D25:H25"/>
    <mergeCell ref="J32:Q32"/>
    <mergeCell ref="D27:H27"/>
    <mergeCell ref="D28:H28"/>
    <mergeCell ref="D26:H26"/>
    <mergeCell ref="B26:C26"/>
    <mergeCell ref="B36:C36"/>
    <mergeCell ref="B30:C30"/>
    <mergeCell ref="B32:I32"/>
    <mergeCell ref="D42:F42"/>
    <mergeCell ref="D29:H29"/>
    <mergeCell ref="D30:H30"/>
    <mergeCell ref="G38:I38"/>
    <mergeCell ref="D34:I34"/>
    <mergeCell ref="D36:I36"/>
    <mergeCell ref="B44:I44"/>
    <mergeCell ref="B33:C33"/>
    <mergeCell ref="D38:F38"/>
    <mergeCell ref="B37:I37"/>
    <mergeCell ref="B38:C38"/>
    <mergeCell ref="B39:C39"/>
    <mergeCell ref="G39:I39"/>
    <mergeCell ref="D43:F43"/>
    <mergeCell ref="G43:I43"/>
    <mergeCell ref="B40:C40"/>
    <mergeCell ref="B42:C42"/>
    <mergeCell ref="B43:C43"/>
    <mergeCell ref="G40:I40"/>
    <mergeCell ref="G42:I42"/>
    <mergeCell ref="D39:F39"/>
    <mergeCell ref="D40:F40"/>
  </mergeCells>
  <phoneticPr fontId="0" type="noConversion"/>
  <conditionalFormatting sqref="B5:B11">
    <cfRule type="dataBar" priority="60">
      <dataBar>
        <cfvo type="min"/>
        <cfvo type="max"/>
        <color rgb="FF638EC6"/>
      </dataBar>
      <extLst>
        <ext xmlns:x14="http://schemas.microsoft.com/office/spreadsheetml/2009/9/main" uri="{B025F937-C7B1-47D3-B67F-A62EFF666E3E}">
          <x14:id>{6E381EE6-DF6C-4880-BDC6-793A4FBC9886}</x14:id>
        </ext>
      </extLst>
    </cfRule>
  </conditionalFormatting>
  <conditionalFormatting sqref="B17:B21">
    <cfRule type="dataBar" priority="30">
      <dataBar>
        <cfvo type="min"/>
        <cfvo type="max"/>
        <color rgb="FF638EC6"/>
      </dataBar>
      <extLst>
        <ext xmlns:x14="http://schemas.microsoft.com/office/spreadsheetml/2009/9/main" uri="{B025F937-C7B1-47D3-B67F-A62EFF666E3E}">
          <x14:id>{070902CC-8EB6-43DB-B9AD-5811F17D394B}</x14:id>
        </ext>
      </extLst>
    </cfRule>
  </conditionalFormatting>
  <conditionalFormatting sqref="D5:D11">
    <cfRule type="dataBar" priority="61">
      <dataBar>
        <cfvo type="min"/>
        <cfvo type="max"/>
        <color rgb="FF63C384"/>
      </dataBar>
      <extLst>
        <ext xmlns:x14="http://schemas.microsoft.com/office/spreadsheetml/2009/9/main" uri="{B025F937-C7B1-47D3-B67F-A62EFF666E3E}">
          <x14:id>{767D33FE-8570-4B26-81B7-5505E2A08A62}</x14:id>
        </ext>
      </extLst>
    </cfRule>
  </conditionalFormatting>
  <conditionalFormatting sqref="D17:D21">
    <cfRule type="dataBar" priority="36">
      <dataBar>
        <cfvo type="min"/>
        <cfvo type="max"/>
        <color rgb="FF63C384"/>
      </dataBar>
      <extLst>
        <ext xmlns:x14="http://schemas.microsoft.com/office/spreadsheetml/2009/9/main" uri="{B025F937-C7B1-47D3-B67F-A62EFF666E3E}">
          <x14:id>{F575A9CD-40CE-4DD0-A0EE-358DA4D46D80}</x14:id>
        </ext>
      </extLst>
    </cfRule>
  </conditionalFormatting>
  <conditionalFormatting sqref="D5:I10">
    <cfRule type="dataBar" priority="16">
      <dataBar>
        <cfvo type="min"/>
        <cfvo type="max"/>
        <color rgb="FF63C384"/>
      </dataBar>
      <extLst>
        <ext xmlns:x14="http://schemas.microsoft.com/office/spreadsheetml/2009/9/main" uri="{B025F937-C7B1-47D3-B67F-A62EFF666E3E}">
          <x14:id>{83BDDF4E-0A7D-4B3E-A60B-AD52AC0FFA68}</x14:id>
        </ext>
      </extLst>
    </cfRule>
  </conditionalFormatting>
  <conditionalFormatting sqref="D17:I21">
    <cfRule type="dataBar" priority="14">
      <dataBar>
        <cfvo type="min"/>
        <cfvo type="max"/>
        <color rgb="FF63C384"/>
      </dataBar>
      <extLst>
        <ext xmlns:x14="http://schemas.microsoft.com/office/spreadsheetml/2009/9/main" uri="{B025F937-C7B1-47D3-B67F-A62EFF666E3E}">
          <x14:id>{FE64C78F-7C84-4298-8E01-F0D5B55D0F50}</x14:id>
        </ext>
      </extLst>
    </cfRule>
    <cfRule type="dataBar" priority="15">
      <dataBar>
        <cfvo type="min"/>
        <cfvo type="max"/>
        <color rgb="FF63C384"/>
      </dataBar>
      <extLst>
        <ext xmlns:x14="http://schemas.microsoft.com/office/spreadsheetml/2009/9/main" uri="{B025F937-C7B1-47D3-B67F-A62EFF666E3E}">
          <x14:id>{34CEE88D-9151-4A21-99EF-7139B3551298}</x14:id>
        </ext>
      </extLst>
    </cfRule>
  </conditionalFormatting>
  <conditionalFormatting sqref="E5:E11">
    <cfRule type="dataBar" priority="62">
      <dataBar>
        <cfvo type="min"/>
        <cfvo type="max"/>
        <color rgb="FF63C384"/>
      </dataBar>
      <extLst>
        <ext xmlns:x14="http://schemas.microsoft.com/office/spreadsheetml/2009/9/main" uri="{B025F937-C7B1-47D3-B67F-A62EFF666E3E}">
          <x14:id>{740A2B96-C6E5-4177-AC04-9573B81E30EC}</x14:id>
        </ext>
      </extLst>
    </cfRule>
  </conditionalFormatting>
  <conditionalFormatting sqref="E17:E21">
    <cfRule type="dataBar" priority="35">
      <dataBar>
        <cfvo type="min"/>
        <cfvo type="max"/>
        <color rgb="FF63C384"/>
      </dataBar>
      <extLst>
        <ext xmlns:x14="http://schemas.microsoft.com/office/spreadsheetml/2009/9/main" uri="{B025F937-C7B1-47D3-B67F-A62EFF666E3E}">
          <x14:id>{A38B14A7-F79E-4BFC-8C5A-104694F33A4C}</x14:id>
        </ext>
      </extLst>
    </cfRule>
  </conditionalFormatting>
  <conditionalFormatting sqref="F5:F11">
    <cfRule type="dataBar" priority="63">
      <dataBar>
        <cfvo type="min"/>
        <cfvo type="max"/>
        <color rgb="FF63C384"/>
      </dataBar>
      <extLst>
        <ext xmlns:x14="http://schemas.microsoft.com/office/spreadsheetml/2009/9/main" uri="{B025F937-C7B1-47D3-B67F-A62EFF666E3E}">
          <x14:id>{5EFE30C4-0901-404E-9108-731E3BE4821E}</x14:id>
        </ext>
      </extLst>
    </cfRule>
  </conditionalFormatting>
  <conditionalFormatting sqref="F17:F21">
    <cfRule type="dataBar" priority="34">
      <dataBar>
        <cfvo type="min"/>
        <cfvo type="max"/>
        <color rgb="FF63C384"/>
      </dataBar>
      <extLst>
        <ext xmlns:x14="http://schemas.microsoft.com/office/spreadsheetml/2009/9/main" uri="{B025F937-C7B1-47D3-B67F-A62EFF666E3E}">
          <x14:id>{505412FE-4EAD-453D-A4BD-B1B63B0ABC2E}</x14:id>
        </ext>
      </extLst>
    </cfRule>
  </conditionalFormatting>
  <conditionalFormatting sqref="G5:G11">
    <cfRule type="dataBar" priority="64">
      <dataBar>
        <cfvo type="min"/>
        <cfvo type="max"/>
        <color rgb="FF63C384"/>
      </dataBar>
      <extLst>
        <ext xmlns:x14="http://schemas.microsoft.com/office/spreadsheetml/2009/9/main" uri="{B025F937-C7B1-47D3-B67F-A62EFF666E3E}">
          <x14:id>{A1F44ECC-EF2B-4606-87E9-B7F443AC18BF}</x14:id>
        </ext>
      </extLst>
    </cfRule>
  </conditionalFormatting>
  <conditionalFormatting sqref="G17:G21">
    <cfRule type="dataBar" priority="33">
      <dataBar>
        <cfvo type="min"/>
        <cfvo type="max"/>
        <color rgb="FF63C384"/>
      </dataBar>
      <extLst>
        <ext xmlns:x14="http://schemas.microsoft.com/office/spreadsheetml/2009/9/main" uri="{B025F937-C7B1-47D3-B67F-A62EFF666E3E}">
          <x14:id>{F51D7CD6-931F-4BA7-90A2-0A736BE3108D}</x14:id>
        </ext>
      </extLst>
    </cfRule>
  </conditionalFormatting>
  <conditionalFormatting sqref="H5:H11">
    <cfRule type="dataBar" priority="65">
      <dataBar>
        <cfvo type="min"/>
        <cfvo type="max"/>
        <color rgb="FF63C384"/>
      </dataBar>
      <extLst>
        <ext xmlns:x14="http://schemas.microsoft.com/office/spreadsheetml/2009/9/main" uri="{B025F937-C7B1-47D3-B67F-A62EFF666E3E}">
          <x14:id>{4320827E-AAAF-46DA-9F47-1F13F9C2B2E6}</x14:id>
        </ext>
      </extLst>
    </cfRule>
  </conditionalFormatting>
  <conditionalFormatting sqref="H17:H21">
    <cfRule type="dataBar" priority="32">
      <dataBar>
        <cfvo type="min"/>
        <cfvo type="max"/>
        <color rgb="FF63C384"/>
      </dataBar>
      <extLst>
        <ext xmlns:x14="http://schemas.microsoft.com/office/spreadsheetml/2009/9/main" uri="{B025F937-C7B1-47D3-B67F-A62EFF666E3E}">
          <x14:id>{454C0D39-C9D6-4F33-943E-21207557A042}</x14:id>
        </ext>
      </extLst>
    </cfRule>
  </conditionalFormatting>
  <conditionalFormatting sqref="I5:I11">
    <cfRule type="dataBar" priority="66">
      <dataBar>
        <cfvo type="min"/>
        <cfvo type="max"/>
        <color rgb="FF63C384"/>
      </dataBar>
      <extLst>
        <ext xmlns:x14="http://schemas.microsoft.com/office/spreadsheetml/2009/9/main" uri="{B025F937-C7B1-47D3-B67F-A62EFF666E3E}">
          <x14:id>{5091493A-8CC0-4646-874A-93DEE51CD4AB}</x14:id>
        </ext>
      </extLst>
    </cfRule>
  </conditionalFormatting>
  <conditionalFormatting sqref="I17:I21">
    <cfRule type="dataBar" priority="31">
      <dataBar>
        <cfvo type="min"/>
        <cfvo type="max"/>
        <color rgb="FF63C384"/>
      </dataBar>
      <extLst>
        <ext xmlns:x14="http://schemas.microsoft.com/office/spreadsheetml/2009/9/main" uri="{B025F937-C7B1-47D3-B67F-A62EFF666E3E}">
          <x14:id>{B2C6EEDC-5358-4682-A598-0CF216F95620}</x14:id>
        </ext>
      </extLst>
    </cfRule>
  </conditionalFormatting>
  <conditionalFormatting sqref="K5:K9 K11">
    <cfRule type="dataBar" priority="67">
      <dataBar>
        <cfvo type="min"/>
        <cfvo type="max"/>
        <color rgb="FF63C384"/>
      </dataBar>
      <extLst>
        <ext xmlns:x14="http://schemas.microsoft.com/office/spreadsheetml/2009/9/main" uri="{B025F937-C7B1-47D3-B67F-A62EFF666E3E}">
          <x14:id>{5A27FB5F-AC6D-40FD-B152-7630C251B9C8}</x14:id>
        </ext>
      </extLst>
    </cfRule>
  </conditionalFormatting>
  <conditionalFormatting sqref="K17:K20">
    <cfRule type="dataBar" priority="7">
      <dataBar>
        <cfvo type="min"/>
        <cfvo type="max"/>
        <color rgb="FF63C384"/>
      </dataBar>
      <extLst>
        <ext xmlns:x14="http://schemas.microsoft.com/office/spreadsheetml/2009/9/main" uri="{B025F937-C7B1-47D3-B67F-A62EFF666E3E}">
          <x14:id>{60785AC6-7D44-400D-A2D8-9BBBDC5C548B}</x14:id>
        </ext>
      </extLst>
    </cfRule>
  </conditionalFormatting>
  <conditionalFormatting sqref="K17:O20">
    <cfRule type="dataBar" priority="27">
      <dataBar>
        <cfvo type="min"/>
        <cfvo type="max"/>
        <color rgb="FF63C384"/>
      </dataBar>
      <extLst>
        <ext xmlns:x14="http://schemas.microsoft.com/office/spreadsheetml/2009/9/main" uri="{B025F937-C7B1-47D3-B67F-A62EFF666E3E}">
          <x14:id>{BE9D279A-ADD8-46F4-B26E-577DEFFA037B}</x14:id>
        </ext>
      </extLst>
    </cfRule>
  </conditionalFormatting>
  <conditionalFormatting sqref="K17:O21">
    <cfRule type="dataBar" priority="55">
      <dataBar>
        <cfvo type="min"/>
        <cfvo type="max"/>
        <color rgb="FF63C384"/>
      </dataBar>
      <extLst>
        <ext xmlns:x14="http://schemas.microsoft.com/office/spreadsheetml/2009/9/main" uri="{B025F937-C7B1-47D3-B67F-A62EFF666E3E}">
          <x14:id>{589E11FE-E342-4D21-9EB3-CB0F15AE87A6}</x14:id>
        </ext>
      </extLst>
    </cfRule>
    <cfRule type="dataBar" priority="19">
      <dataBar>
        <cfvo type="min"/>
        <cfvo type="max"/>
        <color rgb="FF63C384"/>
      </dataBar>
      <extLst>
        <ext xmlns:x14="http://schemas.microsoft.com/office/spreadsheetml/2009/9/main" uri="{B025F937-C7B1-47D3-B67F-A62EFF666E3E}">
          <x14:id>{CBC457F7-3DB8-46A0-988B-11CCF8FF31E5}</x14:id>
        </ext>
      </extLst>
    </cfRule>
  </conditionalFormatting>
  <conditionalFormatting sqref="K5:P9 L10:P10">
    <cfRule type="dataBar" priority="22">
      <dataBar>
        <cfvo type="min"/>
        <cfvo type="max"/>
        <color rgb="FF63C384"/>
      </dataBar>
      <extLst>
        <ext xmlns:x14="http://schemas.microsoft.com/office/spreadsheetml/2009/9/main" uri="{B025F937-C7B1-47D3-B67F-A62EFF666E3E}">
          <x14:id>{1642E512-5328-4DB9-81F4-5A67EFFA2D7A}</x14:id>
        </ext>
      </extLst>
    </cfRule>
    <cfRule type="dataBar" priority="23">
      <dataBar>
        <cfvo type="min"/>
        <cfvo type="max"/>
        <color rgb="FF63C384"/>
      </dataBar>
      <extLst>
        <ext xmlns:x14="http://schemas.microsoft.com/office/spreadsheetml/2009/9/main" uri="{B025F937-C7B1-47D3-B67F-A62EFF666E3E}">
          <x14:id>{5832A442-CC22-41FC-AD17-86122538435B}</x14:id>
        </ext>
      </extLst>
    </cfRule>
  </conditionalFormatting>
  <conditionalFormatting sqref="K17:P20">
    <cfRule type="dataBar" priority="25">
      <dataBar>
        <cfvo type="min"/>
        <cfvo type="max"/>
        <color rgb="FF63C384"/>
      </dataBar>
      <extLst>
        <ext xmlns:x14="http://schemas.microsoft.com/office/spreadsheetml/2009/9/main" uri="{B025F937-C7B1-47D3-B67F-A62EFF666E3E}">
          <x14:id>{00030478-9DDE-4C48-B970-8BFEEA7887D7}</x14:id>
        </ext>
      </extLst>
    </cfRule>
    <cfRule type="dataBar" priority="1">
      <dataBar>
        <cfvo type="min"/>
        <cfvo type="max"/>
        <color rgb="FF63C384"/>
      </dataBar>
      <extLst>
        <ext xmlns:x14="http://schemas.microsoft.com/office/spreadsheetml/2009/9/main" uri="{B025F937-C7B1-47D3-B67F-A62EFF666E3E}">
          <x14:id>{A85696C3-3FD4-4347-BBC8-6CEF041D9BC2}</x14:id>
        </ext>
      </extLst>
    </cfRule>
    <cfRule type="dataBar" priority="20">
      <dataBar>
        <cfvo type="min"/>
        <cfvo type="max"/>
        <color rgb="FF63C384"/>
      </dataBar>
      <extLst>
        <ext xmlns:x14="http://schemas.microsoft.com/office/spreadsheetml/2009/9/main" uri="{B025F937-C7B1-47D3-B67F-A62EFF666E3E}">
          <x14:id>{9095667E-69EE-4811-BEDE-AFA010708C3B}</x14:id>
        </ext>
      </extLst>
    </cfRule>
    <cfRule type="dataBar" priority="18">
      <dataBar>
        <cfvo type="min"/>
        <cfvo type="max"/>
        <color rgb="FF63C384"/>
      </dataBar>
      <extLst>
        <ext xmlns:x14="http://schemas.microsoft.com/office/spreadsheetml/2009/9/main" uri="{B025F937-C7B1-47D3-B67F-A62EFF666E3E}">
          <x14:id>{4CBCF4A4-EFBB-41F0-984E-0C4EF2D8C81C}</x14:id>
        </ext>
      </extLst>
    </cfRule>
  </conditionalFormatting>
  <conditionalFormatting sqref="K17:P21">
    <cfRule type="dataBar" priority="21">
      <dataBar>
        <cfvo type="min"/>
        <cfvo type="max"/>
        <color rgb="FF63C384"/>
      </dataBar>
      <extLst>
        <ext xmlns:x14="http://schemas.microsoft.com/office/spreadsheetml/2009/9/main" uri="{B025F937-C7B1-47D3-B67F-A62EFF666E3E}">
          <x14:id>{EC7F1560-4E75-4756-AE37-09B82982D1AB}</x14:id>
        </ext>
      </extLst>
    </cfRule>
  </conditionalFormatting>
  <conditionalFormatting sqref="K21:P21">
    <cfRule type="dataBar" priority="17">
      <dataBar>
        <cfvo type="min"/>
        <cfvo type="max"/>
        <color rgb="FF63C384"/>
      </dataBar>
      <extLst>
        <ext xmlns:x14="http://schemas.microsoft.com/office/spreadsheetml/2009/9/main" uri="{B025F937-C7B1-47D3-B67F-A62EFF666E3E}">
          <x14:id>{1C8C07B2-BD7C-4727-B188-3301C366D456}</x14:id>
        </ext>
      </extLst>
    </cfRule>
    <cfRule type="dataBar" priority="26">
      <dataBar>
        <cfvo type="min"/>
        <cfvo type="max"/>
        <color rgb="FF63C384"/>
      </dataBar>
      <extLst>
        <ext xmlns:x14="http://schemas.microsoft.com/office/spreadsheetml/2009/9/main" uri="{B025F937-C7B1-47D3-B67F-A62EFF666E3E}">
          <x14:id>{FE2287FA-B40E-40F5-8AA8-262EA0BD4636}</x14:id>
        </ext>
      </extLst>
    </cfRule>
    <cfRule type="dataBar" priority="8">
      <dataBar>
        <cfvo type="min"/>
        <cfvo type="max"/>
        <color rgb="FF63C384"/>
      </dataBar>
      <extLst>
        <ext xmlns:x14="http://schemas.microsoft.com/office/spreadsheetml/2009/9/main" uri="{B025F937-C7B1-47D3-B67F-A62EFF666E3E}">
          <x14:id>{624EF9E9-FC69-4C57-8B92-4F6320D43BF6}</x14:id>
        </ext>
      </extLst>
    </cfRule>
    <cfRule type="dataBar" priority="24">
      <dataBar>
        <cfvo type="min"/>
        <cfvo type="max"/>
        <color rgb="FF63C384"/>
      </dataBar>
      <extLst>
        <ext xmlns:x14="http://schemas.microsoft.com/office/spreadsheetml/2009/9/main" uri="{B025F937-C7B1-47D3-B67F-A62EFF666E3E}">
          <x14:id>{904D660B-3592-4479-B026-ACD9350A3616}</x14:id>
        </ext>
      </extLst>
    </cfRule>
  </conditionalFormatting>
  <conditionalFormatting sqref="L5:L11">
    <cfRule type="dataBar" priority="68">
      <dataBar>
        <cfvo type="min"/>
        <cfvo type="max"/>
        <color rgb="FF63C384"/>
      </dataBar>
      <extLst>
        <ext xmlns:x14="http://schemas.microsoft.com/office/spreadsheetml/2009/9/main" uri="{B025F937-C7B1-47D3-B67F-A62EFF666E3E}">
          <x14:id>{086E2BE5-AF7D-45A1-A497-EB3FB49CEB4D}</x14:id>
        </ext>
      </extLst>
    </cfRule>
  </conditionalFormatting>
  <conditionalFormatting sqref="L17:L20">
    <cfRule type="dataBar" priority="6">
      <dataBar>
        <cfvo type="min"/>
        <cfvo type="max"/>
        <color rgb="FF63C384"/>
      </dataBar>
      <extLst>
        <ext xmlns:x14="http://schemas.microsoft.com/office/spreadsheetml/2009/9/main" uri="{B025F937-C7B1-47D3-B67F-A62EFF666E3E}">
          <x14:id>{4BEF7755-0998-42F9-BE2B-3DDE71DD6879}</x14:id>
        </ext>
      </extLst>
    </cfRule>
  </conditionalFormatting>
  <conditionalFormatting sqref="M11">
    <cfRule type="dataBar" priority="69">
      <dataBar>
        <cfvo type="min"/>
        <cfvo type="max"/>
        <color rgb="FF63C384"/>
      </dataBar>
      <extLst>
        <ext xmlns:x14="http://schemas.microsoft.com/office/spreadsheetml/2009/9/main" uri="{B025F937-C7B1-47D3-B67F-A62EFF666E3E}">
          <x14:id>{CF921376-951B-44A1-A35C-F489AA25CABD}</x14:id>
        </ext>
      </extLst>
    </cfRule>
  </conditionalFormatting>
  <conditionalFormatting sqref="M18:M20">
    <cfRule type="dataBar" priority="5">
      <dataBar>
        <cfvo type="min"/>
        <cfvo type="max"/>
        <color rgb="FF63C384"/>
      </dataBar>
      <extLst>
        <ext xmlns:x14="http://schemas.microsoft.com/office/spreadsheetml/2009/9/main" uri="{B025F937-C7B1-47D3-B67F-A62EFF666E3E}">
          <x14:id>{56FDBD16-DDEB-4D7A-98AA-9D8D76CB1BBA}</x14:id>
        </ext>
      </extLst>
    </cfRule>
  </conditionalFormatting>
  <conditionalFormatting sqref="M5:P10">
    <cfRule type="dataBar" priority="28">
      <dataBar>
        <cfvo type="min"/>
        <cfvo type="max"/>
        <color rgb="FF63C384"/>
      </dataBar>
      <extLst>
        <ext xmlns:x14="http://schemas.microsoft.com/office/spreadsheetml/2009/9/main" uri="{B025F937-C7B1-47D3-B67F-A62EFF666E3E}">
          <x14:id>{418255D3-2B96-41A9-9582-87939D7FAE81}</x14:id>
        </ext>
      </extLst>
    </cfRule>
  </conditionalFormatting>
  <conditionalFormatting sqref="N11">
    <cfRule type="dataBar" priority="70">
      <dataBar>
        <cfvo type="min"/>
        <cfvo type="max"/>
        <color rgb="FF63C384"/>
      </dataBar>
      <extLst>
        <ext xmlns:x14="http://schemas.microsoft.com/office/spreadsheetml/2009/9/main" uri="{B025F937-C7B1-47D3-B67F-A62EFF666E3E}">
          <x14:id>{13101FF6-2EA7-4030-B4D6-DA0DA1C2F6A6}</x14:id>
        </ext>
      </extLst>
    </cfRule>
  </conditionalFormatting>
  <conditionalFormatting sqref="N17:N20">
    <cfRule type="dataBar" priority="4">
      <dataBar>
        <cfvo type="min"/>
        <cfvo type="max"/>
        <color rgb="FF63C384"/>
      </dataBar>
      <extLst>
        <ext xmlns:x14="http://schemas.microsoft.com/office/spreadsheetml/2009/9/main" uri="{B025F937-C7B1-47D3-B67F-A62EFF666E3E}">
          <x14:id>{E359D2BF-B4C7-4D3A-9103-4CBEE70A31B4}</x14:id>
        </ext>
      </extLst>
    </cfRule>
  </conditionalFormatting>
  <conditionalFormatting sqref="O11">
    <cfRule type="dataBar" priority="71">
      <dataBar>
        <cfvo type="min"/>
        <cfvo type="max"/>
        <color rgb="FF63C384"/>
      </dataBar>
      <extLst>
        <ext xmlns:x14="http://schemas.microsoft.com/office/spreadsheetml/2009/9/main" uri="{B025F937-C7B1-47D3-B67F-A62EFF666E3E}">
          <x14:id>{1F18C40A-A33A-4D0B-B57F-47D9D6CF0D64}</x14:id>
        </ext>
      </extLst>
    </cfRule>
  </conditionalFormatting>
  <conditionalFormatting sqref="O17:O20">
    <cfRule type="dataBar" priority="3">
      <dataBar>
        <cfvo type="min"/>
        <cfvo type="max"/>
        <color rgb="FF63C384"/>
      </dataBar>
      <extLst>
        <ext xmlns:x14="http://schemas.microsoft.com/office/spreadsheetml/2009/9/main" uri="{B025F937-C7B1-47D3-B67F-A62EFF666E3E}">
          <x14:id>{26AC0999-7FF4-4431-B91F-7A7C0E85B670}</x14:id>
        </ext>
      </extLst>
    </cfRule>
  </conditionalFormatting>
  <conditionalFormatting sqref="P11">
    <cfRule type="dataBar" priority="72">
      <dataBar>
        <cfvo type="min"/>
        <cfvo type="max"/>
        <color rgb="FF63C384"/>
      </dataBar>
      <extLst>
        <ext xmlns:x14="http://schemas.microsoft.com/office/spreadsheetml/2009/9/main" uri="{B025F937-C7B1-47D3-B67F-A62EFF666E3E}">
          <x14:id>{BA11135A-0895-4A01-87D0-A486C9D5843C}</x14:id>
        </ext>
      </extLst>
    </cfRule>
  </conditionalFormatting>
  <conditionalFormatting sqref="P17:P20">
    <cfRule type="dataBar" priority="2">
      <dataBar>
        <cfvo type="min"/>
        <cfvo type="max"/>
        <color rgb="FF63C384"/>
      </dataBar>
      <extLst>
        <ext xmlns:x14="http://schemas.microsoft.com/office/spreadsheetml/2009/9/main" uri="{B025F937-C7B1-47D3-B67F-A62EFF666E3E}">
          <x14:id>{00154FAC-2C70-4EF2-A308-BA8404420986}</x14:id>
        </ext>
      </extLst>
    </cfRule>
  </conditionalFormatting>
  <conditionalFormatting sqref="P17:P21">
    <cfRule type="dataBar" priority="50">
      <dataBar>
        <cfvo type="min"/>
        <cfvo type="max"/>
        <color rgb="FF63C384"/>
      </dataBar>
      <extLst>
        <ext xmlns:x14="http://schemas.microsoft.com/office/spreadsheetml/2009/9/main" uri="{B025F937-C7B1-47D3-B67F-A62EFF666E3E}">
          <x14:id>{A1AE97AD-5647-4F9F-A100-6C15C1895B18}</x14:id>
        </ext>
      </extLst>
    </cfRule>
  </conditionalFormatting>
  <conditionalFormatting sqref="P21">
    <cfRule type="dataBar" priority="13">
      <dataBar>
        <cfvo type="min"/>
        <cfvo type="max"/>
        <color rgb="FF63C384"/>
      </dataBar>
      <extLst>
        <ext xmlns:x14="http://schemas.microsoft.com/office/spreadsheetml/2009/9/main" uri="{B025F937-C7B1-47D3-B67F-A62EFF666E3E}">
          <x14:id>{E25FCA19-5187-42DE-ACC0-FA124C432602}</x14:id>
        </ext>
      </extLst>
    </cfRule>
    <cfRule type="dataBar" priority="12">
      <dataBar>
        <cfvo type="min"/>
        <cfvo type="max"/>
        <color rgb="FF63C384"/>
      </dataBar>
      <extLst>
        <ext xmlns:x14="http://schemas.microsoft.com/office/spreadsheetml/2009/9/main" uri="{B025F937-C7B1-47D3-B67F-A62EFF666E3E}">
          <x14:id>{CA13E27F-6DDD-451D-9981-58C3F52DF064}</x14:id>
        </ext>
      </extLst>
    </cfRule>
    <cfRule type="dataBar" priority="11">
      <dataBar>
        <cfvo type="min"/>
        <cfvo type="max"/>
        <color rgb="FF63C384"/>
      </dataBar>
      <extLst>
        <ext xmlns:x14="http://schemas.microsoft.com/office/spreadsheetml/2009/9/main" uri="{B025F937-C7B1-47D3-B67F-A62EFF666E3E}">
          <x14:id>{ECB61C77-2C43-48F4-8A50-733EB85A1CEE}</x14:id>
        </ext>
      </extLst>
    </cfRule>
    <cfRule type="dataBar" priority="10">
      <dataBar>
        <cfvo type="min"/>
        <cfvo type="max"/>
        <color rgb="FF63C384"/>
      </dataBar>
      <extLst>
        <ext xmlns:x14="http://schemas.microsoft.com/office/spreadsheetml/2009/9/main" uri="{B025F937-C7B1-47D3-B67F-A62EFF666E3E}">
          <x14:id>{657DE2C6-03A4-4EDE-99AD-798EB4DDA82C}</x14:id>
        </ext>
      </extLst>
    </cfRule>
    <cfRule type="dataBar" priority="9">
      <dataBar>
        <cfvo type="min"/>
        <cfvo type="max"/>
        <color rgb="FF63C384"/>
      </dataBar>
      <extLst>
        <ext xmlns:x14="http://schemas.microsoft.com/office/spreadsheetml/2009/9/main" uri="{B025F937-C7B1-47D3-B67F-A62EFF666E3E}">
          <x14:id>{44059659-321E-4F16-A91E-71EB67462F51}</x14:id>
        </ext>
      </extLst>
    </cfRule>
  </conditionalFormatting>
  <pageMargins left="0.75" right="0.75" top="1" bottom="1" header="0" footer="0"/>
  <pageSetup orientation="landscape" r:id="rId1"/>
  <headerFooter alignWithMargins="0"/>
  <drawing r:id="rId2"/>
  <extLst>
    <ext xmlns:x14="http://schemas.microsoft.com/office/spreadsheetml/2009/9/main" uri="{78C0D931-6437-407d-A8EE-F0AAD7539E65}">
      <x14:conditionalFormattings>
        <x14:conditionalFormatting xmlns:xm="http://schemas.microsoft.com/office/excel/2006/main">
          <x14:cfRule type="dataBar" id="{6E381EE6-DF6C-4880-BDC6-793A4FBC9886}">
            <x14:dataBar minLength="0" maxLength="100" border="1" negativeBarBorderColorSameAsPositive="0">
              <x14:cfvo type="autoMin"/>
              <x14:cfvo type="autoMax"/>
              <x14:borderColor rgb="FF638EC6"/>
              <x14:negativeFillColor rgb="FFFF0000"/>
              <x14:negativeBorderColor rgb="FFFF0000"/>
              <x14:axisColor rgb="FF000000"/>
            </x14:dataBar>
          </x14:cfRule>
          <xm:sqref>B5:B11</xm:sqref>
        </x14:conditionalFormatting>
        <x14:conditionalFormatting xmlns:xm="http://schemas.microsoft.com/office/excel/2006/main">
          <x14:cfRule type="dataBar" id="{070902CC-8EB6-43DB-B9AD-5811F17D394B}">
            <x14:dataBar minLength="0" maxLength="100" border="1" negativeBarBorderColorSameAsPositive="0">
              <x14:cfvo type="autoMin"/>
              <x14:cfvo type="autoMax"/>
              <x14:borderColor rgb="FF638EC6"/>
              <x14:negativeFillColor rgb="FFFF0000"/>
              <x14:negativeBorderColor rgb="FFFF0000"/>
              <x14:axisColor rgb="FF000000"/>
            </x14:dataBar>
          </x14:cfRule>
          <xm:sqref>B17:B21</xm:sqref>
        </x14:conditionalFormatting>
        <x14:conditionalFormatting xmlns:xm="http://schemas.microsoft.com/office/excel/2006/main">
          <x14:cfRule type="dataBar" id="{767D33FE-8570-4B26-81B7-5505E2A08A62}">
            <x14:dataBar minLength="0" maxLength="100" gradient="0">
              <x14:cfvo type="autoMin"/>
              <x14:cfvo type="autoMax"/>
              <x14:negativeFillColor rgb="FFFF0000"/>
              <x14:axisColor rgb="FF000000"/>
            </x14:dataBar>
          </x14:cfRule>
          <xm:sqref>D5:D11</xm:sqref>
        </x14:conditionalFormatting>
        <x14:conditionalFormatting xmlns:xm="http://schemas.microsoft.com/office/excel/2006/main">
          <x14:cfRule type="dataBar" id="{F575A9CD-40CE-4DD0-A0EE-358DA4D46D80}">
            <x14:dataBar minLength="0" maxLength="100" gradient="0">
              <x14:cfvo type="autoMin"/>
              <x14:cfvo type="autoMax"/>
              <x14:negativeFillColor rgb="FFFF0000"/>
              <x14:axisColor rgb="FF000000"/>
            </x14:dataBar>
          </x14:cfRule>
          <xm:sqref>D17:D21</xm:sqref>
        </x14:conditionalFormatting>
        <x14:conditionalFormatting xmlns:xm="http://schemas.microsoft.com/office/excel/2006/main">
          <x14:cfRule type="dataBar" id="{83BDDF4E-0A7D-4B3E-A60B-AD52AC0FFA68}">
            <x14:dataBar minLength="0" maxLength="100" gradient="0">
              <x14:cfvo type="autoMin"/>
              <x14:cfvo type="autoMax"/>
              <x14:negativeFillColor rgb="FFFF0000"/>
              <x14:axisColor rgb="FF000000"/>
            </x14:dataBar>
          </x14:cfRule>
          <xm:sqref>D5:I10</xm:sqref>
        </x14:conditionalFormatting>
        <x14:conditionalFormatting xmlns:xm="http://schemas.microsoft.com/office/excel/2006/main">
          <x14:cfRule type="dataBar" id="{FE64C78F-7C84-4298-8E01-F0D5B55D0F50}">
            <x14:dataBar minLength="0" maxLength="100" gradient="0">
              <x14:cfvo type="autoMin"/>
              <x14:cfvo type="autoMax"/>
              <x14:negativeFillColor rgb="FFFF0000"/>
              <x14:axisColor rgb="FF000000"/>
            </x14:dataBar>
          </x14:cfRule>
          <x14:cfRule type="dataBar" id="{34CEE88D-9151-4A21-99EF-7139B3551298}">
            <x14:dataBar minLength="0" maxLength="100" gradient="0">
              <x14:cfvo type="autoMin"/>
              <x14:cfvo type="autoMax"/>
              <x14:negativeFillColor rgb="FFFF0000"/>
              <x14:axisColor rgb="FF000000"/>
            </x14:dataBar>
          </x14:cfRule>
          <xm:sqref>D17:I21</xm:sqref>
        </x14:conditionalFormatting>
        <x14:conditionalFormatting xmlns:xm="http://schemas.microsoft.com/office/excel/2006/main">
          <x14:cfRule type="dataBar" id="{740A2B96-C6E5-4177-AC04-9573B81E30EC}">
            <x14:dataBar minLength="0" maxLength="100" gradient="0">
              <x14:cfvo type="autoMin"/>
              <x14:cfvo type="autoMax"/>
              <x14:negativeFillColor rgb="FFFF0000"/>
              <x14:axisColor rgb="FF000000"/>
            </x14:dataBar>
          </x14:cfRule>
          <xm:sqref>E5:E11</xm:sqref>
        </x14:conditionalFormatting>
        <x14:conditionalFormatting xmlns:xm="http://schemas.microsoft.com/office/excel/2006/main">
          <x14:cfRule type="dataBar" id="{A38B14A7-F79E-4BFC-8C5A-104694F33A4C}">
            <x14:dataBar minLength="0" maxLength="100" gradient="0">
              <x14:cfvo type="autoMin"/>
              <x14:cfvo type="autoMax"/>
              <x14:negativeFillColor rgb="FFFF0000"/>
              <x14:axisColor rgb="FF000000"/>
            </x14:dataBar>
          </x14:cfRule>
          <xm:sqref>E17:E21</xm:sqref>
        </x14:conditionalFormatting>
        <x14:conditionalFormatting xmlns:xm="http://schemas.microsoft.com/office/excel/2006/main">
          <x14:cfRule type="dataBar" id="{5EFE30C4-0901-404E-9108-731E3BE4821E}">
            <x14:dataBar minLength="0" maxLength="100" gradient="0">
              <x14:cfvo type="autoMin"/>
              <x14:cfvo type="autoMax"/>
              <x14:negativeFillColor rgb="FFFF0000"/>
              <x14:axisColor rgb="FF000000"/>
            </x14:dataBar>
          </x14:cfRule>
          <xm:sqref>F5:F11</xm:sqref>
        </x14:conditionalFormatting>
        <x14:conditionalFormatting xmlns:xm="http://schemas.microsoft.com/office/excel/2006/main">
          <x14:cfRule type="dataBar" id="{505412FE-4EAD-453D-A4BD-B1B63B0ABC2E}">
            <x14:dataBar minLength="0" maxLength="100" gradient="0">
              <x14:cfvo type="autoMin"/>
              <x14:cfvo type="autoMax"/>
              <x14:negativeFillColor rgb="FFFF0000"/>
              <x14:axisColor rgb="FF000000"/>
            </x14:dataBar>
          </x14:cfRule>
          <xm:sqref>F17:F21</xm:sqref>
        </x14:conditionalFormatting>
        <x14:conditionalFormatting xmlns:xm="http://schemas.microsoft.com/office/excel/2006/main">
          <x14:cfRule type="dataBar" id="{A1F44ECC-EF2B-4606-87E9-B7F443AC18BF}">
            <x14:dataBar minLength="0" maxLength="100" gradient="0">
              <x14:cfvo type="autoMin"/>
              <x14:cfvo type="autoMax"/>
              <x14:negativeFillColor rgb="FFFF0000"/>
              <x14:axisColor rgb="FF000000"/>
            </x14:dataBar>
          </x14:cfRule>
          <xm:sqref>G5:G11</xm:sqref>
        </x14:conditionalFormatting>
        <x14:conditionalFormatting xmlns:xm="http://schemas.microsoft.com/office/excel/2006/main">
          <x14:cfRule type="dataBar" id="{F51D7CD6-931F-4BA7-90A2-0A736BE3108D}">
            <x14:dataBar minLength="0" maxLength="100" gradient="0">
              <x14:cfvo type="autoMin"/>
              <x14:cfvo type="autoMax"/>
              <x14:negativeFillColor rgb="FFFF0000"/>
              <x14:axisColor rgb="FF000000"/>
            </x14:dataBar>
          </x14:cfRule>
          <xm:sqref>G17:G21</xm:sqref>
        </x14:conditionalFormatting>
        <x14:conditionalFormatting xmlns:xm="http://schemas.microsoft.com/office/excel/2006/main">
          <x14:cfRule type="dataBar" id="{4320827E-AAAF-46DA-9F47-1F13F9C2B2E6}">
            <x14:dataBar minLength="0" maxLength="100" gradient="0">
              <x14:cfvo type="autoMin"/>
              <x14:cfvo type="autoMax"/>
              <x14:negativeFillColor rgb="FFFF0000"/>
              <x14:axisColor rgb="FF000000"/>
            </x14:dataBar>
          </x14:cfRule>
          <xm:sqref>H5:H11</xm:sqref>
        </x14:conditionalFormatting>
        <x14:conditionalFormatting xmlns:xm="http://schemas.microsoft.com/office/excel/2006/main">
          <x14:cfRule type="dataBar" id="{454C0D39-C9D6-4F33-943E-21207557A042}">
            <x14:dataBar minLength="0" maxLength="100" gradient="0">
              <x14:cfvo type="autoMin"/>
              <x14:cfvo type="autoMax"/>
              <x14:negativeFillColor rgb="FFFF0000"/>
              <x14:axisColor rgb="FF000000"/>
            </x14:dataBar>
          </x14:cfRule>
          <xm:sqref>H17:H21</xm:sqref>
        </x14:conditionalFormatting>
        <x14:conditionalFormatting xmlns:xm="http://schemas.microsoft.com/office/excel/2006/main">
          <x14:cfRule type="dataBar" id="{5091493A-8CC0-4646-874A-93DEE51CD4AB}">
            <x14:dataBar minLength="0" maxLength="100" gradient="0">
              <x14:cfvo type="autoMin"/>
              <x14:cfvo type="autoMax"/>
              <x14:negativeFillColor rgb="FFFF0000"/>
              <x14:axisColor rgb="FF000000"/>
            </x14:dataBar>
          </x14:cfRule>
          <xm:sqref>I5:I11</xm:sqref>
        </x14:conditionalFormatting>
        <x14:conditionalFormatting xmlns:xm="http://schemas.microsoft.com/office/excel/2006/main">
          <x14:cfRule type="dataBar" id="{B2C6EEDC-5358-4682-A598-0CF216F95620}">
            <x14:dataBar minLength="0" maxLength="100" gradient="0">
              <x14:cfvo type="autoMin"/>
              <x14:cfvo type="autoMax"/>
              <x14:negativeFillColor rgb="FFFF0000"/>
              <x14:axisColor rgb="FF000000"/>
            </x14:dataBar>
          </x14:cfRule>
          <xm:sqref>I17:I21</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K5:K9 K11</xm:sqref>
        </x14:conditionalFormatting>
        <x14:conditionalFormatting xmlns:xm="http://schemas.microsoft.com/office/excel/2006/main">
          <x14:cfRule type="dataBar" id="{60785AC6-7D44-400D-A2D8-9BBBDC5C548B}">
            <x14:dataBar minLength="0" maxLength="100" gradient="0">
              <x14:cfvo type="autoMin"/>
              <x14:cfvo type="autoMax"/>
              <x14:negativeFillColor rgb="FFFF0000"/>
              <x14:axisColor rgb="FF000000"/>
            </x14:dataBar>
          </x14:cfRule>
          <xm:sqref>K17:K20</xm:sqref>
        </x14:conditionalFormatting>
        <x14:conditionalFormatting xmlns:xm="http://schemas.microsoft.com/office/excel/2006/main">
          <x14:cfRule type="dataBar" id="{BE9D279A-ADD8-46F4-B26E-577DEFFA037B}">
            <x14:dataBar minLength="0" maxLength="100" border="1" negativeBarBorderColorSameAsPositive="0">
              <x14:cfvo type="autoMin"/>
              <x14:cfvo type="autoMax"/>
              <x14:borderColor rgb="FF63C384"/>
              <x14:negativeFillColor rgb="FFFF0000"/>
              <x14:negativeBorderColor rgb="FFFF0000"/>
              <x14:axisColor rgb="FF000000"/>
            </x14:dataBar>
          </x14:cfRule>
          <xm:sqref>K17:O20</xm:sqref>
        </x14:conditionalFormatting>
        <x14:conditionalFormatting xmlns:xm="http://schemas.microsoft.com/office/excel/2006/main">
          <x14:cfRule type="dataBar" id="{589E11FE-E342-4D21-9EB3-CB0F15AE87A6}">
            <x14:dataBar minLength="0" maxLength="100" gradient="0">
              <x14:cfvo type="autoMin"/>
              <x14:cfvo type="autoMax"/>
              <x14:negativeFillColor rgb="FFFF0000"/>
              <x14:axisColor rgb="FF000000"/>
            </x14:dataBar>
          </x14:cfRule>
          <x14:cfRule type="dataBar" id="{CBC457F7-3DB8-46A0-988B-11CCF8FF31E5}">
            <x14:dataBar minLength="0" maxLength="100" gradient="0">
              <x14:cfvo type="autoMin"/>
              <x14:cfvo type="autoMax"/>
              <x14:negativeFillColor rgb="FFFF0000"/>
              <x14:axisColor rgb="FF000000"/>
            </x14:dataBar>
          </x14:cfRule>
          <xm:sqref>K17:O21</xm:sqref>
        </x14:conditionalFormatting>
        <x14:conditionalFormatting xmlns:xm="http://schemas.microsoft.com/office/excel/2006/main">
          <x14:cfRule type="dataBar" id="{1642E512-5328-4DB9-81F4-5A67EFFA2D7A}">
            <x14:dataBar minLength="0" maxLength="100" gradient="0">
              <x14:cfvo type="autoMin"/>
              <x14:cfvo type="autoMax"/>
              <x14:negativeFillColor rgb="FFFF0000"/>
              <x14:axisColor rgb="FF000000"/>
            </x14:dataBar>
          </x14:cfRule>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m:sqref>K5:P9 L10:P10</xm:sqref>
        </x14:conditionalFormatting>
        <x14:conditionalFormatting xmlns:xm="http://schemas.microsoft.com/office/excel/2006/main">
          <x14:cfRule type="dataBar" id="{00030478-9DDE-4C48-B970-8BFEEA7887D7}">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A85696C3-3FD4-4347-BBC8-6CEF041D9BC2}">
            <x14:dataBar minLength="0" maxLength="100" gradient="0">
              <x14:cfvo type="autoMin"/>
              <x14:cfvo type="autoMax"/>
              <x14:negativeFillColor rgb="FFFF0000"/>
              <x14:axisColor rgb="FF000000"/>
            </x14:dataBar>
          </x14:cfRule>
          <x14:cfRule type="dataBar" id="{9095667E-69EE-4811-BEDE-AFA010708C3B}">
            <x14:dataBar minLength="0" maxLength="100" gradient="0">
              <x14:cfvo type="autoMin"/>
              <x14:cfvo type="autoMax"/>
              <x14:negativeFillColor rgb="FFFF0000"/>
              <x14:axisColor rgb="FF000000"/>
            </x14:dataBar>
          </x14:cfRule>
          <x14:cfRule type="dataBar" id="{4CBCF4A4-EFBB-41F0-984E-0C4EF2D8C81C}">
            <x14:dataBar minLength="0" maxLength="100" gradient="0">
              <x14:cfvo type="autoMin"/>
              <x14:cfvo type="autoMax"/>
              <x14:negativeFillColor rgb="FFFF0000"/>
              <x14:axisColor rgb="FF000000"/>
            </x14:dataBar>
          </x14:cfRule>
          <xm:sqref>K17:P20</xm:sqref>
        </x14:conditionalFormatting>
        <x14:conditionalFormatting xmlns:xm="http://schemas.microsoft.com/office/excel/2006/main">
          <x14:cfRule type="dataBar" id="{EC7F1560-4E75-4756-AE37-09B82982D1AB}">
            <x14:dataBar minLength="0" maxLength="100" gradient="0">
              <x14:cfvo type="autoMin"/>
              <x14:cfvo type="autoMax"/>
              <x14:negativeFillColor rgb="FFFF0000"/>
              <x14:axisColor rgb="FF000000"/>
            </x14:dataBar>
          </x14:cfRule>
          <xm:sqref>K17:P21</xm:sqref>
        </x14:conditionalFormatting>
        <x14:conditionalFormatting xmlns:xm="http://schemas.microsoft.com/office/excel/2006/main">
          <x14:cfRule type="dataBar" id="{1C8C07B2-BD7C-4727-B188-3301C366D456}">
            <x14:dataBar minLength="0" maxLength="100" gradient="0">
              <x14:cfvo type="autoMin"/>
              <x14:cfvo type="autoMax"/>
              <x14:negativeFillColor rgb="FFFF0000"/>
              <x14:axisColor rgb="FF000000"/>
            </x14:dataBar>
          </x14:cfRule>
          <x14:cfRule type="dataBar" id="{FE2287FA-B40E-40F5-8AA8-262EA0BD4636}">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624EF9E9-FC69-4C57-8B92-4F6320D43BF6}">
            <x14:dataBar minLength="0" maxLength="100" gradient="0">
              <x14:cfvo type="autoMin"/>
              <x14:cfvo type="autoMax"/>
              <x14:negativeFillColor rgb="FFFF0000"/>
              <x14:axisColor rgb="FF000000"/>
            </x14:dataBar>
          </x14:cfRule>
          <x14:cfRule type="dataBar" id="{904D660B-3592-4479-B026-ACD9350A3616}">
            <x14:dataBar minLength="0" maxLength="100" border="1" negativeBarBorderColorSameAsPositive="0">
              <x14:cfvo type="autoMin"/>
              <x14:cfvo type="autoMax"/>
              <x14:borderColor rgb="FF63C384"/>
              <x14:negativeFillColor rgb="FFFF0000"/>
              <x14:negativeBorderColor rgb="FFFF0000"/>
              <x14:axisColor rgb="FF000000"/>
            </x14:dataBar>
          </x14:cfRule>
          <xm:sqref>K21:P21</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L5:L11</xm:sqref>
        </x14:conditionalFormatting>
        <x14:conditionalFormatting xmlns:xm="http://schemas.microsoft.com/office/excel/2006/main">
          <x14:cfRule type="dataBar" id="{4BEF7755-0998-42F9-BE2B-3DDE71DD6879}">
            <x14:dataBar minLength="0" maxLength="100" gradient="0">
              <x14:cfvo type="autoMin"/>
              <x14:cfvo type="autoMax"/>
              <x14:negativeFillColor rgb="FFFF0000"/>
              <x14:axisColor rgb="FF000000"/>
            </x14:dataBar>
          </x14:cfRule>
          <xm:sqref>L17:L20</xm:sqref>
        </x14:conditionalFormatting>
        <x14:conditionalFormatting xmlns:xm="http://schemas.microsoft.com/office/excel/2006/main">
          <x14:cfRule type="dataBar" id="{CF921376-951B-44A1-A35C-F489AA25CABD}">
            <x14:dataBar minLength="0" maxLength="100" gradient="0">
              <x14:cfvo type="autoMin"/>
              <x14:cfvo type="autoMax"/>
              <x14:negativeFillColor rgb="FFFF0000"/>
              <x14:axisColor rgb="FF000000"/>
            </x14:dataBar>
          </x14:cfRule>
          <xm:sqref>M11</xm:sqref>
        </x14:conditionalFormatting>
        <x14:conditionalFormatting xmlns:xm="http://schemas.microsoft.com/office/excel/2006/main">
          <x14:cfRule type="dataBar" id="{56FDBD16-DDEB-4D7A-98AA-9D8D76CB1BBA}">
            <x14:dataBar minLength="0" maxLength="100" gradient="0">
              <x14:cfvo type="autoMin"/>
              <x14:cfvo type="autoMax"/>
              <x14:negativeFillColor rgb="FFFF0000"/>
              <x14:axisColor rgb="FF000000"/>
            </x14:dataBar>
          </x14:cfRule>
          <xm:sqref>M18:M20</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M5:P10</xm:sqref>
        </x14:conditionalFormatting>
        <x14:conditionalFormatting xmlns:xm="http://schemas.microsoft.com/office/excel/2006/main">
          <x14:cfRule type="dataBar" id="{13101FF6-2EA7-4030-B4D6-DA0DA1C2F6A6}">
            <x14:dataBar minLength="0" maxLength="100" gradient="0">
              <x14:cfvo type="autoMin"/>
              <x14:cfvo type="autoMax"/>
              <x14:negativeFillColor rgb="FFFF0000"/>
              <x14:axisColor rgb="FF000000"/>
            </x14:dataBar>
          </x14:cfRule>
          <xm:sqref>N11</xm:sqref>
        </x14:conditionalFormatting>
        <x14:conditionalFormatting xmlns:xm="http://schemas.microsoft.com/office/excel/2006/main">
          <x14:cfRule type="dataBar" id="{E359D2BF-B4C7-4D3A-9103-4CBEE70A31B4}">
            <x14:dataBar minLength="0" maxLength="100" gradient="0">
              <x14:cfvo type="autoMin"/>
              <x14:cfvo type="autoMax"/>
              <x14:negativeFillColor rgb="FFFF0000"/>
              <x14:axisColor rgb="FF000000"/>
            </x14:dataBar>
          </x14:cfRule>
          <xm:sqref>N17:N20</xm:sqref>
        </x14:conditionalFormatting>
        <x14:conditionalFormatting xmlns:xm="http://schemas.microsoft.com/office/excel/2006/main">
          <x14:cfRule type="dataBar" id="{1F18C40A-A33A-4D0B-B57F-47D9D6CF0D64}">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26AC0999-7FF4-4431-B91F-7A7C0E85B670}">
            <x14:dataBar minLength="0" maxLength="100" gradient="0">
              <x14:cfvo type="autoMin"/>
              <x14:cfvo type="autoMax"/>
              <x14:negativeFillColor rgb="FFFF0000"/>
              <x14:axisColor rgb="FF000000"/>
            </x14:dataBar>
          </x14:cfRule>
          <xm:sqref>O17:O20</xm:sqref>
        </x14:conditionalFormatting>
        <x14:conditionalFormatting xmlns:xm="http://schemas.microsoft.com/office/excel/2006/main">
          <x14:cfRule type="dataBar" id="{BA11135A-0895-4A01-87D0-A486C9D5843C}">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00154FAC-2C70-4EF2-A308-BA8404420986}">
            <x14:dataBar minLength="0" maxLength="100" gradient="0">
              <x14:cfvo type="autoMin"/>
              <x14:cfvo type="autoMax"/>
              <x14:negativeFillColor rgb="FFFF0000"/>
              <x14:axisColor rgb="FF000000"/>
            </x14:dataBar>
          </x14:cfRule>
          <xm:sqref>P17:P20</xm:sqref>
        </x14:conditionalFormatting>
        <x14:conditionalFormatting xmlns:xm="http://schemas.microsoft.com/office/excel/2006/main">
          <x14:cfRule type="dataBar" id="{A1AE97AD-5647-4F9F-A100-6C15C1895B18}">
            <x14:dataBar minLength="0" maxLength="100" gradient="0">
              <x14:cfvo type="autoMin"/>
              <x14:cfvo type="autoMax"/>
              <x14:negativeFillColor rgb="FFFF0000"/>
              <x14:axisColor rgb="FF000000"/>
            </x14:dataBar>
          </x14:cfRule>
          <xm:sqref>P17:P21</xm:sqref>
        </x14:conditionalFormatting>
        <x14:conditionalFormatting xmlns:xm="http://schemas.microsoft.com/office/excel/2006/main">
          <x14:cfRule type="dataBar" id="{E25FCA19-5187-42DE-ACC0-FA124C432602}">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CA13E27F-6DDD-451D-9981-58C3F52DF064}">
            <x14:dataBar minLength="0" maxLength="100" gradient="0">
              <x14:cfvo type="autoMin"/>
              <x14:cfvo type="autoMax"/>
              <x14:negativeFillColor rgb="FFFF0000"/>
              <x14:axisColor rgb="FF000000"/>
            </x14:dataBar>
          </x14:cfRule>
          <x14:cfRule type="dataBar" id="{ECB61C77-2C43-48F4-8A50-733EB85A1CEE}">
            <x14:dataBar minLength="0" maxLength="100" gradient="0">
              <x14:cfvo type="autoMin"/>
              <x14:cfvo type="autoMax"/>
              <x14:negativeFillColor rgb="FFFF0000"/>
              <x14:axisColor rgb="FF000000"/>
            </x14:dataBar>
          </x14:cfRule>
          <x14:cfRule type="dataBar" id="{657DE2C6-03A4-4EDE-99AD-798EB4DDA82C}">
            <x14:dataBar minLength="0" maxLength="100" gradient="0">
              <x14:cfvo type="autoMin"/>
              <x14:cfvo type="autoMax"/>
              <x14:negativeFillColor rgb="FFFF0000"/>
              <x14:axisColor rgb="FF000000"/>
            </x14:dataBar>
          </x14:cfRule>
          <x14:cfRule type="dataBar" id="{44059659-321E-4F16-A91E-71EB67462F51}">
            <x14:dataBar minLength="0" maxLength="100" gradient="0">
              <x14:cfvo type="autoMin"/>
              <x14:cfvo type="autoMax"/>
              <x14:negativeFillColor rgb="FFFF0000"/>
              <x14:axisColor rgb="FF000000"/>
            </x14:dataBar>
          </x14:cfRule>
          <xm:sqref>P21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
  <sheetViews>
    <sheetView workbookViewId="0"/>
  </sheetViews>
  <sheetFormatPr defaultColWidth="11.42578125" defaultRowHeight="12.75"/>
  <cols>
    <col min="1" max="1" width="27.140625" bestFit="1" customWidth="1"/>
  </cols>
  <sheetData>
    <row r="1" spans="1:1">
      <c r="A1" t="s">
        <v>241</v>
      </c>
    </row>
    <row r="2" spans="1:1">
      <c r="A2" t="s">
        <v>242</v>
      </c>
    </row>
    <row r="3" spans="1:1">
      <c r="A3" t="s">
        <v>243</v>
      </c>
    </row>
    <row r="4" spans="1:1">
      <c r="A4" t="s">
        <v>244</v>
      </c>
    </row>
    <row r="5" spans="1:1">
      <c r="A5" t="s">
        <v>245</v>
      </c>
    </row>
    <row r="6" spans="1:1">
      <c r="A6" s="11" t="s">
        <v>246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M74"/>
  <sheetViews>
    <sheetView showGridLines="0" topLeftCell="A38" zoomScale="85" zoomScaleNormal="85" workbookViewId="0">
      <selection activeCell="D54" sqref="D54"/>
    </sheetView>
  </sheetViews>
  <sheetFormatPr defaultColWidth="11.42578125" defaultRowHeight="12.75"/>
  <cols>
    <col min="1" max="1" width="0.42578125" customWidth="1"/>
    <col min="2" max="2" width="39.28515625" customWidth="1"/>
    <col min="3" max="4" width="32.140625" customWidth="1"/>
    <col min="5" max="5" width="33.42578125" customWidth="1"/>
    <col min="6" max="6" width="33.7109375" customWidth="1"/>
    <col min="7" max="7" width="32.140625" customWidth="1"/>
    <col min="8" max="8" width="46.140625" customWidth="1"/>
    <col min="9" max="9" width="15.42578125" customWidth="1"/>
    <col min="11" max="11" width="25.7109375" customWidth="1"/>
  </cols>
  <sheetData>
    <row r="1" spans="2:13" ht="15">
      <c r="B1" s="234" t="s">
        <v>247</v>
      </c>
      <c r="C1" s="235" t="s">
        <v>248</v>
      </c>
      <c r="D1" s="1040" t="s">
        <v>210</v>
      </c>
      <c r="E1" s="1040"/>
      <c r="F1" s="1040"/>
      <c r="G1" s="1040"/>
      <c r="H1" s="1040"/>
    </row>
    <row r="2" spans="2:13" ht="81.75" customHeight="1">
      <c r="B2" s="236"/>
      <c r="C2" s="465" t="e" vm="2">
        <f>D8</f>
        <v>#VALUE!</v>
      </c>
      <c r="D2" s="1041" t="s">
        <v>249</v>
      </c>
      <c r="E2" s="1042"/>
      <c r="F2" s="1042"/>
      <c r="G2" s="1042"/>
      <c r="H2" s="1043"/>
    </row>
    <row r="3" spans="2:13" ht="81.75" customHeight="1">
      <c r="B3" s="236"/>
      <c r="C3" s="466" t="e" vm="3">
        <f>E8</f>
        <v>#VALUE!</v>
      </c>
      <c r="D3" s="1037" t="s">
        <v>250</v>
      </c>
      <c r="E3" s="1038"/>
      <c r="F3" s="1038"/>
      <c r="G3" s="1038"/>
      <c r="H3" s="1039"/>
    </row>
    <row r="4" spans="2:13" ht="81.75" customHeight="1">
      <c r="B4" s="236"/>
      <c r="C4" s="467" t="e" vm="4">
        <f>F8</f>
        <v>#VALUE!</v>
      </c>
      <c r="D4" s="1037" t="s">
        <v>251</v>
      </c>
      <c r="E4" s="1038"/>
      <c r="F4" s="1038"/>
      <c r="G4" s="1038"/>
      <c r="H4" s="1039"/>
      <c r="K4" s="116"/>
    </row>
    <row r="5" spans="2:13" ht="81.75" customHeight="1">
      <c r="B5" s="236"/>
      <c r="C5" s="468" t="e" vm="5">
        <f>G8</f>
        <v>#VALUE!</v>
      </c>
      <c r="D5" s="1037" t="s">
        <v>252</v>
      </c>
      <c r="E5" s="1038"/>
      <c r="F5" s="1038"/>
      <c r="G5" s="1038"/>
      <c r="H5" s="1039"/>
      <c r="K5" s="774"/>
      <c r="L5" t="s">
        <v>253</v>
      </c>
    </row>
    <row r="6" spans="2:13" ht="81.75" customHeight="1">
      <c r="B6" s="236"/>
      <c r="C6" s="469" t="e" vm="6">
        <f>H8</f>
        <v>#VALUE!</v>
      </c>
      <c r="D6" s="1037" t="s">
        <v>254</v>
      </c>
      <c r="E6" s="1038"/>
      <c r="F6" s="1038"/>
      <c r="G6" s="1038"/>
      <c r="H6" s="1039"/>
      <c r="K6" s="775"/>
    </row>
    <row r="7" spans="2:13" ht="13.5" thickBot="1">
      <c r="B7" s="11"/>
    </row>
    <row r="8" spans="2:13" ht="36" customHeight="1">
      <c r="B8" s="233" t="s">
        <v>255</v>
      </c>
      <c r="C8" s="459" t="e" vm="1">
        <f>OP!E2</f>
        <v>#VALUE!</v>
      </c>
      <c r="D8" s="460" t="e" vm="2">
        <v>#VALUE!</v>
      </c>
      <c r="E8" s="461" t="e" vm="3">
        <v>#VALUE!</v>
      </c>
      <c r="F8" s="462" t="e" vm="4">
        <v>#VALUE!</v>
      </c>
      <c r="G8" s="463" t="e" vm="5">
        <v>#VALUE!</v>
      </c>
      <c r="H8" s="464" t="e" vm="6">
        <v>#VALUE!</v>
      </c>
      <c r="I8" s="213" t="s">
        <v>238</v>
      </c>
    </row>
    <row r="9" spans="2:13" ht="16.5" customHeight="1" thickBot="1">
      <c r="B9" s="211" t="s">
        <v>256</v>
      </c>
      <c r="C9" s="195"/>
      <c r="D9" s="196"/>
      <c r="E9" s="196"/>
      <c r="F9" s="196"/>
      <c r="G9" s="196"/>
      <c r="H9" s="197"/>
      <c r="I9" s="198" t="str">
        <f>IFERROR(AVERAGE(C9:H9),"")</f>
        <v/>
      </c>
      <c r="K9" s="681" t="s">
        <v>257</v>
      </c>
    </row>
    <row r="10" spans="2:13" ht="13.5" customHeight="1" thickBot="1">
      <c r="B10" s="208" t="s">
        <v>258</v>
      </c>
      <c r="C10" s="193">
        <v>19473</v>
      </c>
      <c r="D10" s="193">
        <v>27350</v>
      </c>
      <c r="E10" s="193">
        <v>36220</v>
      </c>
      <c r="F10" s="193">
        <v>78170</v>
      </c>
      <c r="G10" s="193">
        <v>29980</v>
      </c>
      <c r="H10" s="193">
        <v>63090</v>
      </c>
      <c r="I10" s="223">
        <f>IFERROR(AVERAGE(C10:H10),"")</f>
        <v>42380.5</v>
      </c>
      <c r="K10" s="1033">
        <f>C11/SUM(C11:H11)</f>
        <v>6.899540709326306E-3</v>
      </c>
      <c r="L10" s="1035"/>
      <c r="M10" s="1035"/>
    </row>
    <row r="11" spans="2:13" ht="13.5" thickBot="1">
      <c r="B11" s="210" t="s">
        <v>259</v>
      </c>
      <c r="C11" s="207">
        <f>C53</f>
        <v>2372</v>
      </c>
      <c r="D11" s="207">
        <f>D53</f>
        <v>14486</v>
      </c>
      <c r="E11" s="207">
        <f t="shared" ref="E11:H11" si="0">E53</f>
        <v>17785</v>
      </c>
      <c r="F11" s="207">
        <f t="shared" si="0"/>
        <v>57767</v>
      </c>
      <c r="G11" s="207">
        <f t="shared" si="0"/>
        <v>110864</v>
      </c>
      <c r="H11" s="207">
        <f t="shared" si="0"/>
        <v>140517</v>
      </c>
      <c r="I11" s="224">
        <f t="shared" ref="I11:I40" si="1">IFERROR(AVERAGE(C11:H11),"")</f>
        <v>57298.5</v>
      </c>
      <c r="K11" s="1034"/>
      <c r="L11" s="1035"/>
      <c r="M11" s="1035"/>
    </row>
    <row r="12" spans="2:13" ht="16.5" customHeight="1" thickBot="1">
      <c r="B12" s="211" t="s">
        <v>260</v>
      </c>
      <c r="C12" s="222"/>
      <c r="D12" s="222"/>
      <c r="E12" s="222"/>
      <c r="F12" s="222"/>
      <c r="G12" s="222"/>
      <c r="H12" s="222"/>
      <c r="I12" s="225" t="str">
        <f t="shared" si="1"/>
        <v/>
      </c>
      <c r="K12" s="1032"/>
      <c r="L12" s="1036"/>
      <c r="M12" s="1036"/>
    </row>
    <row r="13" spans="2:13" ht="13.5" thickBot="1">
      <c r="B13" s="208" t="s">
        <v>261</v>
      </c>
      <c r="C13" s="219">
        <f>C53/C52-1</f>
        <v>0.34926052332195678</v>
      </c>
      <c r="D13" s="219">
        <f t="shared" ref="D13:H13" si="2">D53/D52-1</f>
        <v>-7.0635786232116526E-2</v>
      </c>
      <c r="E13" s="219">
        <f t="shared" si="2"/>
        <v>0.7036746110813088</v>
      </c>
      <c r="F13" s="219">
        <f t="shared" si="2"/>
        <v>0.29758080819425414</v>
      </c>
      <c r="G13" s="219">
        <f t="shared" si="2"/>
        <v>0.43312908813568085</v>
      </c>
      <c r="H13" s="219">
        <f t="shared" si="2"/>
        <v>0.46148085743704947</v>
      </c>
      <c r="I13" s="226">
        <f t="shared" si="1"/>
        <v>0.36241501698968892</v>
      </c>
      <c r="K13" s="1032"/>
      <c r="L13" s="1036"/>
      <c r="M13" s="1036"/>
    </row>
    <row r="14" spans="2:13" ht="13.5" thickBot="1">
      <c r="B14" s="209" t="s">
        <v>262</v>
      </c>
      <c r="C14" s="220">
        <f>C53/C51-1</f>
        <v>0.30043859649122817</v>
      </c>
      <c r="D14" s="220">
        <f t="shared" ref="D14:H14" si="3">D53/D51-1</f>
        <v>0.1925578332098461</v>
      </c>
      <c r="E14" s="220">
        <f t="shared" si="3"/>
        <v>0.88600212089077401</v>
      </c>
      <c r="F14" s="220">
        <f t="shared" si="3"/>
        <v>0.45843116463430023</v>
      </c>
      <c r="G14" s="220">
        <f t="shared" si="3"/>
        <v>1.7038021608175011</v>
      </c>
      <c r="H14" s="220">
        <f t="shared" si="3"/>
        <v>0.90358589484807017</v>
      </c>
      <c r="I14" s="227">
        <f t="shared" si="1"/>
        <v>0.7408029618152866</v>
      </c>
      <c r="L14" s="600"/>
      <c r="M14" s="600"/>
    </row>
    <row r="15" spans="2:13" ht="13.5" thickBot="1">
      <c r="B15" s="209" t="s">
        <v>132</v>
      </c>
      <c r="C15" s="220">
        <f>C56/C53</f>
        <v>0.5950674536256324</v>
      </c>
      <c r="D15" s="220">
        <f t="shared" ref="D15:H15" si="4">D56/D53</f>
        <v>-0.1101753417092365</v>
      </c>
      <c r="E15" s="220">
        <f t="shared" si="4"/>
        <v>8.5459657014337928E-2</v>
      </c>
      <c r="F15" s="220">
        <f t="shared" si="4"/>
        <v>0.14748905084217634</v>
      </c>
      <c r="G15" s="220">
        <f t="shared" si="4"/>
        <v>-0.11154206956270746</v>
      </c>
      <c r="H15" s="220">
        <f t="shared" si="4"/>
        <v>7.2838161930584913E-2</v>
      </c>
      <c r="I15" s="227">
        <f>IFERROR(AVERAGE(C15:H15),"")</f>
        <v>0.11318948535679792</v>
      </c>
      <c r="L15" s="600"/>
      <c r="M15" s="600"/>
    </row>
    <row r="16" spans="2:13" ht="13.5" thickBot="1">
      <c r="B16" s="209" t="s">
        <v>263</v>
      </c>
      <c r="C16" s="220">
        <f>C59/C53</f>
        <v>0.25978077571669478</v>
      </c>
      <c r="D16" s="220">
        <f t="shared" ref="D16:H16" si="5">D59/D53</f>
        <v>-0.1085185696534585</v>
      </c>
      <c r="E16" s="220">
        <f t="shared" si="5"/>
        <v>0.11435479336519538</v>
      </c>
      <c r="F16" s="220">
        <f t="shared" si="5"/>
        <v>8.0426541104783006E-2</v>
      </c>
      <c r="G16" s="220">
        <f t="shared" si="5"/>
        <v>4.2583706162505411E-2</v>
      </c>
      <c r="H16" s="220">
        <f t="shared" si="5"/>
        <v>3.8429513866649584E-2</v>
      </c>
      <c r="I16" s="227">
        <f t="shared" si="1"/>
        <v>7.1176126760394934E-2</v>
      </c>
    </row>
    <row r="17" spans="1:9" ht="13.5" thickBot="1">
      <c r="B17" s="209" t="s">
        <v>264</v>
      </c>
      <c r="C17" s="220">
        <f>C59/C70</f>
        <v>6.8269443828938625E-2</v>
      </c>
      <c r="D17" s="220">
        <f t="shared" ref="D17:H17" si="6">D59/D70</f>
        <v>-0.51915455746367234</v>
      </c>
      <c r="E17" s="220">
        <f t="shared" si="6"/>
        <v>0.15833644743398106</v>
      </c>
      <c r="F17" s="220">
        <f t="shared" si="6"/>
        <v>7.4662124158323559E-2</v>
      </c>
      <c r="G17" s="220">
        <f t="shared" si="6"/>
        <v>0.26390519313544636</v>
      </c>
      <c r="H17" s="220">
        <f t="shared" si="6"/>
        <v>0.12753294601105286</v>
      </c>
      <c r="I17" s="227">
        <f t="shared" si="1"/>
        <v>2.8925266184011689E-2</v>
      </c>
    </row>
    <row r="18" spans="1:9" ht="13.5" thickBot="1">
      <c r="B18" s="210" t="s">
        <v>265</v>
      </c>
      <c r="C18" s="649">
        <f>(C59+C58)/(C69+C70)</f>
        <v>3.1212959304622683E-2</v>
      </c>
      <c r="D18" s="221">
        <f t="shared" ref="D18:H18" si="7">(D59+D58)/(D69+D70)</f>
        <v>-0.31090742438130153</v>
      </c>
      <c r="E18" s="221">
        <f t="shared" si="7"/>
        <v>0.10617101497015319</v>
      </c>
      <c r="F18" s="221">
        <f t="shared" si="7"/>
        <v>5.0017836212607657E-2</v>
      </c>
      <c r="G18" s="221">
        <f t="shared" si="7"/>
        <v>9.9822590183323484E-2</v>
      </c>
      <c r="H18" s="221">
        <f t="shared" si="7"/>
        <v>6.1292059932368602E-2</v>
      </c>
      <c r="I18" s="228">
        <f t="shared" si="1"/>
        <v>6.2681727036290177E-3</v>
      </c>
    </row>
    <row r="19" spans="1:9" ht="16.5" thickBot="1">
      <c r="B19" s="211" t="s">
        <v>266</v>
      </c>
      <c r="C19" s="222"/>
      <c r="D19" s="222"/>
      <c r="E19" s="222"/>
      <c r="F19" s="222"/>
      <c r="G19" s="222"/>
      <c r="H19" s="222"/>
      <c r="I19" s="229" t="str">
        <f t="shared" si="1"/>
        <v/>
      </c>
    </row>
    <row r="20" spans="1:9" ht="13.5" thickBot="1">
      <c r="B20" s="208" t="s">
        <v>77</v>
      </c>
      <c r="C20" s="454">
        <f>C69/C66</f>
        <v>0.22405703269923252</v>
      </c>
      <c r="D20" s="454">
        <f t="shared" ref="D20:H20" si="8">D69/D66</f>
        <v>0.12080637132901942</v>
      </c>
      <c r="E20" s="454">
        <f t="shared" si="8"/>
        <v>0.22775408931746458</v>
      </c>
      <c r="F20" s="454">
        <f t="shared" si="8"/>
        <v>0.33518301592860505</v>
      </c>
      <c r="G20" s="454">
        <f t="shared" si="8"/>
        <v>0.27422573668784811</v>
      </c>
      <c r="H20" s="454">
        <f t="shared" si="8"/>
        <v>0.34270319899487772</v>
      </c>
      <c r="I20" s="503">
        <f>IFERROR(AVERAGE(C20:H20),"")</f>
        <v>0.25412157415950792</v>
      </c>
    </row>
    <row r="21" spans="1:9" ht="13.5" thickBot="1">
      <c r="B21" s="209" t="s">
        <v>267</v>
      </c>
      <c r="C21" s="455">
        <f>(C69-C61)/C55</f>
        <v>4.2699024139702111</v>
      </c>
      <c r="D21" s="455">
        <f t="shared" ref="D21:H21" si="9">(D69-D61)/D55</f>
        <v>-2.0579519262430029E-4</v>
      </c>
      <c r="E21" s="455">
        <f t="shared" si="9"/>
        <v>2.7339062098343798</v>
      </c>
      <c r="F21" s="455">
        <f t="shared" si="9"/>
        <v>3.8526051188299819</v>
      </c>
      <c r="G21" s="455">
        <f t="shared" si="9"/>
        <v>3.6241469164908797</v>
      </c>
      <c r="H21" s="455">
        <f t="shared" si="9"/>
        <v>2.904431730023274</v>
      </c>
      <c r="I21" s="503">
        <f t="shared" si="1"/>
        <v>2.8974644323260166</v>
      </c>
    </row>
    <row r="22" spans="1:9" ht="13.5" thickBot="1">
      <c r="B22" s="210" t="s">
        <v>268</v>
      </c>
      <c r="C22" s="456">
        <f t="shared" ref="C22:H22" si="10">-C55/C57</f>
        <v>6.4863964464186568</v>
      </c>
      <c r="D22" s="672">
        <f>-D55/D57</f>
        <v>4338.5714285714284</v>
      </c>
      <c r="E22" s="456">
        <f t="shared" si="10"/>
        <v>-7.6021775544388612</v>
      </c>
      <c r="F22" s="456">
        <f t="shared" si="10"/>
        <v>-9.7678571428571423</v>
      </c>
      <c r="G22" s="456">
        <f t="shared" si="10"/>
        <v>-4.9593846153846153</v>
      </c>
      <c r="H22" s="456">
        <f t="shared" si="10"/>
        <v>-3.548520302821748</v>
      </c>
      <c r="I22" s="504">
        <f t="shared" si="1"/>
        <v>719.86331423372405</v>
      </c>
    </row>
    <row r="23" spans="1:9" ht="16.5" thickBot="1">
      <c r="B23" s="211" t="s">
        <v>269</v>
      </c>
      <c r="C23" s="222"/>
      <c r="D23" s="222"/>
      <c r="E23" s="222"/>
      <c r="F23" s="222"/>
      <c r="G23" s="222"/>
      <c r="H23" s="222"/>
      <c r="I23" s="505"/>
    </row>
    <row r="24" spans="1:9" ht="13.5" thickBot="1">
      <c r="B24" s="208" t="s">
        <v>270</v>
      </c>
      <c r="C24" s="454">
        <f>C64/C68</f>
        <v>0.65187901008249316</v>
      </c>
      <c r="D24" s="454">
        <f t="shared" ref="D24:H24" si="11">D64/D68</f>
        <v>1.008510323392289</v>
      </c>
      <c r="E24" s="454">
        <f t="shared" si="11"/>
        <v>1.5056922037669873</v>
      </c>
      <c r="F24" s="454">
        <f t="shared" si="11"/>
        <v>0.81026554404145079</v>
      </c>
      <c r="G24" s="454">
        <f t="shared" si="11"/>
        <v>0.96571301621781735</v>
      </c>
      <c r="H24" s="454">
        <f t="shared" si="11"/>
        <v>0.86514598540145982</v>
      </c>
      <c r="I24" s="506">
        <f t="shared" si="1"/>
        <v>0.96786768048374971</v>
      </c>
    </row>
    <row r="25" spans="1:9" ht="13.5" thickBot="1">
      <c r="B25" s="210" t="s">
        <v>271</v>
      </c>
      <c r="C25" s="455">
        <f>(C61+C62)/C68</f>
        <v>0.29019248395967001</v>
      </c>
      <c r="D25" s="455">
        <f t="shared" ref="D25:H25" si="12">(D61+D62)/D68</f>
        <v>0.4393546954784282</v>
      </c>
      <c r="E25" s="455">
        <f t="shared" si="12"/>
        <v>0.39118254788206308</v>
      </c>
      <c r="F25" s="455">
        <f t="shared" si="12"/>
        <v>0.45220207253886008</v>
      </c>
      <c r="G25" s="455" t="e">
        <f t="shared" si="12"/>
        <v>#VALUE!</v>
      </c>
      <c r="H25" s="455" t="e">
        <f t="shared" si="12"/>
        <v>#VALUE!</v>
      </c>
      <c r="I25" s="504" t="str">
        <f t="shared" si="1"/>
        <v/>
      </c>
    </row>
    <row r="26" spans="1:9" ht="16.5" thickBot="1">
      <c r="B26" s="211" t="s">
        <v>272</v>
      </c>
      <c r="C26" s="222"/>
      <c r="D26" s="222"/>
      <c r="E26" s="222"/>
      <c r="F26" s="222"/>
      <c r="G26" s="222"/>
      <c r="H26" s="222"/>
      <c r="I26" s="505" t="str">
        <f t="shared" si="1"/>
        <v/>
      </c>
    </row>
    <row r="27" spans="1:9" ht="13.5" thickBot="1">
      <c r="B27" s="208" t="s">
        <v>273</v>
      </c>
      <c r="C27" s="650">
        <f>C54/C63</f>
        <v>1.5849802371541502</v>
      </c>
      <c r="D27" s="454">
        <f t="shared" ref="D27:H27" si="13">D54/D63</f>
        <v>2.2428997332496468</v>
      </c>
      <c r="E27" s="454">
        <f t="shared" si="13"/>
        <v>6.8896213479590758</v>
      </c>
      <c r="F27" s="454">
        <f t="shared" si="13"/>
        <v>15.631055363321799</v>
      </c>
      <c r="G27" s="454">
        <f t="shared" si="13"/>
        <v>123.37583254043768</v>
      </c>
      <c r="H27" s="454">
        <f t="shared" si="13"/>
        <v>38.685742639761827</v>
      </c>
      <c r="I27" s="506">
        <f t="shared" si="1"/>
        <v>31.401688643647361</v>
      </c>
    </row>
    <row r="28" spans="1:9" ht="13.5" thickBot="1">
      <c r="B28" s="209" t="s">
        <v>274</v>
      </c>
      <c r="C28" s="455">
        <f>C53/C62</f>
        <v>5.7698856725857448</v>
      </c>
      <c r="D28" s="455">
        <f t="shared" ref="D28:H28" si="14">D53/D62</f>
        <v>4.0407252440725241</v>
      </c>
      <c r="E28" s="455">
        <f>E53/E62</f>
        <v>10.090207647793033</v>
      </c>
      <c r="F28" s="455">
        <f t="shared" si="14"/>
        <v>6.3972314507198229</v>
      </c>
      <c r="G28" s="455" t="e">
        <f>G53/G62</f>
        <v>#VALUE!</v>
      </c>
      <c r="H28" s="455" t="e">
        <f t="shared" si="14"/>
        <v>#VALUE!</v>
      </c>
      <c r="I28" s="503" t="str">
        <f t="shared" si="1"/>
        <v/>
      </c>
    </row>
    <row r="29" spans="1:9" ht="13.5" thickBot="1">
      <c r="A29" s="11" t="s">
        <v>275</v>
      </c>
      <c r="B29" s="209" t="s">
        <v>276</v>
      </c>
      <c r="C29" s="651">
        <f>C54/C67</f>
        <v>0.13737581363480644</v>
      </c>
      <c r="D29" s="455">
        <f t="shared" ref="D29:H29" si="15">D54/D67</f>
        <v>3.4957202249938861</v>
      </c>
      <c r="E29" s="455">
        <f t="shared" si="15"/>
        <v>4.7072748892011669</v>
      </c>
      <c r="F29" s="455">
        <f t="shared" si="15"/>
        <v>5.6938711202142747</v>
      </c>
      <c r="G29" s="455" t="e">
        <f t="shared" si="15"/>
        <v>#VALUE!</v>
      </c>
      <c r="H29" s="455" t="e">
        <f t="shared" si="15"/>
        <v>#VALUE!</v>
      </c>
      <c r="I29" s="503" t="str">
        <f t="shared" si="1"/>
        <v/>
      </c>
    </row>
    <row r="30" spans="1:9" ht="13.5" thickBot="1">
      <c r="B30" s="209" t="s">
        <v>277</v>
      </c>
      <c r="C30" s="455">
        <f>C53/C65</f>
        <v>0.13258062713095969</v>
      </c>
      <c r="D30" s="455">
        <f t="shared" ref="D30:H30" si="16">D53/D65</f>
        <v>8.2682648401826491</v>
      </c>
      <c r="E30" s="455">
        <f t="shared" si="16"/>
        <v>0.74451607501674477</v>
      </c>
      <c r="F30" s="455">
        <f t="shared" si="16"/>
        <v>0.61411789719874554</v>
      </c>
      <c r="G30" s="455">
        <f t="shared" si="16"/>
        <v>2.9052410901467507</v>
      </c>
      <c r="H30" s="455">
        <f t="shared" si="16"/>
        <v>1.6615073546800359</v>
      </c>
      <c r="I30" s="503">
        <f t="shared" si="1"/>
        <v>2.3877046473926473</v>
      </c>
    </row>
    <row r="31" spans="1:9" ht="13.5" thickBot="1">
      <c r="B31" s="210" t="s">
        <v>278</v>
      </c>
      <c r="C31" s="456">
        <f>C53/C66</f>
        <v>8.6276506747172008E-2</v>
      </c>
      <c r="D31" s="456">
        <f t="shared" ref="D31:H31" si="17">D53/D66</f>
        <v>0.72105525136884019</v>
      </c>
      <c r="E31" s="456">
        <f t="shared" si="17"/>
        <v>0.42106534148079577</v>
      </c>
      <c r="F31" s="456">
        <f t="shared" si="17"/>
        <v>0.34880505271293488</v>
      </c>
      <c r="G31" s="456">
        <f t="shared" si="17"/>
        <v>0.92572583271403397</v>
      </c>
      <c r="H31" s="456">
        <f t="shared" si="17"/>
        <v>0.67902290518991015</v>
      </c>
      <c r="I31" s="503">
        <f t="shared" si="1"/>
        <v>0.53032514836894784</v>
      </c>
    </row>
    <row r="32" spans="1:9" ht="16.5" thickBot="1">
      <c r="B32" s="212" t="s">
        <v>119</v>
      </c>
      <c r="C32" s="222"/>
      <c r="D32" s="222"/>
      <c r="E32" s="222"/>
      <c r="F32" s="222"/>
      <c r="G32" s="222"/>
      <c r="H32" s="222"/>
      <c r="I32" s="230" t="str">
        <f t="shared" si="1"/>
        <v/>
      </c>
    </row>
    <row r="33" spans="2:11" ht="13.5" thickBot="1">
      <c r="B33" s="216" t="s">
        <v>279</v>
      </c>
      <c r="C33" s="458">
        <f>C10/C59</f>
        <v>31.601752677702041</v>
      </c>
      <c r="D33" s="458">
        <f>D10/D59</f>
        <v>-17.398218829516541</v>
      </c>
      <c r="E33" s="457">
        <f t="shared" ref="E33:H33" si="18">E10/E59</f>
        <v>17.80902743632609</v>
      </c>
      <c r="F33" s="457">
        <f t="shared" si="18"/>
        <v>16.825226000860955</v>
      </c>
      <c r="G33" s="457">
        <f t="shared" si="18"/>
        <v>6.3503495022241054</v>
      </c>
      <c r="H33" s="457">
        <f t="shared" si="18"/>
        <v>11.683333333333334</v>
      </c>
      <c r="I33" s="506">
        <f t="shared" si="1"/>
        <v>11.145245020154997</v>
      </c>
    </row>
    <row r="34" spans="2:11" ht="13.5" thickBot="1">
      <c r="B34" s="217" t="s">
        <v>275</v>
      </c>
      <c r="C34" s="458">
        <f>C10/C53</f>
        <v>8.2095278246205741</v>
      </c>
      <c r="D34" s="458">
        <f t="shared" ref="D34:H34" si="19">D10/D53</f>
        <v>1.888029821897004</v>
      </c>
      <c r="E34" s="458">
        <f t="shared" si="19"/>
        <v>2.0365476525161652</v>
      </c>
      <c r="F34" s="458">
        <f t="shared" si="19"/>
        <v>1.3531947305555074</v>
      </c>
      <c r="G34" s="458">
        <f t="shared" si="19"/>
        <v>0.27042141723192381</v>
      </c>
      <c r="H34" s="458">
        <f t="shared" si="19"/>
        <v>0.44898482034202269</v>
      </c>
      <c r="I34" s="503">
        <f t="shared" si="1"/>
        <v>2.367784377860533</v>
      </c>
    </row>
    <row r="35" spans="2:11" ht="13.5" thickBot="1">
      <c r="B35" s="217" t="s">
        <v>280</v>
      </c>
      <c r="C35" s="458">
        <f>C10/C70</f>
        <v>2.1574340793263906</v>
      </c>
      <c r="D35" s="458">
        <f t="shared" ref="D35:H35" si="20">D10/D70</f>
        <v>9.0323645970937907</v>
      </c>
      <c r="E35" s="458">
        <f t="shared" si="20"/>
        <v>2.8198181365221724</v>
      </c>
      <c r="F35" s="458">
        <f t="shared" si="20"/>
        <v>1.2562071126681345</v>
      </c>
      <c r="G35" s="458">
        <f t="shared" si="20"/>
        <v>1.675890211862038</v>
      </c>
      <c r="H35" s="458">
        <f t="shared" si="20"/>
        <v>1.4900099192291343</v>
      </c>
      <c r="I35" s="503">
        <f t="shared" si="1"/>
        <v>3.0719540094502769</v>
      </c>
      <c r="K35" s="11"/>
    </row>
    <row r="36" spans="2:11" ht="13.5" thickBot="1">
      <c r="B36" s="217" t="s">
        <v>281</v>
      </c>
      <c r="C36" s="458">
        <f>(C69+C10-C61)/C53</f>
        <v>10.312436762225969</v>
      </c>
      <c r="D36" s="458">
        <f t="shared" ref="D36:H36" si="21">(D69+D10-D61)/D53</f>
        <v>1.8932072345713102</v>
      </c>
      <c r="E36" s="458">
        <f t="shared" si="21"/>
        <v>2.455141973573236</v>
      </c>
      <c r="F36" s="458">
        <f t="shared" si="21"/>
        <v>2.2287292052555956</v>
      </c>
      <c r="G36" s="458">
        <f t="shared" si="21"/>
        <v>0.53387032760860154</v>
      </c>
      <c r="H36" s="458">
        <f t="shared" si="21"/>
        <v>0.87527487777279622</v>
      </c>
      <c r="I36" s="503">
        <f t="shared" si="1"/>
        <v>3.0497767301679182</v>
      </c>
    </row>
    <row r="37" spans="2:11" ht="13.5" thickBot="1">
      <c r="B37" s="215" t="s">
        <v>282</v>
      </c>
      <c r="C37" s="458">
        <f>(C69+C10-C61)/C55</f>
        <v>20.939137134052388</v>
      </c>
      <c r="D37" s="728">
        <f>(D69+D10-D61)/D55</f>
        <v>-7.5252442102952469E-2</v>
      </c>
      <c r="E37" s="687">
        <f t="shared" ref="E37:H37" si="22">(E69+E10-E61)/E55</f>
        <v>16.034923432852267</v>
      </c>
      <c r="F37" s="687">
        <f t="shared" si="22"/>
        <v>9.807053625837904</v>
      </c>
      <c r="G37" s="687">
        <f t="shared" si="22"/>
        <v>7.3442114406253873</v>
      </c>
      <c r="H37" s="687">
        <f t="shared" si="22"/>
        <v>5.963489138867339</v>
      </c>
      <c r="I37" s="504">
        <f t="shared" si="1"/>
        <v>10.002260388355388</v>
      </c>
    </row>
    <row r="38" spans="2:11" ht="16.5" thickBot="1">
      <c r="B38" s="212" t="s">
        <v>283</v>
      </c>
      <c r="C38" s="222"/>
      <c r="D38" s="222"/>
      <c r="E38" s="222"/>
      <c r="F38" s="222"/>
      <c r="G38" s="222"/>
      <c r="H38" s="222"/>
      <c r="I38" s="231" t="str">
        <f t="shared" si="1"/>
        <v/>
      </c>
    </row>
    <row r="39" spans="2:11" ht="13.5" thickBot="1">
      <c r="B39" s="216" t="s">
        <v>50</v>
      </c>
      <c r="C39" s="608">
        <f>OP!M19</f>
        <v>0.28485576923076922</v>
      </c>
      <c r="D39" s="609">
        <v>0.99099999999999999</v>
      </c>
      <c r="E39" s="609">
        <v>0.1734</v>
      </c>
      <c r="F39" s="609">
        <v>0.52690000000000003</v>
      </c>
      <c r="G39" s="609">
        <v>0.99490000000000001</v>
      </c>
      <c r="H39" s="609">
        <v>0.99639999999999995</v>
      </c>
      <c r="I39" s="226">
        <f t="shared" si="1"/>
        <v>0.66124262820512814</v>
      </c>
    </row>
    <row r="40" spans="2:11" ht="13.5" thickBot="1">
      <c r="B40" s="214" t="s">
        <v>284</v>
      </c>
      <c r="C40" s="282" t="str">
        <f>OP!M21</f>
        <v>0.54</v>
      </c>
      <c r="D40" s="282">
        <v>0.66</v>
      </c>
      <c r="E40" s="282">
        <v>0.99</v>
      </c>
      <c r="F40" s="282">
        <v>0.17</v>
      </c>
      <c r="G40" s="282">
        <v>0.55000000000000004</v>
      </c>
      <c r="H40" s="282">
        <v>0.79</v>
      </c>
      <c r="I40" s="237">
        <f t="shared" si="1"/>
        <v>0.63200000000000001</v>
      </c>
    </row>
    <row r="41" spans="2:11" ht="13.5" thickBot="1">
      <c r="B41" s="215" t="s">
        <v>285</v>
      </c>
      <c r="C41" s="652">
        <f>OP!M31</f>
        <v>1.0108902436366012E-2</v>
      </c>
      <c r="D41" s="598">
        <v>2.52E-2</v>
      </c>
      <c r="E41" s="598">
        <v>0</v>
      </c>
      <c r="F41" s="598">
        <v>2.6200000000000001E-2</v>
      </c>
      <c r="G41" s="598">
        <v>0</v>
      </c>
      <c r="H41" s="598">
        <v>1.9699999999999999E-2</v>
      </c>
      <c r="I41" s="227">
        <f>IFERROR(AVERAGE(C41:H41),"")</f>
        <v>1.3534817072727669E-2</v>
      </c>
    </row>
    <row r="42" spans="2:11" ht="16.5" thickBot="1">
      <c r="B42" s="212" t="s">
        <v>286</v>
      </c>
      <c r="C42" s="726"/>
      <c r="D42" s="726"/>
      <c r="E42" s="726"/>
      <c r="F42" s="726"/>
      <c r="G42" s="726"/>
      <c r="H42" s="726"/>
      <c r="I42" s="232"/>
    </row>
    <row r="43" spans="2:11" ht="13.5" thickBot="1">
      <c r="B43" s="216" t="s">
        <v>287</v>
      </c>
      <c r="C43" s="769">
        <v>25.16</v>
      </c>
      <c r="D43" s="753">
        <f>183.34/7.459624781</f>
        <v>24.577643699583287</v>
      </c>
      <c r="E43" s="769">
        <f>727.4/7.459624781</f>
        <v>97.511606998346693</v>
      </c>
      <c r="F43" s="769">
        <v>10.81</v>
      </c>
      <c r="G43" s="769">
        <v>9.16</v>
      </c>
      <c r="H43" s="767">
        <v>4.99</v>
      </c>
      <c r="I43" s="226" t="s">
        <v>28</v>
      </c>
    </row>
    <row r="44" spans="2:11" ht="13.5" thickBot="1">
      <c r="B44" s="217" t="s">
        <v>288</v>
      </c>
      <c r="C44" s="769">
        <v>14.1</v>
      </c>
      <c r="D44" s="753">
        <f>230.2/7.459624781</f>
        <v>30.859460999476777</v>
      </c>
      <c r="E44" s="769">
        <f>861.4/7.459624781</f>
        <v>115.47497699804212</v>
      </c>
      <c r="F44" s="769">
        <v>10.6</v>
      </c>
      <c r="G44" s="769">
        <v>9.23</v>
      </c>
      <c r="H44" s="767">
        <v>7.66</v>
      </c>
      <c r="I44" s="226" t="s">
        <v>28</v>
      </c>
    </row>
    <row r="45" spans="2:11" ht="13.5" thickBot="1">
      <c r="B45" s="217" t="s">
        <v>289</v>
      </c>
      <c r="C45" s="770" cm="1">
        <f t="array" ref="C45">_FV(C8,"Price")</f>
        <v>14.74</v>
      </c>
      <c r="D45" s="754" cm="1">
        <f t="array" ref="D45">_FV(D8,"Price")/7.459624781</f>
        <v>25.684937999564511</v>
      </c>
      <c r="E45" s="770" cm="1">
        <f t="array" ref="E45">_FV(E8,"Price")</f>
        <v>419.5</v>
      </c>
      <c r="F45" s="770" cm="1">
        <f t="array" ref="F45">_FV(F8,"Price")</f>
        <v>12.315</v>
      </c>
      <c r="G45" s="770" cm="1">
        <f t="array" ref="G45">_FV(G8,"Price")</f>
        <v>12.71</v>
      </c>
      <c r="H45" s="768" cm="1">
        <f t="array" ref="H45">_FV(H8,"Price")</f>
        <v>6.8</v>
      </c>
      <c r="I45" s="226" t="s">
        <v>28</v>
      </c>
    </row>
    <row r="46" spans="2:11" ht="13.5" thickBot="1">
      <c r="B46" s="217" t="s">
        <v>290</v>
      </c>
      <c r="C46" s="771">
        <v>21.84</v>
      </c>
      <c r="D46" s="770">
        <v>28.5</v>
      </c>
      <c r="E46" s="770">
        <f>622.98/7.459624781</f>
        <v>83.513583898584031</v>
      </c>
      <c r="F46" s="772">
        <v>12.37</v>
      </c>
      <c r="G46" s="772">
        <v>12.66</v>
      </c>
      <c r="H46" s="773">
        <v>7.51</v>
      </c>
      <c r="I46" s="226" t="s">
        <v>28</v>
      </c>
    </row>
    <row r="47" spans="2:11" ht="13.5" thickBot="1">
      <c r="B47" s="218" t="s">
        <v>291</v>
      </c>
      <c r="C47" s="766">
        <f>C46/C45-1</f>
        <v>0.48168249660786966</v>
      </c>
      <c r="D47" s="766">
        <f t="shared" ref="D47:H47" si="23">D46/D45-1</f>
        <v>0.1095997195120042</v>
      </c>
      <c r="E47" s="766">
        <f t="shared" si="23"/>
        <v>-0.80092113492590222</v>
      </c>
      <c r="F47" s="766">
        <f t="shared" si="23"/>
        <v>4.4660982541615546E-3</v>
      </c>
      <c r="G47" s="766">
        <f t="shared" si="23"/>
        <v>-3.9339103068450898E-3</v>
      </c>
      <c r="H47" s="766">
        <f t="shared" si="23"/>
        <v>0.10441176470588243</v>
      </c>
      <c r="I47" s="226">
        <f t="shared" ref="I47" si="24">IFERROR(AVERAGE(C47:H47),"")</f>
        <v>-1.7449161025471577E-2</v>
      </c>
    </row>
    <row r="48" spans="2:11" ht="13.5" thickBot="1"/>
    <row r="49" spans="2:11" ht="42" customHeight="1" thickBot="1">
      <c r="B49" s="611" t="s">
        <v>292</v>
      </c>
      <c r="C49" s="610" t="e" vm="1">
        <f>OP!E2</f>
        <v>#VALUE!</v>
      </c>
      <c r="D49" s="460" t="e" vm="2">
        <f>D8</f>
        <v>#VALUE!</v>
      </c>
      <c r="E49" s="461" t="e" vm="3">
        <f>C3</f>
        <v>#VALUE!</v>
      </c>
      <c r="F49" s="462" t="e" vm="4">
        <f>C4</f>
        <v>#VALUE!</v>
      </c>
      <c r="G49" s="463" t="e" vm="5">
        <f>C5</f>
        <v>#VALUE!</v>
      </c>
      <c r="H49" s="645" t="e" vm="6">
        <f>C6</f>
        <v>#VALUE!</v>
      </c>
    </row>
    <row r="50" spans="2:11" ht="13.5" thickBot="1">
      <c r="B50" s="202" t="s">
        <v>293</v>
      </c>
      <c r="C50" s="203"/>
      <c r="D50" s="203"/>
      <c r="E50" s="203"/>
      <c r="F50" s="203"/>
      <c r="G50" s="203"/>
      <c r="H50" s="204"/>
    </row>
    <row r="51" spans="2:11" ht="13.5" thickBot="1">
      <c r="B51" s="199" t="s">
        <v>294</v>
      </c>
      <c r="C51" s="238">
        <f>'Fin. Data'!E5</f>
        <v>1824</v>
      </c>
      <c r="D51" s="194">
        <v>12147</v>
      </c>
      <c r="E51" s="194">
        <v>9430</v>
      </c>
      <c r="F51" s="194">
        <v>39609</v>
      </c>
      <c r="G51" s="656">
        <f>41003</f>
        <v>41003</v>
      </c>
      <c r="H51" s="657">
        <f>73817</f>
        <v>73817</v>
      </c>
    </row>
    <row r="52" spans="2:11" ht="13.5" thickBot="1">
      <c r="B52" s="199" t="s">
        <v>295</v>
      </c>
      <c r="C52" s="238">
        <f>'Fin. Data'!C5</f>
        <v>1758</v>
      </c>
      <c r="D52" s="194">
        <v>15587</v>
      </c>
      <c r="E52" s="194">
        <v>10439.200000000001</v>
      </c>
      <c r="F52" s="194">
        <v>44519</v>
      </c>
      <c r="G52" s="658">
        <f>77358</f>
        <v>77358</v>
      </c>
      <c r="H52" s="657">
        <f>96147</f>
        <v>96147</v>
      </c>
    </row>
    <row r="53" spans="2:11" ht="13.5" thickBot="1">
      <c r="B53" s="199" t="s">
        <v>259</v>
      </c>
      <c r="C53" s="238">
        <f>'Fin. Data'!B5</f>
        <v>2372</v>
      </c>
      <c r="D53" s="194">
        <v>14486</v>
      </c>
      <c r="E53" s="194">
        <v>17785</v>
      </c>
      <c r="F53" s="194">
        <v>57767</v>
      </c>
      <c r="G53" s="658">
        <f>110864</f>
        <v>110864</v>
      </c>
      <c r="H53" s="657">
        <f>140517</f>
        <v>140517</v>
      </c>
    </row>
    <row r="54" spans="2:11" ht="13.5" thickBot="1">
      <c r="B54" s="199" t="s">
        <v>296</v>
      </c>
      <c r="C54" s="238">
        <f>'Fin. Data'!B5-'Fin. Data'!B7</f>
        <v>401</v>
      </c>
      <c r="D54" s="194">
        <v>14294</v>
      </c>
      <c r="E54" s="194">
        <v>13064.1</v>
      </c>
      <c r="F54" s="194">
        <v>36139</v>
      </c>
      <c r="G54" s="658">
        <f>129668</f>
        <v>129668</v>
      </c>
      <c r="H54" s="657">
        <f>116947</f>
        <v>116947</v>
      </c>
    </row>
    <row r="55" spans="2:11" ht="13.5" thickBot="1">
      <c r="B55" s="199" t="s">
        <v>59</v>
      </c>
      <c r="C55" s="238">
        <f>'Fin. Data'!B19</f>
        <v>1168.2</v>
      </c>
      <c r="D55" s="194">
        <v>-364440</v>
      </c>
      <c r="E55" s="194">
        <v>2723.1</v>
      </c>
      <c r="F55" s="194">
        <v>13128</v>
      </c>
      <c r="G55" s="658">
        <f>8059</f>
        <v>8059</v>
      </c>
      <c r="H55" s="657">
        <f>20624</f>
        <v>20624</v>
      </c>
    </row>
    <row r="56" spans="2:11" ht="13.5" thickBot="1">
      <c r="B56" s="199" t="s">
        <v>297</v>
      </c>
      <c r="C56" s="607">
        <f>'Fin. Data'!B11</f>
        <v>1411.5</v>
      </c>
      <c r="D56" s="194">
        <v>-1596</v>
      </c>
      <c r="E56" s="194">
        <v>1519.9</v>
      </c>
      <c r="F56" s="194">
        <v>8520</v>
      </c>
      <c r="G56" s="658">
        <f>-12366</f>
        <v>-12366</v>
      </c>
      <c r="H56" s="657">
        <f>10235</f>
        <v>10235</v>
      </c>
    </row>
    <row r="57" spans="2:11" ht="13.5" thickBot="1">
      <c r="B57" s="199" t="s">
        <v>298</v>
      </c>
      <c r="C57" s="607">
        <f>'Fin. Data'!B14</f>
        <v>-180.1</v>
      </c>
      <c r="D57" s="194">
        <v>84</v>
      </c>
      <c r="E57" s="194">
        <v>358.2</v>
      </c>
      <c r="F57" s="453">
        <v>1344</v>
      </c>
      <c r="G57" s="658">
        <f>1625</f>
        <v>1625</v>
      </c>
      <c r="H57" s="659">
        <f>5812</f>
        <v>5812</v>
      </c>
    </row>
    <row r="58" spans="2:11" ht="13.5" thickBot="1">
      <c r="B58" s="199" t="s">
        <v>299</v>
      </c>
      <c r="C58" s="607">
        <f>'Fin. Data'!B21</f>
        <v>-142.19999999999999</v>
      </c>
      <c r="D58" s="194">
        <v>-124</v>
      </c>
      <c r="E58" s="194">
        <v>351.3</v>
      </c>
      <c r="F58" s="194">
        <v>1243</v>
      </c>
      <c r="G58" s="658">
        <f>343</f>
        <v>343</v>
      </c>
      <c r="H58" s="657">
        <f>1542</f>
        <v>1542</v>
      </c>
    </row>
    <row r="59" spans="2:11" ht="13.5" thickBot="1">
      <c r="B59" s="199" t="s">
        <v>74</v>
      </c>
      <c r="C59" s="607">
        <f>'Fin. Data'!B23</f>
        <v>616.20000000000005</v>
      </c>
      <c r="D59" s="194">
        <v>-1572</v>
      </c>
      <c r="E59" s="194">
        <v>2033.8</v>
      </c>
      <c r="F59" s="194">
        <v>4646</v>
      </c>
      <c r="G59" s="658">
        <f>4721</f>
        <v>4721</v>
      </c>
      <c r="H59" s="657">
        <f>5400</f>
        <v>5400</v>
      </c>
    </row>
    <row r="60" spans="2:11" ht="13.5" thickBot="1">
      <c r="B60" s="205" t="s">
        <v>300</v>
      </c>
      <c r="C60" s="206"/>
      <c r="D60" s="206"/>
      <c r="E60" s="206"/>
      <c r="F60" s="206"/>
      <c r="G60" s="660"/>
      <c r="H60" s="661"/>
    </row>
    <row r="61" spans="2:11">
      <c r="B61" s="199" t="s">
        <v>301</v>
      </c>
      <c r="C61" s="238">
        <f>'Fin. Data'!B39</f>
        <v>1171.9000000000001</v>
      </c>
      <c r="D61" s="194">
        <v>2352</v>
      </c>
      <c r="E61" s="194">
        <v>2175.1999999999998</v>
      </c>
      <c r="F61" s="194">
        <v>4934</v>
      </c>
      <c r="G61" s="658">
        <f>3634</f>
        <v>3634</v>
      </c>
      <c r="H61" s="657">
        <f>11018</f>
        <v>11018</v>
      </c>
    </row>
    <row r="62" spans="2:11">
      <c r="B62" s="199" t="s">
        <v>302</v>
      </c>
      <c r="C62" s="238">
        <f>'Fin. Data'!B40</f>
        <v>411.1</v>
      </c>
      <c r="D62" s="194">
        <v>3585</v>
      </c>
      <c r="E62" s="194">
        <v>1762.6</v>
      </c>
      <c r="F62" s="194">
        <v>9030</v>
      </c>
      <c r="G62" t="s">
        <v>28</v>
      </c>
      <c r="H62" s="182" t="s">
        <v>28</v>
      </c>
    </row>
    <row r="63" spans="2:11">
      <c r="B63" s="199" t="s">
        <v>303</v>
      </c>
      <c r="C63" s="238">
        <f>'Fin. Data'!B41</f>
        <v>253</v>
      </c>
      <c r="D63" s="194">
        <v>6373</v>
      </c>
      <c r="E63" s="194">
        <v>1896.2</v>
      </c>
      <c r="F63" s="194">
        <v>2312</v>
      </c>
      <c r="G63" s="658">
        <f>1051</f>
        <v>1051</v>
      </c>
      <c r="H63" s="657">
        <f>3023</f>
        <v>3023</v>
      </c>
    </row>
    <row r="64" spans="2:11" ht="13.5" thickBot="1">
      <c r="B64" s="199" t="s">
        <v>304</v>
      </c>
      <c r="C64" s="238">
        <f>Inputs!B27</f>
        <v>3556</v>
      </c>
      <c r="D64" s="194">
        <v>13628</v>
      </c>
      <c r="E64" s="194">
        <v>15156.9</v>
      </c>
      <c r="F64" s="194">
        <v>25021</v>
      </c>
      <c r="G64" s="658">
        <f>39122</f>
        <v>39122</v>
      </c>
      <c r="H64" s="657">
        <f>66374</f>
        <v>66374</v>
      </c>
      <c r="K64" s="11"/>
    </row>
    <row r="65" spans="2:8" ht="13.5" thickBot="1">
      <c r="B65" s="199" t="s">
        <v>305</v>
      </c>
      <c r="C65" s="238">
        <f>'Fin. Data'!B42</f>
        <v>17891</v>
      </c>
      <c r="D65" s="194">
        <v>1752</v>
      </c>
      <c r="E65" s="194">
        <v>23888</v>
      </c>
      <c r="F65" s="194">
        <v>94065</v>
      </c>
      <c r="G65" s="658">
        <f>38160</f>
        <v>38160</v>
      </c>
      <c r="H65" s="657">
        <f>84572</f>
        <v>84572</v>
      </c>
    </row>
    <row r="66" spans="2:8">
      <c r="B66" s="199" t="s">
        <v>46</v>
      </c>
      <c r="C66" s="238">
        <f>'Fin. Data'!B44</f>
        <v>27493</v>
      </c>
      <c r="D66" s="194">
        <v>20090</v>
      </c>
      <c r="E66" s="194">
        <v>42238.1</v>
      </c>
      <c r="F66" s="194">
        <v>165614</v>
      </c>
      <c r="G66" s="658">
        <f>119759</f>
        <v>119759</v>
      </c>
      <c r="H66" s="657">
        <f>206940</f>
        <v>206940</v>
      </c>
    </row>
    <row r="67" spans="2:8">
      <c r="B67" s="199" t="s">
        <v>306</v>
      </c>
      <c r="C67" s="238">
        <f>Inputs!B43</f>
        <v>2919</v>
      </c>
      <c r="D67" s="194">
        <v>4089</v>
      </c>
      <c r="E67" s="194">
        <v>2775.3</v>
      </c>
      <c r="F67" s="194">
        <v>6347</v>
      </c>
      <c r="G67" t="s">
        <v>28</v>
      </c>
      <c r="H67" s="182" t="s">
        <v>28</v>
      </c>
    </row>
    <row r="68" spans="2:8">
      <c r="B68" s="199" t="s">
        <v>307</v>
      </c>
      <c r="C68" s="238">
        <f>Inputs!B42</f>
        <v>5455</v>
      </c>
      <c r="D68" s="194">
        <v>13513</v>
      </c>
      <c r="E68" s="194">
        <v>10066.4</v>
      </c>
      <c r="F68" s="194">
        <v>30880</v>
      </c>
      <c r="G68" s="658">
        <f>40511</f>
        <v>40511</v>
      </c>
      <c r="H68" s="657">
        <f>76720</f>
        <v>76720</v>
      </c>
    </row>
    <row r="69" spans="2:8" ht="13.5" thickBot="1">
      <c r="B69" s="199" t="s">
        <v>308</v>
      </c>
      <c r="C69" s="238">
        <f>'Fin. Data'!B58</f>
        <v>6160</v>
      </c>
      <c r="D69" s="194">
        <v>2427</v>
      </c>
      <c r="E69" s="194">
        <v>9619.9</v>
      </c>
      <c r="F69" s="194">
        <v>55511</v>
      </c>
      <c r="G69" s="658">
        <f>32841</f>
        <v>32841</v>
      </c>
      <c r="H69" s="657">
        <f>70919</f>
        <v>70919</v>
      </c>
    </row>
    <row r="70" spans="2:8" ht="13.5" thickBot="1">
      <c r="B70" s="200" t="s">
        <v>309</v>
      </c>
      <c r="C70" s="239">
        <f>'Fin. Data'!B64</f>
        <v>9026</v>
      </c>
      <c r="D70" s="201">
        <v>3028</v>
      </c>
      <c r="E70" s="201">
        <v>12844.8</v>
      </c>
      <c r="F70" s="201">
        <v>62227</v>
      </c>
      <c r="G70" s="662">
        <f>17889</f>
        <v>17889</v>
      </c>
      <c r="H70" s="663">
        <f>42342</f>
        <v>42342</v>
      </c>
    </row>
    <row r="73" spans="2:8">
      <c r="B73" s="819" t="s">
        <v>310</v>
      </c>
    </row>
    <row r="74" spans="2:8">
      <c r="B74" s="820" t="s">
        <v>311</v>
      </c>
    </row>
  </sheetData>
  <mergeCells count="10">
    <mergeCell ref="D4:H4"/>
    <mergeCell ref="D1:H1"/>
    <mergeCell ref="D2:H2"/>
    <mergeCell ref="D3:H3"/>
    <mergeCell ref="D5:H5"/>
    <mergeCell ref="K12:K13"/>
    <mergeCell ref="K10:K11"/>
    <mergeCell ref="L10:M11"/>
    <mergeCell ref="L12:M13"/>
    <mergeCell ref="D6:H6"/>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A82E0-A099-472F-B885-77443363F881}">
  <sheetPr>
    <tabColor rgb="FF00B050"/>
  </sheetPr>
  <dimension ref="A1:AA100"/>
  <sheetViews>
    <sheetView showGridLines="0" topLeftCell="J1" zoomScale="80" zoomScaleNormal="80" workbookViewId="0">
      <selection activeCell="K36" sqref="K36"/>
    </sheetView>
  </sheetViews>
  <sheetFormatPr defaultColWidth="11.42578125" defaultRowHeight="12.75"/>
  <cols>
    <col min="1" max="1" width="1.140625" style="87" customWidth="1"/>
    <col min="2" max="2" width="59.42578125" style="87" customWidth="1"/>
    <col min="3" max="4" width="12.7109375" style="87" customWidth="1"/>
    <col min="5" max="5" width="11.42578125" style="87" bestFit="1" customWidth="1"/>
    <col min="6" max="6" width="11" style="87" customWidth="1"/>
    <col min="7" max="7" width="10.42578125" style="87" customWidth="1"/>
    <col min="8" max="8" width="20.42578125" style="592" customWidth="1"/>
    <col min="9" max="9" width="22.42578125" style="592" customWidth="1"/>
    <col min="10" max="10" width="64" style="87" customWidth="1"/>
    <col min="11" max="11" width="34.7109375" style="87" bestFit="1" customWidth="1"/>
    <col min="12" max="12" width="21.28515625" style="87" customWidth="1"/>
    <col min="13" max="13" width="19.7109375" style="87" customWidth="1"/>
    <col min="14" max="14" width="20.42578125" style="87" bestFit="1" customWidth="1"/>
    <col min="15" max="15" width="19.7109375" style="87" bestFit="1" customWidth="1"/>
    <col min="16" max="16" width="19.7109375" style="87" customWidth="1"/>
    <col min="17" max="17" width="22.42578125" style="87" bestFit="1" customWidth="1"/>
    <col min="18" max="18" width="14.7109375" style="87" bestFit="1" customWidth="1"/>
    <col min="19" max="19" width="10.42578125" style="87" customWidth="1"/>
    <col min="20" max="20" width="12.28515625" style="87" bestFit="1" customWidth="1"/>
    <col min="21" max="21" width="15.42578125" style="87" customWidth="1"/>
    <col min="22" max="22" width="18" style="87" bestFit="1" customWidth="1"/>
    <col min="23" max="23" width="18.28515625" style="87" bestFit="1" customWidth="1"/>
    <col min="24" max="24" width="17.42578125" style="87" bestFit="1" customWidth="1"/>
    <col min="25" max="30" width="11.42578125" style="87"/>
    <col min="31" max="31" width="13" style="87" bestFit="1" customWidth="1"/>
    <col min="32" max="16384" width="11.42578125" style="87"/>
  </cols>
  <sheetData>
    <row r="1" spans="1:24">
      <c r="B1" s="255" t="s">
        <v>312</v>
      </c>
      <c r="C1" s="91"/>
      <c r="D1" s="91"/>
      <c r="E1" s="91"/>
      <c r="F1" s="91"/>
      <c r="G1" s="91"/>
      <c r="H1" s="586"/>
      <c r="I1" s="586"/>
      <c r="J1" s="91"/>
      <c r="T1" s="103" t="s">
        <v>13</v>
      </c>
    </row>
    <row r="2" spans="1:24" ht="13.5" thickBot="1">
      <c r="B2" s="99" t="s">
        <v>313</v>
      </c>
      <c r="C2" s="256" t="s">
        <v>314</v>
      </c>
      <c r="D2" s="91"/>
      <c r="E2" s="91"/>
      <c r="F2" s="91"/>
      <c r="G2" s="91"/>
      <c r="H2" s="586"/>
      <c r="I2" s="586"/>
      <c r="J2" s="91"/>
      <c r="T2" s="103" t="s">
        <v>16</v>
      </c>
    </row>
    <row r="3" spans="1:24" ht="21" thickBot="1">
      <c r="B3" s="1045" t="s">
        <v>315</v>
      </c>
      <c r="C3" s="1045"/>
      <c r="D3" s="1045"/>
      <c r="E3" s="1045"/>
      <c r="F3" s="1045"/>
      <c r="G3" s="1045"/>
      <c r="H3" s="1045"/>
      <c r="I3" s="1045"/>
      <c r="J3" s="1045"/>
      <c r="K3" s="1046" t="s">
        <v>316</v>
      </c>
      <c r="L3" s="1046"/>
      <c r="M3" s="1046"/>
      <c r="N3" s="1046"/>
      <c r="O3" s="1046"/>
      <c r="P3" s="1046"/>
      <c r="Q3" s="1046"/>
    </row>
    <row r="4" spans="1:24" ht="32.25" thickBot="1">
      <c r="B4" s="246" t="s">
        <v>317</v>
      </c>
      <c r="C4" s="278" t="s">
        <v>318</v>
      </c>
      <c r="D4" s="278" t="s">
        <v>319</v>
      </c>
      <c r="E4" s="278" t="s">
        <v>320</v>
      </c>
      <c r="F4" s="278" t="s">
        <v>321</v>
      </c>
      <c r="G4" s="278" t="s">
        <v>322</v>
      </c>
      <c r="H4" s="247" t="s">
        <v>323</v>
      </c>
      <c r="I4" s="247" t="s">
        <v>324</v>
      </c>
      <c r="J4" s="248" t="s">
        <v>325</v>
      </c>
      <c r="K4" s="246" t="s">
        <v>317</v>
      </c>
      <c r="L4" s="281" t="s">
        <v>326</v>
      </c>
      <c r="M4" s="281" t="s">
        <v>327</v>
      </c>
      <c r="N4" s="281" t="s">
        <v>328</v>
      </c>
      <c r="O4" s="281" t="s">
        <v>329</v>
      </c>
      <c r="P4" s="281" t="s">
        <v>330</v>
      </c>
      <c r="Q4" s="281" t="s">
        <v>331</v>
      </c>
    </row>
    <row r="5" spans="1:24" ht="15.75" thickBot="1">
      <c r="B5" s="257" t="s">
        <v>332</v>
      </c>
      <c r="C5" s="258"/>
      <c r="D5" s="259"/>
      <c r="E5" s="259"/>
      <c r="F5" s="259"/>
      <c r="G5" s="259"/>
      <c r="H5" s="587"/>
      <c r="I5" s="587"/>
      <c r="J5" s="260"/>
      <c r="K5" s="257" t="s">
        <v>333</v>
      </c>
      <c r="L5" s="259"/>
      <c r="M5" s="259"/>
      <c r="N5" s="259"/>
      <c r="O5" s="259"/>
      <c r="P5" s="260"/>
      <c r="Q5" s="259"/>
      <c r="R5" s="750" t="s">
        <v>334</v>
      </c>
    </row>
    <row r="6" spans="1:24" ht="18.75" thickBot="1">
      <c r="A6" s="87">
        <v>1</v>
      </c>
      <c r="B6" s="251" t="s">
        <v>335</v>
      </c>
      <c r="C6" s="671" t="s">
        <v>336</v>
      </c>
      <c r="D6" s="249" t="s">
        <v>13</v>
      </c>
      <c r="E6" s="249"/>
      <c r="F6" s="261"/>
      <c r="G6" s="355"/>
      <c r="H6" s="250" t="s">
        <v>16</v>
      </c>
      <c r="I6" s="250"/>
      <c r="J6" s="250" t="s">
        <v>337</v>
      </c>
      <c r="K6" s="251" t="s">
        <v>338</v>
      </c>
      <c r="L6" s="624">
        <f>L12/L$11</f>
        <v>1.2922763127187866</v>
      </c>
      <c r="M6" s="564">
        <f t="shared" ref="M6" si="0">M12/M$11</f>
        <v>0.57158635924340739</v>
      </c>
      <c r="N6" s="564">
        <f>N12/N$11</f>
        <v>0.7617655327523194</v>
      </c>
      <c r="O6" s="564">
        <f>O12/O$11</f>
        <v>0.9663038586043935</v>
      </c>
      <c r="P6" s="564">
        <f t="shared" ref="P6:Q9" si="1">P12/P$11</f>
        <v>0.80134218501948329</v>
      </c>
      <c r="Q6" s="670">
        <f t="shared" si="1"/>
        <v>9.8920272991879989E-4</v>
      </c>
      <c r="R6" s="751">
        <f>AVERAGE(L6:Q6)</f>
        <v>0.7323772418447182</v>
      </c>
    </row>
    <row r="7" spans="1:24" s="91" customFormat="1" ht="18.75" thickBot="1">
      <c r="A7" s="91">
        <v>2</v>
      </c>
      <c r="B7" s="251" t="s">
        <v>339</v>
      </c>
      <c r="C7" s="671" t="str">
        <f>VLOOKUP($B$2,'Sector Impact'!$K$4:$AA$16,A7+1,FALSE)</f>
        <v>Low</v>
      </c>
      <c r="D7" s="249" t="s">
        <v>16</v>
      </c>
      <c r="E7" s="249"/>
      <c r="F7" s="261"/>
      <c r="G7" s="355"/>
      <c r="H7" s="250"/>
      <c r="I7" s="250"/>
      <c r="J7" s="250"/>
      <c r="K7" s="251" t="s">
        <v>340</v>
      </c>
      <c r="L7" s="749" t="s">
        <v>28</v>
      </c>
      <c r="M7" s="564">
        <f t="shared" ref="L7:O9" si="2">M13/M$11</f>
        <v>2.3539969625845644E-2</v>
      </c>
      <c r="N7" s="564">
        <f t="shared" si="2"/>
        <v>7.7537250491987633E-2</v>
      </c>
      <c r="O7" s="564">
        <f t="shared" si="2"/>
        <v>1.524676718541728</v>
      </c>
      <c r="P7" s="564">
        <f t="shared" si="1"/>
        <v>0.2606797517679319</v>
      </c>
      <c r="Q7" s="670">
        <f t="shared" si="1"/>
        <v>0.32166926421714098</v>
      </c>
      <c r="R7" s="752">
        <f t="shared" ref="R7:R9" si="3">AVERAGE(L7:Q7)</f>
        <v>0.44162059092892686</v>
      </c>
    </row>
    <row r="8" spans="1:24" ht="18.75" thickBot="1">
      <c r="A8" s="87">
        <v>3</v>
      </c>
      <c r="B8" s="251" t="s">
        <v>341</v>
      </c>
      <c r="C8" s="671" t="str">
        <f>VLOOKUP($B$2,'Sector Impact'!$K$4:$AA$16,A8+1,FALSE)</f>
        <v>Low</v>
      </c>
      <c r="D8" s="249" t="s">
        <v>13</v>
      </c>
      <c r="E8" s="249"/>
      <c r="F8" s="261"/>
      <c r="G8" s="355"/>
      <c r="H8" s="250" t="s">
        <v>16</v>
      </c>
      <c r="I8" s="250"/>
      <c r="J8" s="250" t="s">
        <v>342</v>
      </c>
      <c r="K8" s="251" t="s">
        <v>343</v>
      </c>
      <c r="L8" s="564">
        <f t="shared" si="2"/>
        <v>4.9288214702450407E-2</v>
      </c>
      <c r="M8" s="564">
        <f t="shared" si="2"/>
        <v>4.4249620323070553E-2</v>
      </c>
      <c r="N8" s="564">
        <f t="shared" si="2"/>
        <v>1.0777059319651392</v>
      </c>
      <c r="O8" s="564">
        <f t="shared" si="2"/>
        <v>2.1443557740578529</v>
      </c>
      <c r="P8" s="564">
        <f t="shared" si="1"/>
        <v>0.27310759128301343</v>
      </c>
      <c r="Q8" s="670">
        <f t="shared" si="1"/>
        <v>2.2134332500693867</v>
      </c>
      <c r="R8" s="752">
        <f t="shared" si="3"/>
        <v>0.96702339706681884</v>
      </c>
    </row>
    <row r="9" spans="1:24" ht="26.25" thickBot="1">
      <c r="A9" s="87">
        <v>4</v>
      </c>
      <c r="B9" s="251" t="s">
        <v>344</v>
      </c>
      <c r="C9" s="249" t="str">
        <f>VLOOKUP($B$2,'Sector Impact'!$K$4:$AA$16,A9+1,FALSE)</f>
        <v>Medium</v>
      </c>
      <c r="D9" s="249" t="s">
        <v>13</v>
      </c>
      <c r="E9" s="241" t="s">
        <v>345</v>
      </c>
      <c r="F9" s="261" t="s">
        <v>13</v>
      </c>
      <c r="G9" s="97"/>
      <c r="H9" s="250" t="s">
        <v>16</v>
      </c>
      <c r="I9" s="250"/>
      <c r="J9" s="252" t="s">
        <v>346</v>
      </c>
      <c r="K9" s="251" t="s">
        <v>347</v>
      </c>
      <c r="L9" s="564">
        <f t="shared" si="2"/>
        <v>7.0011668611435238E-4</v>
      </c>
      <c r="M9" s="564">
        <f t="shared" si="2"/>
        <v>3.2445119425652353E-3</v>
      </c>
      <c r="N9" s="564">
        <f t="shared" si="2"/>
        <v>5.0042170368287883E-3</v>
      </c>
      <c r="O9" s="564">
        <f t="shared" si="2"/>
        <v>6.2613602922083544E-3</v>
      </c>
      <c r="P9" s="564">
        <f t="shared" si="1"/>
        <v>4.9024029441477844E-3</v>
      </c>
      <c r="Q9" s="670">
        <f t="shared" si="1"/>
        <v>2.3888212814107902E-2</v>
      </c>
      <c r="R9" s="752">
        <f t="shared" si="3"/>
        <v>7.3334702859954026E-3</v>
      </c>
    </row>
    <row r="10" spans="1:24" ht="25.5">
      <c r="A10" s="87">
        <v>5</v>
      </c>
      <c r="B10" s="251" t="s">
        <v>348</v>
      </c>
      <c r="C10" s="249" t="str">
        <f>VLOOKUP($B$2,'Sector Impact'!$K$4:$AA$16,A10+1,FALSE)</f>
        <v>Medium</v>
      </c>
      <c r="D10" s="249" t="s">
        <v>16</v>
      </c>
      <c r="E10" s="249" t="s">
        <v>349</v>
      </c>
      <c r="F10" s="261" t="s">
        <v>13</v>
      </c>
      <c r="G10" s="352"/>
      <c r="H10" s="250"/>
      <c r="I10" s="250"/>
      <c r="J10" s="252" t="s">
        <v>350</v>
      </c>
      <c r="K10" s="257" t="s">
        <v>351</v>
      </c>
      <c r="L10" s="259"/>
      <c r="M10" s="259"/>
      <c r="N10" s="259"/>
      <c r="O10" s="259"/>
      <c r="P10" s="259"/>
      <c r="Q10" s="260"/>
      <c r="S10"/>
      <c r="V10" s="91"/>
      <c r="W10" s="91"/>
      <c r="X10" s="91"/>
    </row>
    <row r="11" spans="1:24" ht="15">
      <c r="B11" s="257" t="s">
        <v>352</v>
      </c>
      <c r="C11" s="254"/>
      <c r="D11" s="254"/>
      <c r="E11" s="263"/>
      <c r="F11" s="263"/>
      <c r="G11" s="264"/>
      <c r="H11" s="588"/>
      <c r="I11" s="588"/>
      <c r="J11" s="265"/>
      <c r="K11" s="251" t="s">
        <v>353</v>
      </c>
      <c r="L11" s="565">
        <v>2142.5</v>
      </c>
      <c r="M11" s="565">
        <v>14486</v>
      </c>
      <c r="N11" s="565">
        <v>17785</v>
      </c>
      <c r="O11" s="565">
        <v>57767</v>
      </c>
      <c r="P11" s="565">
        <v>110864</v>
      </c>
      <c r="Q11" s="565">
        <v>140517</v>
      </c>
      <c r="S11"/>
    </row>
    <row r="12" spans="1:24">
      <c r="A12" s="87">
        <v>6</v>
      </c>
      <c r="B12" s="251" t="s">
        <v>354</v>
      </c>
      <c r="C12" s="249" t="str">
        <f>VLOOKUP($B$2,'Sector Impact'!$K$4:$AA$16,A12+1,FALSE)</f>
        <v>Low</v>
      </c>
      <c r="D12" s="249" t="s">
        <v>13</v>
      </c>
      <c r="E12" s="249"/>
      <c r="F12" s="261"/>
      <c r="G12" s="357"/>
      <c r="H12" s="250" t="s">
        <v>16</v>
      </c>
      <c r="I12" s="250"/>
      <c r="J12" s="266"/>
      <c r="K12" s="251" t="s">
        <v>355</v>
      </c>
      <c r="L12" s="622">
        <f>2768702/1000</f>
        <v>2768.7020000000002</v>
      </c>
      <c r="M12" s="622">
        <f>8280000/1000</f>
        <v>8280</v>
      </c>
      <c r="N12" s="280">
        <f>13548000/1000</f>
        <v>13548</v>
      </c>
      <c r="O12" s="280">
        <f>55820475/1000</f>
        <v>55820.474999999999</v>
      </c>
      <c r="P12" s="280">
        <f>88840000/1000</f>
        <v>88840</v>
      </c>
      <c r="Q12" s="280">
        <f>138999.8/1000</f>
        <v>138.99979999999999</v>
      </c>
      <c r="S12"/>
    </row>
    <row r="13" spans="1:24">
      <c r="A13" s="87">
        <v>7</v>
      </c>
      <c r="B13" s="251" t="s">
        <v>356</v>
      </c>
      <c r="C13" s="249" t="str">
        <f>VLOOKUP($B$2,'Sector Impact'!$K$4:$AA$16,A13+1,FALSE)</f>
        <v>Medium</v>
      </c>
      <c r="D13" s="249" t="s">
        <v>13</v>
      </c>
      <c r="E13" s="249" t="s">
        <v>345</v>
      </c>
      <c r="F13" s="267" t="s">
        <v>16</v>
      </c>
      <c r="G13" s="352"/>
      <c r="H13" s="250"/>
      <c r="I13" s="250"/>
      <c r="J13" s="268" t="s">
        <v>357</v>
      </c>
      <c r="K13" s="251" t="s">
        <v>358</v>
      </c>
      <c r="L13" s="280" t="s">
        <v>86</v>
      </c>
      <c r="M13" s="280">
        <v>341</v>
      </c>
      <c r="N13" s="622">
        <v>1379</v>
      </c>
      <c r="O13" s="622">
        <v>88076</v>
      </c>
      <c r="P13" s="622">
        <v>28900</v>
      </c>
      <c r="Q13" s="622">
        <v>45200</v>
      </c>
      <c r="S13"/>
    </row>
    <row r="14" spans="1:24">
      <c r="A14" s="87">
        <v>8</v>
      </c>
      <c r="B14" s="269" t="s">
        <v>359</v>
      </c>
      <c r="C14" s="249" t="str">
        <f>VLOOKUP($B$2,'Sector Impact'!$K$4:$AA$16,A14+1,FALSE)</f>
        <v>Medium</v>
      </c>
      <c r="D14" s="249" t="s">
        <v>16</v>
      </c>
      <c r="E14" s="249" t="s">
        <v>360</v>
      </c>
      <c r="F14" s="261" t="s">
        <v>16</v>
      </c>
      <c r="G14" s="352"/>
      <c r="H14" s="250"/>
      <c r="I14" s="250"/>
      <c r="J14" s="268" t="s">
        <v>361</v>
      </c>
      <c r="K14" s="251" t="s">
        <v>362</v>
      </c>
      <c r="L14" s="280">
        <v>105.6</v>
      </c>
      <c r="M14" s="280">
        <v>641</v>
      </c>
      <c r="N14" s="622">
        <v>19167</v>
      </c>
      <c r="O14" s="622">
        <v>123873</v>
      </c>
      <c r="P14" s="623">
        <v>30277.8</v>
      </c>
      <c r="Q14" s="622">
        <v>311025</v>
      </c>
      <c r="S14"/>
    </row>
    <row r="15" spans="1:24" ht="25.5">
      <c r="A15" s="87">
        <v>9</v>
      </c>
      <c r="B15" s="269" t="s">
        <v>363</v>
      </c>
      <c r="C15" s="249" t="str">
        <f>VLOOKUP($B$2,'Sector Impact'!$K$4:$AA$16,A15+1,FALSE)</f>
        <v>High</v>
      </c>
      <c r="D15" s="249" t="s">
        <v>13</v>
      </c>
      <c r="E15" s="249" t="s">
        <v>364</v>
      </c>
      <c r="F15" s="261" t="s">
        <v>13</v>
      </c>
      <c r="G15" s="356"/>
      <c r="H15" s="654" t="s">
        <v>16</v>
      </c>
      <c r="I15" s="655" t="s">
        <v>365</v>
      </c>
      <c r="J15" s="268" t="s">
        <v>366</v>
      </c>
      <c r="K15" s="251" t="s">
        <v>367</v>
      </c>
      <c r="L15" s="622">
        <v>1.5</v>
      </c>
      <c r="M15" s="280">
        <v>47</v>
      </c>
      <c r="N15" s="280">
        <v>89</v>
      </c>
      <c r="O15" s="280">
        <v>361.7</v>
      </c>
      <c r="P15" s="280">
        <v>543.5</v>
      </c>
      <c r="Q15" s="623">
        <v>3356.7</v>
      </c>
      <c r="S15"/>
    </row>
    <row r="16" spans="1:24" ht="42" customHeight="1">
      <c r="A16" s="87">
        <v>10</v>
      </c>
      <c r="B16" s="251" t="s">
        <v>368</v>
      </c>
      <c r="C16" s="249" t="str">
        <f>VLOOKUP($B$2,'Sector Impact'!$K$4:$AA$16,A16+1,FALSE)</f>
        <v>Medium</v>
      </c>
      <c r="D16" s="249" t="s">
        <v>13</v>
      </c>
      <c r="E16" s="249" t="s">
        <v>364</v>
      </c>
      <c r="F16" s="261" t="s">
        <v>13</v>
      </c>
      <c r="G16" s="352"/>
      <c r="H16" s="250" t="s">
        <v>16</v>
      </c>
      <c r="I16" s="590" t="s">
        <v>369</v>
      </c>
      <c r="J16" s="268" t="s">
        <v>370</v>
      </c>
      <c r="K16" s="257" t="s">
        <v>371</v>
      </c>
      <c r="L16" s="259"/>
      <c r="M16" s="259"/>
      <c r="N16" s="259"/>
      <c r="O16" s="259"/>
      <c r="P16" s="260"/>
      <c r="Q16" s="260"/>
      <c r="S16"/>
    </row>
    <row r="17" spans="1:19">
      <c r="A17" s="87">
        <v>11</v>
      </c>
      <c r="B17" s="251" t="s">
        <v>372</v>
      </c>
      <c r="C17" s="249" t="str">
        <f>VLOOKUP($B$2,'Sector Impact'!$K$4:$AA$16,A17+1,FALSE)</f>
        <v>Low</v>
      </c>
      <c r="D17" s="270"/>
      <c r="E17" s="270"/>
      <c r="F17" s="270"/>
      <c r="G17" s="352"/>
      <c r="H17" s="250"/>
      <c r="I17" s="590" t="s">
        <v>86</v>
      </c>
      <c r="J17" s="268"/>
      <c r="K17" s="251" t="s">
        <v>373</v>
      </c>
      <c r="L17" s="279">
        <v>4.08</v>
      </c>
      <c r="M17" s="279" t="s">
        <v>86</v>
      </c>
      <c r="N17" s="279" t="s">
        <v>86</v>
      </c>
      <c r="O17" s="279" t="s">
        <v>86</v>
      </c>
      <c r="P17" s="279" t="s">
        <v>86</v>
      </c>
      <c r="Q17" s="279" t="s">
        <v>86</v>
      </c>
      <c r="S17"/>
    </row>
    <row r="18" spans="1:19">
      <c r="A18" s="87">
        <v>12</v>
      </c>
      <c r="B18" s="251" t="s">
        <v>374</v>
      </c>
      <c r="C18" s="249" t="str">
        <f>VLOOKUP($B$2,'Sector Impact'!$K$4:$AA$16,A18+1,FALSE)</f>
        <v>Low</v>
      </c>
      <c r="D18" s="249"/>
      <c r="E18" s="249"/>
      <c r="F18" s="261"/>
      <c r="G18" s="262"/>
      <c r="H18" s="589"/>
      <c r="I18" s="589"/>
      <c r="J18" s="271"/>
      <c r="K18" s="251" t="s">
        <v>375</v>
      </c>
      <c r="L18" s="279">
        <v>15.9</v>
      </c>
      <c r="M18" s="279">
        <v>19.3</v>
      </c>
      <c r="N18" s="279">
        <v>17.600000000000001</v>
      </c>
      <c r="O18" s="279">
        <v>21.9</v>
      </c>
      <c r="P18" s="279">
        <v>24.1</v>
      </c>
      <c r="Q18" s="279">
        <v>21.4</v>
      </c>
    </row>
    <row r="19" spans="1:19" ht="63.75">
      <c r="A19" s="87">
        <v>13</v>
      </c>
      <c r="B19" s="251" t="s">
        <v>376</v>
      </c>
      <c r="C19" s="249" t="str">
        <f>VLOOKUP($B$2,'Sector Impact'!$K$4:$AA$16,A19+1,FALSE)</f>
        <v>Medium</v>
      </c>
      <c r="D19" s="249" t="s">
        <v>13</v>
      </c>
      <c r="E19" s="249" t="s">
        <v>360</v>
      </c>
      <c r="F19" s="261" t="s">
        <v>13</v>
      </c>
      <c r="G19" s="352"/>
      <c r="H19" s="250"/>
      <c r="I19" s="590" t="s">
        <v>377</v>
      </c>
      <c r="J19" s="268"/>
      <c r="K19" s="251" t="s">
        <v>378</v>
      </c>
      <c r="L19" s="280" t="s">
        <v>379</v>
      </c>
      <c r="M19" s="280" t="s">
        <v>379</v>
      </c>
      <c r="N19" s="280" t="s">
        <v>380</v>
      </c>
      <c r="O19" s="280" t="s">
        <v>381</v>
      </c>
      <c r="P19" s="280" t="s">
        <v>382</v>
      </c>
      <c r="Q19" s="280" t="s">
        <v>383</v>
      </c>
    </row>
    <row r="20" spans="1:19" ht="38.25">
      <c r="A20" s="87">
        <v>14</v>
      </c>
      <c r="B20" s="251" t="s">
        <v>384</v>
      </c>
      <c r="C20" s="249" t="str">
        <f>VLOOKUP($B$2,'Sector Impact'!$K$4:$AA$16,A20+1,FALSE)</f>
        <v>Medium</v>
      </c>
      <c r="D20" s="249" t="s">
        <v>13</v>
      </c>
      <c r="E20" s="249" t="s">
        <v>364</v>
      </c>
      <c r="F20" s="261" t="s">
        <v>13</v>
      </c>
      <c r="G20" s="356"/>
      <c r="H20" s="654" t="s">
        <v>16</v>
      </c>
      <c r="I20" s="655" t="s">
        <v>385</v>
      </c>
      <c r="J20" s="268" t="s">
        <v>386</v>
      </c>
      <c r="K20" s="251" t="s">
        <v>387</v>
      </c>
      <c r="L20" s="279" t="s">
        <v>86</v>
      </c>
      <c r="M20" s="279" t="s">
        <v>388</v>
      </c>
      <c r="N20" s="279" t="s">
        <v>388</v>
      </c>
      <c r="O20" s="279" t="s">
        <v>388</v>
      </c>
      <c r="P20" s="279" t="s">
        <v>388</v>
      </c>
      <c r="Q20" s="279" t="s">
        <v>86</v>
      </c>
    </row>
    <row r="21" spans="1:19">
      <c r="A21" s="87">
        <v>15</v>
      </c>
      <c r="B21" s="251" t="s">
        <v>389</v>
      </c>
      <c r="C21" s="249" t="str">
        <f>VLOOKUP($B$2,'Sector Impact'!$K$4:$AA$16,A21+1,FALSE)</f>
        <v>High</v>
      </c>
      <c r="D21" s="249" t="s">
        <v>13</v>
      </c>
      <c r="E21" s="249" t="s">
        <v>364</v>
      </c>
      <c r="F21" s="261" t="s">
        <v>16</v>
      </c>
      <c r="G21" s="356"/>
      <c r="H21" s="250"/>
      <c r="I21" s="590" t="s">
        <v>86</v>
      </c>
      <c r="J21" s="268" t="s">
        <v>390</v>
      </c>
    </row>
    <row r="22" spans="1:19" ht="13.5" thickBot="1">
      <c r="A22" s="87">
        <v>16</v>
      </c>
      <c r="B22" s="251" t="s">
        <v>391</v>
      </c>
      <c r="C22" s="253" t="str">
        <f>VLOOKUP($B$2,'Sector Impact'!$K$4:$AA$16,A22+1,FALSE)</f>
        <v>Low</v>
      </c>
      <c r="D22" s="249" t="s">
        <v>13</v>
      </c>
      <c r="E22" s="249"/>
      <c r="F22" s="261"/>
      <c r="G22" s="262"/>
      <c r="H22" s="589"/>
      <c r="I22" s="589"/>
      <c r="J22" s="252"/>
    </row>
    <row r="23" spans="1:19" ht="15.75" thickBot="1">
      <c r="B23" s="257" t="s">
        <v>392</v>
      </c>
      <c r="C23" s="272"/>
      <c r="D23" s="254"/>
      <c r="E23" s="263"/>
      <c r="F23" s="263"/>
      <c r="G23" s="264"/>
      <c r="H23" s="588"/>
      <c r="I23" s="588"/>
      <c r="J23" s="265"/>
      <c r="K23" s="305" t="s">
        <v>393</v>
      </c>
      <c r="L23" s="283"/>
      <c r="M23" s="284"/>
    </row>
    <row r="24" spans="1:19" ht="51.75" thickBot="1">
      <c r="A24" s="87">
        <v>17</v>
      </c>
      <c r="B24" s="251" t="s">
        <v>394</v>
      </c>
      <c r="C24" s="273"/>
      <c r="D24" s="274"/>
      <c r="E24" s="267" t="s">
        <v>364</v>
      </c>
      <c r="F24" s="267" t="s">
        <v>13</v>
      </c>
      <c r="G24" s="356"/>
      <c r="H24" s="250" t="s">
        <v>16</v>
      </c>
      <c r="I24" s="590" t="s">
        <v>395</v>
      </c>
      <c r="J24" s="275" t="s">
        <v>396</v>
      </c>
      <c r="K24" s="309" t="s">
        <v>397</v>
      </c>
      <c r="L24" s="88" t="s">
        <v>398</v>
      </c>
      <c r="M24" s="89" t="s">
        <v>399</v>
      </c>
    </row>
    <row r="25" spans="1:19" ht="39" thickBot="1">
      <c r="A25" s="87">
        <v>18</v>
      </c>
      <c r="B25" s="748" t="s">
        <v>400</v>
      </c>
      <c r="C25" s="273"/>
      <c r="D25" s="274"/>
      <c r="E25" s="267" t="s">
        <v>345</v>
      </c>
      <c r="F25" s="267" t="s">
        <v>16</v>
      </c>
      <c r="G25" s="97"/>
      <c r="H25" s="250" t="s">
        <v>16</v>
      </c>
      <c r="I25" s="590" t="s">
        <v>86</v>
      </c>
      <c r="J25" s="268" t="s">
        <v>401</v>
      </c>
      <c r="K25" s="240" t="s">
        <v>402</v>
      </c>
      <c r="L25" s="241" t="s">
        <v>364</v>
      </c>
      <c r="M25" s="306" t="s">
        <v>403</v>
      </c>
    </row>
    <row r="26" spans="1:19" ht="29.25" customHeight="1">
      <c r="A26" s="87">
        <v>19</v>
      </c>
      <c r="B26" s="748" t="s">
        <v>404</v>
      </c>
      <c r="C26" s="273"/>
      <c r="D26" s="274"/>
      <c r="E26" s="267" t="s">
        <v>349</v>
      </c>
      <c r="F26" s="666" t="s">
        <v>16</v>
      </c>
      <c r="G26" s="352"/>
      <c r="H26" s="667"/>
      <c r="I26" s="625" t="s">
        <v>86</v>
      </c>
      <c r="J26" s="275" t="s">
        <v>405</v>
      </c>
      <c r="K26" s="240" t="s">
        <v>360</v>
      </c>
      <c r="L26" s="241" t="s">
        <v>345</v>
      </c>
      <c r="M26" s="307"/>
    </row>
    <row r="27" spans="1:19" ht="63.75">
      <c r="A27" s="87">
        <v>20</v>
      </c>
      <c r="B27" s="748" t="s">
        <v>406</v>
      </c>
      <c r="C27" s="273"/>
      <c r="D27" s="274"/>
      <c r="E27" s="267" t="s">
        <v>360</v>
      </c>
      <c r="F27" s="267" t="s">
        <v>16</v>
      </c>
      <c r="G27" s="98"/>
      <c r="H27" s="250"/>
      <c r="I27" s="590" t="s">
        <v>407</v>
      </c>
      <c r="J27" s="275" t="s">
        <v>408</v>
      </c>
      <c r="K27" s="242" t="s">
        <v>409</v>
      </c>
      <c r="L27" s="243" t="s">
        <v>360</v>
      </c>
      <c r="M27" s="307"/>
    </row>
    <row r="28" spans="1:19" ht="13.5" thickBot="1">
      <c r="A28" s="87">
        <v>21</v>
      </c>
      <c r="B28" s="251" t="s">
        <v>410</v>
      </c>
      <c r="C28" s="273"/>
      <c r="D28" s="274"/>
      <c r="E28" s="267" t="s">
        <v>349</v>
      </c>
      <c r="F28" s="267" t="s">
        <v>16</v>
      </c>
      <c r="G28" s="612"/>
      <c r="H28" s="250" t="s">
        <v>16</v>
      </c>
      <c r="I28" s="590" t="s">
        <v>86</v>
      </c>
      <c r="J28" s="268" t="s">
        <v>411</v>
      </c>
      <c r="K28" s="244" t="s">
        <v>412</v>
      </c>
      <c r="L28" s="245" t="s">
        <v>349</v>
      </c>
      <c r="M28" s="308"/>
    </row>
    <row r="29" spans="1:19">
      <c r="A29" s="87">
        <v>22</v>
      </c>
      <c r="B29" s="251" t="s">
        <v>413</v>
      </c>
      <c r="C29" s="273"/>
      <c r="D29" s="274"/>
      <c r="E29" s="267" t="s">
        <v>345</v>
      </c>
      <c r="F29" s="267" t="s">
        <v>16</v>
      </c>
      <c r="G29" s="356"/>
      <c r="H29" s="250"/>
      <c r="I29" s="590" t="s">
        <v>86</v>
      </c>
      <c r="J29" s="268" t="s">
        <v>414</v>
      </c>
    </row>
    <row r="30" spans="1:19" ht="26.1" customHeight="1">
      <c r="A30" s="87">
        <v>23</v>
      </c>
      <c r="B30" s="251" t="s">
        <v>415</v>
      </c>
      <c r="C30" s="273"/>
      <c r="D30" s="274"/>
      <c r="E30" s="267" t="s">
        <v>360</v>
      </c>
      <c r="F30" s="267" t="s">
        <v>16</v>
      </c>
      <c r="G30" s="668"/>
      <c r="H30" s="250"/>
      <c r="I30" s="590" t="s">
        <v>86</v>
      </c>
      <c r="J30" s="275" t="s">
        <v>416</v>
      </c>
      <c r="L30" s="97"/>
    </row>
    <row r="31" spans="1:19" ht="25.5">
      <c r="A31" s="87">
        <v>24</v>
      </c>
      <c r="B31" s="276" t="s">
        <v>417</v>
      </c>
      <c r="C31" s="273"/>
      <c r="D31" s="274"/>
      <c r="E31" s="267" t="s">
        <v>360</v>
      </c>
      <c r="F31" s="666" t="s">
        <v>16</v>
      </c>
      <c r="G31" s="668"/>
      <c r="H31" s="667"/>
      <c r="I31" s="590" t="s">
        <v>86</v>
      </c>
      <c r="J31" s="266" t="s">
        <v>418</v>
      </c>
      <c r="L31" s="117"/>
    </row>
    <row r="32" spans="1:19">
      <c r="A32" s="87">
        <v>25</v>
      </c>
      <c r="B32" s="251" t="s">
        <v>419</v>
      </c>
      <c r="C32" s="273"/>
      <c r="D32" s="267" t="s">
        <v>13</v>
      </c>
      <c r="E32" s="267" t="s">
        <v>360</v>
      </c>
      <c r="F32" s="666" t="s">
        <v>16</v>
      </c>
      <c r="G32" s="98"/>
      <c r="H32" s="667"/>
      <c r="I32" s="590" t="s">
        <v>86</v>
      </c>
      <c r="J32" s="268" t="s">
        <v>420</v>
      </c>
      <c r="L32" s="98"/>
    </row>
    <row r="33" spans="1:27">
      <c r="A33" s="87">
        <v>26</v>
      </c>
      <c r="B33" s="251" t="s">
        <v>421</v>
      </c>
      <c r="C33" s="273"/>
      <c r="D33" s="267" t="s">
        <v>13</v>
      </c>
      <c r="E33" s="267" t="s">
        <v>345</v>
      </c>
      <c r="F33" s="666" t="s">
        <v>13</v>
      </c>
      <c r="G33" s="665"/>
      <c r="H33" s="667"/>
      <c r="I33" s="590" t="s">
        <v>86</v>
      </c>
      <c r="J33" s="268" t="s">
        <v>422</v>
      </c>
      <c r="N33" s="353"/>
    </row>
    <row r="34" spans="1:27">
      <c r="A34" s="87">
        <v>27</v>
      </c>
      <c r="B34" s="251" t="s">
        <v>423</v>
      </c>
      <c r="C34" s="273"/>
      <c r="D34" s="277" t="s">
        <v>13</v>
      </c>
      <c r="E34" s="267" t="s">
        <v>360</v>
      </c>
      <c r="F34" s="267" t="s">
        <v>16</v>
      </c>
      <c r="G34" s="669"/>
      <c r="H34" s="250"/>
      <c r="I34" s="590" t="s">
        <v>86</v>
      </c>
      <c r="J34" s="268" t="s">
        <v>424</v>
      </c>
      <c r="N34" s="354"/>
    </row>
    <row r="35" spans="1:27">
      <c r="B35" s="94"/>
      <c r="C35" s="94"/>
      <c r="D35" s="94"/>
      <c r="E35" s="94"/>
      <c r="F35" s="94"/>
      <c r="G35" s="94"/>
      <c r="H35" s="591"/>
      <c r="I35" s="591"/>
      <c r="J35" s="94"/>
      <c r="T35" s="95"/>
    </row>
    <row r="36" spans="1:27" ht="18">
      <c r="B36" s="96"/>
      <c r="T36" s="95"/>
    </row>
    <row r="37" spans="1:27">
      <c r="B37" s="87" t="s">
        <v>425</v>
      </c>
      <c r="K37"/>
      <c r="T37" s="95"/>
    </row>
    <row r="38" spans="1:27" ht="25.5">
      <c r="B38" s="592" t="s">
        <v>426</v>
      </c>
      <c r="C38"/>
      <c r="D38"/>
      <c r="E38"/>
      <c r="F38"/>
      <c r="G38"/>
      <c r="H38" s="593"/>
      <c r="I38" s="593"/>
      <c r="J38"/>
      <c r="K38"/>
      <c r="L38"/>
      <c r="M38"/>
      <c r="N38"/>
      <c r="O38"/>
      <c r="P38"/>
      <c r="Q38"/>
      <c r="R38"/>
      <c r="S38"/>
      <c r="T38"/>
      <c r="U38"/>
      <c r="V38"/>
      <c r="W38"/>
      <c r="X38"/>
      <c r="Y38"/>
      <c r="Z38"/>
      <c r="AA38"/>
    </row>
    <row r="39" spans="1:27">
      <c r="B39" s="592"/>
      <c r="C39"/>
      <c r="D39"/>
      <c r="E39"/>
      <c r="F39"/>
      <c r="G39"/>
      <c r="H39" s="593"/>
      <c r="I39" s="593"/>
      <c r="J39"/>
      <c r="M39"/>
      <c r="N39"/>
      <c r="O39"/>
      <c r="P39"/>
      <c r="Q39"/>
      <c r="R39"/>
      <c r="S39"/>
      <c r="T39"/>
      <c r="U39"/>
      <c r="V39"/>
      <c r="W39"/>
      <c r="X39"/>
      <c r="Y39"/>
      <c r="Z39"/>
      <c r="AA39"/>
    </row>
    <row r="40" spans="1:27">
      <c r="B40" s="821" t="s">
        <v>427</v>
      </c>
    </row>
    <row r="41" spans="1:27" ht="89.25">
      <c r="B41" s="592" t="s">
        <v>428</v>
      </c>
    </row>
    <row r="54" spans="14:19">
      <c r="N54" s="1047"/>
      <c r="O54" s="1047"/>
      <c r="P54" s="1047"/>
      <c r="Q54" s="1047"/>
      <c r="R54" s="1047"/>
      <c r="S54" s="1047"/>
    </row>
    <row r="55" spans="14:19">
      <c r="O55" s="595"/>
      <c r="P55" s="595"/>
      <c r="Q55" s="595"/>
      <c r="R55" s="595"/>
      <c r="S55" s="595"/>
    </row>
    <row r="56" spans="14:19">
      <c r="N56" s="596"/>
      <c r="O56" s="596"/>
      <c r="P56" s="596"/>
      <c r="Q56" s="596"/>
      <c r="R56" s="596"/>
      <c r="S56" s="596"/>
    </row>
    <row r="57" spans="14:19">
      <c r="N57" s="596"/>
      <c r="O57" s="596"/>
      <c r="P57" s="596"/>
      <c r="Q57" s="596"/>
      <c r="R57" s="596"/>
      <c r="S57" s="596"/>
    </row>
    <row r="58" spans="14:19">
      <c r="N58" s="596"/>
      <c r="O58" s="596"/>
      <c r="P58" s="596"/>
      <c r="Q58" s="596"/>
      <c r="R58" s="596"/>
      <c r="S58" s="596"/>
    </row>
    <row r="59" spans="14:19">
      <c r="N59" s="596"/>
      <c r="O59" s="596"/>
      <c r="P59" s="596"/>
      <c r="Q59" s="596"/>
      <c r="R59" s="596"/>
      <c r="S59" s="596"/>
    </row>
    <row r="60" spans="14:19">
      <c r="N60" s="596"/>
      <c r="O60" s="596"/>
      <c r="P60" s="596"/>
      <c r="Q60" s="596"/>
      <c r="R60" s="596"/>
      <c r="S60" s="596"/>
    </row>
    <row r="61" spans="14:19">
      <c r="N61" s="596"/>
      <c r="O61" s="596"/>
      <c r="P61" s="596"/>
      <c r="Q61" s="596"/>
      <c r="R61" s="596"/>
      <c r="S61" s="596"/>
    </row>
    <row r="62" spans="14:19">
      <c r="N62" s="596"/>
      <c r="O62" s="596"/>
      <c r="P62" s="596"/>
      <c r="Q62" s="596"/>
      <c r="R62" s="596"/>
      <c r="S62" s="596"/>
    </row>
    <row r="63" spans="14:19">
      <c r="N63" s="596"/>
      <c r="O63" s="596"/>
      <c r="P63" s="596"/>
      <c r="Q63" s="596"/>
      <c r="R63" s="596"/>
      <c r="S63" s="596"/>
    </row>
    <row r="64" spans="14:19">
      <c r="N64" s="596"/>
      <c r="O64" s="596"/>
      <c r="P64" s="596"/>
      <c r="Q64" s="596"/>
      <c r="R64" s="596"/>
      <c r="S64" s="596"/>
    </row>
    <row r="65" spans="14:19">
      <c r="N65" s="596"/>
      <c r="O65" s="596"/>
      <c r="P65" s="596"/>
      <c r="Q65" s="596"/>
      <c r="R65" s="596"/>
      <c r="S65" s="596"/>
    </row>
    <row r="66" spans="14:19">
      <c r="N66" s="1044"/>
      <c r="O66" s="1044"/>
      <c r="P66" s="1044"/>
      <c r="Q66" s="1044"/>
      <c r="R66" s="1044"/>
      <c r="S66" s="1044"/>
    </row>
    <row r="67" spans="14:19">
      <c r="N67" s="596"/>
      <c r="O67" s="596"/>
      <c r="P67" s="596"/>
      <c r="Q67" s="596"/>
      <c r="R67" s="596"/>
      <c r="S67" s="596"/>
    </row>
    <row r="68" spans="14:19">
      <c r="N68" s="596"/>
      <c r="O68" s="596"/>
      <c r="P68" s="596"/>
      <c r="Q68" s="596"/>
      <c r="R68" s="596"/>
      <c r="S68" s="596"/>
    </row>
    <row r="69" spans="14:19">
      <c r="N69" s="596"/>
      <c r="O69" s="596"/>
      <c r="P69" s="596"/>
      <c r="Q69" s="596"/>
      <c r="R69" s="596"/>
      <c r="S69" s="596"/>
    </row>
    <row r="70" spans="14:19">
      <c r="N70" s="596"/>
      <c r="O70" s="596"/>
      <c r="P70" s="596"/>
      <c r="Q70" s="596"/>
      <c r="R70" s="596"/>
      <c r="S70" s="596"/>
    </row>
    <row r="71" spans="14:19">
      <c r="N71" s="596"/>
      <c r="O71" s="596"/>
      <c r="P71" s="596"/>
      <c r="Q71" s="596"/>
      <c r="R71" s="596"/>
      <c r="S71" s="596"/>
    </row>
    <row r="72" spans="14:19">
      <c r="N72" s="596"/>
      <c r="O72" s="596"/>
      <c r="P72" s="596"/>
      <c r="Q72" s="596"/>
      <c r="R72" s="596"/>
      <c r="S72" s="596"/>
    </row>
    <row r="73" spans="14:19">
      <c r="N73" s="596"/>
      <c r="O73" s="596"/>
      <c r="P73" s="596"/>
      <c r="Q73" s="596"/>
      <c r="R73" s="596"/>
      <c r="S73" s="596"/>
    </row>
    <row r="74" spans="14:19">
      <c r="N74" s="597"/>
      <c r="O74" s="596"/>
      <c r="P74" s="596"/>
      <c r="Q74" s="596"/>
      <c r="R74" s="596"/>
      <c r="S74" s="596"/>
    </row>
    <row r="75" spans="14:19">
      <c r="N75" s="597"/>
      <c r="O75" s="596"/>
      <c r="P75" s="596"/>
      <c r="Q75" s="596"/>
      <c r="R75" s="596"/>
      <c r="S75" s="596"/>
    </row>
    <row r="76" spans="14:19">
      <c r="N76" s="597"/>
      <c r="O76" s="596"/>
      <c r="P76" s="596"/>
      <c r="Q76" s="596"/>
      <c r="R76" s="596"/>
      <c r="S76" s="596"/>
    </row>
    <row r="77" spans="14:19">
      <c r="N77" s="596"/>
      <c r="O77" s="596"/>
      <c r="P77" s="596"/>
      <c r="Q77" s="596"/>
      <c r="R77" s="596"/>
      <c r="S77" s="596"/>
    </row>
    <row r="78" spans="14:19">
      <c r="N78" s="1044"/>
      <c r="O78" s="1044"/>
      <c r="P78" s="1044"/>
      <c r="Q78" s="1044"/>
      <c r="R78" s="1044"/>
      <c r="S78" s="1044"/>
    </row>
    <row r="79" spans="14:19">
      <c r="N79" s="596"/>
      <c r="O79" s="596"/>
      <c r="P79" s="596"/>
      <c r="Q79" s="596"/>
      <c r="R79" s="596"/>
      <c r="S79" s="596"/>
    </row>
    <row r="80" spans="14:19">
      <c r="N80" s="596"/>
      <c r="O80" s="596"/>
      <c r="P80" s="596"/>
      <c r="Q80" s="596"/>
      <c r="R80" s="596"/>
      <c r="S80" s="596"/>
    </row>
    <row r="81" spans="14:19">
      <c r="N81" s="596"/>
      <c r="O81" s="596"/>
      <c r="P81" s="596"/>
      <c r="Q81" s="596"/>
      <c r="R81" s="596"/>
      <c r="S81" s="596"/>
    </row>
    <row r="82" spans="14:19">
      <c r="N82" s="596"/>
      <c r="O82" s="596"/>
      <c r="P82" s="596"/>
      <c r="Q82" s="596"/>
      <c r="R82" s="596"/>
      <c r="S82" s="596"/>
    </row>
    <row r="83" spans="14:19">
      <c r="N83" s="596"/>
      <c r="O83" s="596"/>
      <c r="P83" s="596"/>
      <c r="Q83" s="596"/>
      <c r="R83" s="596"/>
      <c r="S83" s="596"/>
    </row>
    <row r="84" spans="14:19">
      <c r="N84" s="596"/>
      <c r="O84" s="596"/>
      <c r="P84" s="596"/>
      <c r="Q84" s="596"/>
      <c r="R84" s="596"/>
      <c r="S84" s="596"/>
    </row>
    <row r="85" spans="14:19">
      <c r="N85" s="596"/>
      <c r="O85" s="596"/>
      <c r="P85" s="596"/>
      <c r="Q85" s="596"/>
      <c r="R85" s="596"/>
      <c r="S85" s="596"/>
    </row>
    <row r="86" spans="14:19">
      <c r="N86" s="597"/>
      <c r="O86" s="596"/>
      <c r="P86" s="596"/>
      <c r="Q86" s="596"/>
      <c r="R86" s="596"/>
      <c r="S86" s="596"/>
    </row>
    <row r="87" spans="14:19">
      <c r="N87" s="597"/>
      <c r="O87" s="596"/>
      <c r="P87" s="596"/>
      <c r="Q87" s="596"/>
      <c r="R87" s="596"/>
      <c r="S87" s="596"/>
    </row>
    <row r="88" spans="14:19">
      <c r="N88" s="597"/>
      <c r="O88" s="596"/>
      <c r="P88" s="596"/>
      <c r="Q88" s="596"/>
      <c r="R88" s="596"/>
      <c r="S88" s="596"/>
    </row>
    <row r="89" spans="14:19">
      <c r="N89" s="596"/>
      <c r="O89" s="596"/>
      <c r="P89" s="596"/>
      <c r="Q89" s="596"/>
      <c r="R89" s="596"/>
      <c r="S89" s="596"/>
    </row>
    <row r="90" spans="14:19">
      <c r="N90" s="1044"/>
      <c r="O90" s="1044"/>
      <c r="P90" s="1044"/>
      <c r="Q90" s="1044"/>
      <c r="R90" s="1044"/>
      <c r="S90" s="1044"/>
    </row>
    <row r="91" spans="14:19">
      <c r="N91" s="596"/>
      <c r="O91" s="596"/>
      <c r="P91" s="596"/>
      <c r="Q91" s="596"/>
      <c r="R91" s="596"/>
      <c r="S91" s="596"/>
    </row>
    <row r="92" spans="14:19">
      <c r="N92" s="597"/>
      <c r="O92" s="596"/>
      <c r="P92" s="596"/>
      <c r="Q92" s="596"/>
      <c r="R92" s="596"/>
      <c r="S92" s="596"/>
    </row>
    <row r="93" spans="14:19">
      <c r="N93" s="597"/>
      <c r="O93" s="596"/>
      <c r="P93" s="596"/>
      <c r="Q93" s="596"/>
      <c r="R93" s="596"/>
      <c r="S93" s="596"/>
    </row>
    <row r="94" spans="14:19">
      <c r="N94" s="597"/>
      <c r="O94" s="596"/>
      <c r="P94" s="596"/>
      <c r="Q94" s="596"/>
      <c r="R94" s="596"/>
      <c r="S94" s="596"/>
    </row>
    <row r="95" spans="14:19">
      <c r="N95" s="597"/>
      <c r="O95" s="596"/>
      <c r="P95" s="596"/>
      <c r="Q95" s="596"/>
      <c r="R95" s="596"/>
      <c r="S95" s="596"/>
    </row>
    <row r="96" spans="14:19">
      <c r="N96" s="597"/>
      <c r="O96" s="596"/>
      <c r="P96" s="596"/>
      <c r="Q96" s="596"/>
      <c r="R96" s="596"/>
      <c r="S96" s="596"/>
    </row>
    <row r="97" spans="14:19">
      <c r="N97" s="597"/>
      <c r="O97" s="596"/>
      <c r="P97" s="596"/>
      <c r="Q97" s="596"/>
      <c r="R97" s="596"/>
      <c r="S97" s="596"/>
    </row>
    <row r="98" spans="14:19">
      <c r="N98" s="597"/>
      <c r="O98" s="596"/>
      <c r="P98" s="596"/>
      <c r="Q98" s="596"/>
      <c r="R98" s="596"/>
      <c r="S98" s="596"/>
    </row>
    <row r="99" spans="14:19">
      <c r="N99" s="597"/>
      <c r="O99" s="596"/>
      <c r="P99" s="596"/>
      <c r="Q99" s="596"/>
      <c r="R99" s="596"/>
      <c r="S99" s="596"/>
    </row>
    <row r="100" spans="14:19">
      <c r="N100" s="597"/>
      <c r="O100" s="596"/>
      <c r="P100" s="596"/>
      <c r="Q100" s="596"/>
      <c r="R100" s="596"/>
      <c r="S100" s="596"/>
    </row>
  </sheetData>
  <mergeCells count="6">
    <mergeCell ref="N90:S90"/>
    <mergeCell ref="B3:J3"/>
    <mergeCell ref="K3:Q3"/>
    <mergeCell ref="N54:S54"/>
    <mergeCell ref="N66:S66"/>
    <mergeCell ref="N78:S78"/>
  </mergeCells>
  <conditionalFormatting sqref="C10:G10">
    <cfRule type="expression" dxfId="36" priority="30">
      <formula>$C$10="Low"</formula>
    </cfRule>
  </conditionalFormatting>
  <conditionalFormatting sqref="D9 F9 J9:J10">
    <cfRule type="expression" dxfId="35" priority="44">
      <formula>$C$9="Low"</formula>
    </cfRule>
  </conditionalFormatting>
  <conditionalFormatting sqref="D6:F6 H6:J6">
    <cfRule type="expression" dxfId="34" priority="47">
      <formula>$C$6="Low"</formula>
    </cfRule>
  </conditionalFormatting>
  <conditionalFormatting sqref="D13:F13 J13">
    <cfRule type="expression" dxfId="33" priority="41">
      <formula>$C$13="Low"</formula>
    </cfRule>
  </conditionalFormatting>
  <conditionalFormatting sqref="D14:F14 J14">
    <cfRule type="expression" dxfId="32" priority="40">
      <formula>$C$14="Low"</formula>
    </cfRule>
  </conditionalFormatting>
  <conditionalFormatting sqref="D15:F15 H15:J15">
    <cfRule type="expression" dxfId="31" priority="39">
      <formula>$C$15="Low"</formula>
    </cfRule>
  </conditionalFormatting>
  <conditionalFormatting sqref="D16:F16 I16:J16">
    <cfRule type="expression" dxfId="30" priority="38">
      <formula>$C$16="Low"</formula>
    </cfRule>
  </conditionalFormatting>
  <conditionalFormatting sqref="D19:F19 J20">
    <cfRule type="expression" dxfId="29" priority="35">
      <formula>$C$19="Low"</formula>
    </cfRule>
  </conditionalFormatting>
  <conditionalFormatting sqref="D20:F20 H20:J20">
    <cfRule type="expression" dxfId="28" priority="34">
      <formula>$C$20="Low"</formula>
    </cfRule>
  </conditionalFormatting>
  <conditionalFormatting sqref="D21:F21 J21">
    <cfRule type="expression" dxfId="27" priority="33">
      <formula>$C$21="Low"</formula>
    </cfRule>
  </conditionalFormatting>
  <conditionalFormatting sqref="D7:G7 J7">
    <cfRule type="expression" dxfId="26" priority="46">
      <formula>$C$7="Low"</formula>
    </cfRule>
  </conditionalFormatting>
  <conditionalFormatting sqref="D8:G8 J8">
    <cfRule type="expression" dxfId="25" priority="45">
      <formula>$C$8="Low"</formula>
    </cfRule>
  </conditionalFormatting>
  <conditionalFormatting sqref="D12:G12 J12">
    <cfRule type="expression" dxfId="24" priority="42">
      <formula>$C$12="Low"</formula>
    </cfRule>
  </conditionalFormatting>
  <conditionalFormatting sqref="D17:G17 J17">
    <cfRule type="expression" dxfId="23" priority="37">
      <formula>$C$17="Low"</formula>
    </cfRule>
  </conditionalFormatting>
  <conditionalFormatting sqref="D18:J18">
    <cfRule type="expression" dxfId="22" priority="36">
      <formula>$C$18="Low"</formula>
    </cfRule>
  </conditionalFormatting>
  <conditionalFormatting sqref="D22:J22">
    <cfRule type="expression" dxfId="21" priority="32">
      <formula>$C$22="Low"</formula>
    </cfRule>
  </conditionalFormatting>
  <conditionalFormatting sqref="G6">
    <cfRule type="expression" dxfId="20" priority="28">
      <formula>$C$7="Low"</formula>
    </cfRule>
  </conditionalFormatting>
  <conditionalFormatting sqref="G13:G14">
    <cfRule type="expression" dxfId="19" priority="2">
      <formula>$C$10="Low"</formula>
    </cfRule>
  </conditionalFormatting>
  <conditionalFormatting sqref="G15">
    <cfRule type="expression" dxfId="18" priority="10">
      <formula>$C$19="Low"</formula>
    </cfRule>
  </conditionalFormatting>
  <conditionalFormatting sqref="G16">
    <cfRule type="expression" dxfId="17" priority="6">
      <formula>$C$21="Low"</formula>
    </cfRule>
  </conditionalFormatting>
  <conditionalFormatting sqref="G19">
    <cfRule type="expression" dxfId="16" priority="4">
      <formula>$C$21="Low"</formula>
    </cfRule>
  </conditionalFormatting>
  <conditionalFormatting sqref="G20:G21">
    <cfRule type="expression" dxfId="15" priority="3">
      <formula>$C$19="Low"</formula>
    </cfRule>
  </conditionalFormatting>
  <conditionalFormatting sqref="G26">
    <cfRule type="expression" dxfId="14" priority="1">
      <formula>$C$10="Low"</formula>
    </cfRule>
  </conditionalFormatting>
  <conditionalFormatting sqref="G28">
    <cfRule type="expression" dxfId="13" priority="12">
      <formula>$C$14="Low"</formula>
    </cfRule>
  </conditionalFormatting>
  <conditionalFormatting sqref="H16:H17">
    <cfRule type="expression" dxfId="12" priority="17">
      <formula>$C$6="Low"</formula>
    </cfRule>
  </conditionalFormatting>
  <conditionalFormatting sqref="H19">
    <cfRule type="expression" dxfId="11" priority="16">
      <formula>$C$6="Low"</formula>
    </cfRule>
  </conditionalFormatting>
  <conditionalFormatting sqref="H21">
    <cfRule type="expression" dxfId="10" priority="15">
      <formula>$C$6="Low"</formula>
    </cfRule>
  </conditionalFormatting>
  <conditionalFormatting sqref="H24:H34">
    <cfRule type="expression" dxfId="9" priority="14">
      <formula>$C$6="Low"</formula>
    </cfRule>
  </conditionalFormatting>
  <conditionalFormatting sqref="H7:I10">
    <cfRule type="expression" dxfId="8" priority="25">
      <formula>$C$6="Low"</formula>
    </cfRule>
  </conditionalFormatting>
  <conditionalFormatting sqref="H12:I14">
    <cfRule type="expression" dxfId="7" priority="18">
      <formula>$C$6="Low"</formula>
    </cfRule>
  </conditionalFormatting>
  <conditionalFormatting sqref="I17">
    <cfRule type="expression" dxfId="6" priority="22">
      <formula>$C$16="Low"</formula>
    </cfRule>
  </conditionalFormatting>
  <conditionalFormatting sqref="I19">
    <cfRule type="expression" dxfId="5" priority="21">
      <formula>$C$16="Low"</formula>
    </cfRule>
  </conditionalFormatting>
  <conditionalFormatting sqref="I21">
    <cfRule type="expression" dxfId="4" priority="20">
      <formula>$C$16="Low"</formula>
    </cfRule>
  </conditionalFormatting>
  <conditionalFormatting sqref="I24:I34">
    <cfRule type="expression" dxfId="3" priority="19">
      <formula>$C$16="Low"</formula>
    </cfRule>
  </conditionalFormatting>
  <conditionalFormatting sqref="J19">
    <cfRule type="expression" dxfId="2" priority="13">
      <formula>$C$17="Low"</formula>
    </cfRule>
  </conditionalFormatting>
  <dataValidations count="3">
    <dataValidation type="list" allowBlank="1" showInputMessage="1" showErrorMessage="1" sqref="D6:D22 D32:D34 F24:F34 F6:F10 F12:F22 C11" xr:uid="{3F3EAFB5-AA53-4ACB-815F-B2974A5D886C}">
      <formula1>$T$1:$T$2</formula1>
    </dataValidation>
    <dataValidation type="list" showInputMessage="1" showErrorMessage="1" sqref="B2" xr:uid="{A02853CE-D21D-44BD-9939-055BC887EFBD}">
      <formula1>Sectors</formula1>
    </dataValidation>
    <dataValidation type="list" allowBlank="1" showInputMessage="1" showErrorMessage="1" sqref="E12:E22 E24:E34 E6:E8 E10" xr:uid="{21B53BAA-5CFE-4F77-8669-06D93A31F2C2}">
      <formula1>$L$25:$L$28</formula1>
    </dataValidation>
  </dataValidations>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tabColor rgb="FF0070C0"/>
  </sheetPr>
  <dimension ref="A1:AN87"/>
  <sheetViews>
    <sheetView showGridLines="0" tabSelected="1" topLeftCell="A51" zoomScale="80" zoomScaleNormal="80" workbookViewId="0">
      <selection activeCell="D75" sqref="D75"/>
    </sheetView>
  </sheetViews>
  <sheetFormatPr defaultColWidth="11.42578125" defaultRowHeight="12.75" outlineLevelCol="1"/>
  <cols>
    <col min="1" max="1" width="24.42578125" bestFit="1" customWidth="1"/>
    <col min="2" max="2" width="11.42578125" customWidth="1" outlineLevel="1"/>
    <col min="3" max="3" width="32.140625" customWidth="1" outlineLevel="1"/>
    <col min="4" max="4" width="20" customWidth="1" outlineLevel="1"/>
    <col min="5" max="5" width="24" customWidth="1"/>
    <col min="6" max="6" width="27.42578125" customWidth="1"/>
    <col min="7" max="7" width="14.140625" style="2" customWidth="1"/>
    <col min="8" max="11" width="11" style="2" customWidth="1"/>
    <col min="12" max="12" width="19" style="2" customWidth="1"/>
    <col min="13" max="14" width="24.28515625" style="2" bestFit="1" customWidth="1"/>
    <col min="15" max="15" width="23" style="2" bestFit="1" customWidth="1"/>
    <col min="16" max="25" width="24.28515625" style="2" bestFit="1" customWidth="1"/>
    <col min="26" max="28" width="23" style="2" bestFit="1" customWidth="1"/>
    <col min="29" max="30" width="24.28515625" style="2" bestFit="1" customWidth="1"/>
    <col min="31" max="32" width="23" style="2" bestFit="1" customWidth="1"/>
    <col min="33" max="33" width="14.42578125" customWidth="1"/>
  </cols>
  <sheetData>
    <row r="1" spans="1:40" ht="21" customHeight="1">
      <c r="A1" s="1054" t="s">
        <v>429</v>
      </c>
      <c r="B1" s="1054"/>
      <c r="C1" s="1054"/>
      <c r="D1" s="1054"/>
      <c r="E1" s="1054"/>
      <c r="F1" s="1054"/>
      <c r="G1" s="1054"/>
      <c r="H1" s="1054"/>
      <c r="I1" s="1054"/>
      <c r="J1" s="1054"/>
      <c r="K1" s="1054"/>
      <c r="L1" s="1054"/>
      <c r="M1" s="1054"/>
      <c r="N1" s="1054"/>
      <c r="O1" s="1054"/>
      <c r="P1" s="1054"/>
      <c r="Q1" s="1054"/>
      <c r="R1" s="1054"/>
      <c r="S1" s="1054"/>
      <c r="T1" s="1054"/>
      <c r="U1" s="1054"/>
      <c r="V1" s="1054"/>
      <c r="W1" s="1054"/>
      <c r="X1" s="1054"/>
      <c r="Y1" s="1054"/>
      <c r="Z1" s="1054"/>
      <c r="AA1" s="1054"/>
      <c r="AB1" s="1054"/>
      <c r="AC1" s="1054"/>
      <c r="AD1" s="1054"/>
      <c r="AE1" s="1054"/>
      <c r="AF1" s="1054"/>
      <c r="AG1" s="11"/>
      <c r="AH1" s="11"/>
      <c r="AI1" s="11"/>
      <c r="AJ1" s="11"/>
      <c r="AK1" s="11"/>
      <c r="AL1" s="11"/>
      <c r="AM1" s="11"/>
      <c r="AN1" s="11"/>
    </row>
    <row r="2" spans="1:40" ht="3.75" customHeight="1" thickBot="1">
      <c r="A2" s="1055"/>
      <c r="B2" s="1055"/>
      <c r="C2" s="1055"/>
      <c r="D2" s="1055"/>
      <c r="E2" s="1055"/>
      <c r="F2" s="1055"/>
      <c r="G2" s="1055"/>
      <c r="H2" s="1055"/>
      <c r="I2" s="1055"/>
      <c r="J2" s="1055"/>
      <c r="K2" s="1055"/>
      <c r="L2" s="1055"/>
      <c r="M2" s="1055"/>
      <c r="N2" s="1055"/>
      <c r="O2" s="1055"/>
      <c r="P2" s="1055"/>
      <c r="Q2" s="1055"/>
      <c r="R2" s="1055"/>
      <c r="S2" s="1055"/>
      <c r="T2" s="1055"/>
      <c r="U2" s="1055"/>
      <c r="V2" s="1055"/>
      <c r="W2" s="1055"/>
      <c r="X2" s="1055"/>
      <c r="Y2" s="1055"/>
      <c r="Z2" s="1055"/>
      <c r="AA2" s="1055"/>
      <c r="AB2" s="1055"/>
      <c r="AC2" s="1055"/>
      <c r="AD2" s="1055"/>
      <c r="AE2" s="1055"/>
      <c r="AF2" s="1055"/>
      <c r="AG2" s="601"/>
      <c r="AH2" s="11"/>
      <c r="AI2" s="11"/>
      <c r="AJ2" s="11"/>
      <c r="AK2" s="11"/>
      <c r="AL2" s="11"/>
      <c r="AM2" s="11"/>
      <c r="AN2" s="11"/>
    </row>
    <row r="3" spans="1:40" ht="19.5" thickBot="1">
      <c r="A3" s="285"/>
      <c r="B3" s="285"/>
      <c r="C3" s="285"/>
      <c r="D3" s="285"/>
      <c r="E3" s="285"/>
      <c r="F3" s="285"/>
      <c r="G3" s="1063" t="s">
        <v>430</v>
      </c>
      <c r="H3" s="1064"/>
      <c r="I3" s="1064"/>
      <c r="J3" s="1064"/>
      <c r="K3" s="1063" t="s">
        <v>431</v>
      </c>
      <c r="L3" s="1064"/>
      <c r="M3" s="1064"/>
      <c r="N3" s="1064"/>
      <c r="O3" s="1064"/>
      <c r="P3" s="1064"/>
      <c r="Q3" s="1064"/>
      <c r="R3" s="1064"/>
      <c r="S3" s="1064"/>
      <c r="T3" s="1064"/>
      <c r="U3" s="1064"/>
      <c r="V3" s="1064"/>
      <c r="W3" s="1064"/>
      <c r="X3" s="1064"/>
      <c r="Y3" s="1064"/>
      <c r="Z3" s="1064"/>
      <c r="AA3" s="1064"/>
      <c r="AB3" s="1064"/>
      <c r="AC3" s="1064"/>
      <c r="AD3" s="1064"/>
      <c r="AE3" s="1064"/>
      <c r="AF3" s="1065"/>
      <c r="AG3" s="601"/>
      <c r="AH3" s="11"/>
      <c r="AI3" s="11"/>
      <c r="AJ3" s="11"/>
      <c r="AK3" s="11"/>
      <c r="AL3" s="11"/>
      <c r="AM3" s="11"/>
      <c r="AN3" s="11"/>
    </row>
    <row r="4" spans="1:40" ht="15.75" thickBot="1">
      <c r="A4" s="313" t="s">
        <v>432</v>
      </c>
      <c r="B4" s="314" t="s">
        <v>433</v>
      </c>
      <c r="C4" s="315" t="s">
        <v>434</v>
      </c>
      <c r="D4" s="323" t="s">
        <v>435</v>
      </c>
      <c r="E4" s="323" t="s">
        <v>436</v>
      </c>
      <c r="F4" s="324" t="s">
        <v>437</v>
      </c>
      <c r="G4" s="323">
        <v>2023</v>
      </c>
      <c r="H4" s="323">
        <f>G4+1</f>
        <v>2024</v>
      </c>
      <c r="I4" s="323">
        <f t="shared" ref="I4:AF4" si="0">H4+1</f>
        <v>2025</v>
      </c>
      <c r="J4" s="324">
        <f t="shared" si="0"/>
        <v>2026</v>
      </c>
      <c r="K4" s="325">
        <f t="shared" si="0"/>
        <v>2027</v>
      </c>
      <c r="L4" s="325">
        <f t="shared" si="0"/>
        <v>2028</v>
      </c>
      <c r="M4" s="325">
        <f t="shared" si="0"/>
        <v>2029</v>
      </c>
      <c r="N4" s="325">
        <f t="shared" si="0"/>
        <v>2030</v>
      </c>
      <c r="O4" s="325">
        <f t="shared" si="0"/>
        <v>2031</v>
      </c>
      <c r="P4" s="325">
        <f t="shared" si="0"/>
        <v>2032</v>
      </c>
      <c r="Q4" s="325">
        <f t="shared" si="0"/>
        <v>2033</v>
      </c>
      <c r="R4" s="325">
        <f t="shared" si="0"/>
        <v>2034</v>
      </c>
      <c r="S4" s="325">
        <f t="shared" si="0"/>
        <v>2035</v>
      </c>
      <c r="T4" s="325">
        <f t="shared" si="0"/>
        <v>2036</v>
      </c>
      <c r="U4" s="325">
        <f t="shared" si="0"/>
        <v>2037</v>
      </c>
      <c r="V4" s="325">
        <f t="shared" si="0"/>
        <v>2038</v>
      </c>
      <c r="W4" s="325">
        <f t="shared" si="0"/>
        <v>2039</v>
      </c>
      <c r="X4" s="325">
        <f t="shared" si="0"/>
        <v>2040</v>
      </c>
      <c r="Y4" s="325">
        <f t="shared" si="0"/>
        <v>2041</v>
      </c>
      <c r="Z4" s="325">
        <f t="shared" si="0"/>
        <v>2042</v>
      </c>
      <c r="AA4" s="325">
        <f t="shared" si="0"/>
        <v>2043</v>
      </c>
      <c r="AB4" s="325">
        <f t="shared" si="0"/>
        <v>2044</v>
      </c>
      <c r="AC4" s="325">
        <f t="shared" si="0"/>
        <v>2045</v>
      </c>
      <c r="AD4" s="325">
        <f t="shared" si="0"/>
        <v>2046</v>
      </c>
      <c r="AE4" s="325">
        <f t="shared" si="0"/>
        <v>2047</v>
      </c>
      <c r="AF4" s="326">
        <f t="shared" si="0"/>
        <v>2048</v>
      </c>
      <c r="AG4" s="787"/>
      <c r="AH4" s="11"/>
      <c r="AI4" s="11"/>
      <c r="AJ4" s="11"/>
      <c r="AK4" s="11"/>
      <c r="AL4" s="11"/>
      <c r="AM4" s="11"/>
      <c r="AN4" s="11"/>
    </row>
    <row r="5" spans="1:40">
      <c r="A5" s="1059" t="s">
        <v>438</v>
      </c>
      <c r="B5" s="316">
        <v>1</v>
      </c>
      <c r="C5" s="321" t="s">
        <v>439</v>
      </c>
      <c r="D5" s="331">
        <f>'Fin. Data'!D6</f>
        <v>-5.0986842105263164E-2</v>
      </c>
      <c r="E5" s="334">
        <f t="shared" ref="E5:K5" si="1">+E6/D6-1</f>
        <v>1.5597920277296451E-2</v>
      </c>
      <c r="F5" s="378">
        <f t="shared" si="1"/>
        <v>0.34926052332195678</v>
      </c>
      <c r="G5" s="782">
        <f t="shared" si="1"/>
        <v>0.25</v>
      </c>
      <c r="H5" s="394">
        <f t="shared" si="1"/>
        <v>0.22500000000000009</v>
      </c>
      <c r="I5" s="394">
        <f t="shared" si="1"/>
        <v>0.19999999999999996</v>
      </c>
      <c r="J5" s="395">
        <f t="shared" si="1"/>
        <v>0.18306556308920219</v>
      </c>
      <c r="K5" s="782">
        <f t="shared" si="1"/>
        <v>0.12806556308920247</v>
      </c>
      <c r="L5" s="394">
        <f t="shared" ref="L5:AF5" si="2">+L6/K6-1</f>
        <v>0.12806556308920247</v>
      </c>
      <c r="M5" s="394">
        <f t="shared" si="2"/>
        <v>0.12806556308920247</v>
      </c>
      <c r="N5" s="394">
        <f t="shared" si="2"/>
        <v>0.12806556308920247</v>
      </c>
      <c r="O5" s="394">
        <f t="shared" si="2"/>
        <v>7.8065563089202428E-2</v>
      </c>
      <c r="P5" s="394">
        <f t="shared" si="2"/>
        <v>7.8065563089202428E-2</v>
      </c>
      <c r="Q5" s="394">
        <f t="shared" si="2"/>
        <v>7.8065563089202428E-2</v>
      </c>
      <c r="R5" s="394">
        <f t="shared" si="2"/>
        <v>7.8065563089202428E-2</v>
      </c>
      <c r="S5" s="394">
        <f t="shared" si="2"/>
        <v>7.8065563089202428E-2</v>
      </c>
      <c r="T5" s="394">
        <f t="shared" si="2"/>
        <v>5.3065563089202294E-2</v>
      </c>
      <c r="U5" s="394">
        <f t="shared" si="2"/>
        <v>5.3065563089202294E-2</v>
      </c>
      <c r="V5" s="394">
        <f t="shared" si="2"/>
        <v>5.3065563089202294E-2</v>
      </c>
      <c r="W5" s="394">
        <f t="shared" si="2"/>
        <v>5.3065563089202294E-2</v>
      </c>
      <c r="X5" s="394">
        <f t="shared" si="2"/>
        <v>5.3065563089202294E-2</v>
      </c>
      <c r="Y5" s="394">
        <f t="shared" si="2"/>
        <v>2.4999999999999911E-2</v>
      </c>
      <c r="Z5" s="394">
        <f t="shared" si="2"/>
        <v>2.4999999999999911E-2</v>
      </c>
      <c r="AA5" s="394">
        <f t="shared" si="2"/>
        <v>2.4999999999999911E-2</v>
      </c>
      <c r="AB5" s="394">
        <f t="shared" si="2"/>
        <v>2.4999999999999911E-2</v>
      </c>
      <c r="AC5" s="394">
        <f t="shared" si="2"/>
        <v>2.4999999999999911E-2</v>
      </c>
      <c r="AD5" s="394">
        <f t="shared" si="2"/>
        <v>2.4999999999999911E-2</v>
      </c>
      <c r="AE5" s="394">
        <f t="shared" si="2"/>
        <v>2.4999999999999911E-2</v>
      </c>
      <c r="AF5" s="395">
        <f t="shared" si="2"/>
        <v>2.4999999999999911E-2</v>
      </c>
      <c r="AG5" s="788"/>
      <c r="AH5" s="11"/>
      <c r="AI5" s="11"/>
      <c r="AJ5" s="11"/>
      <c r="AK5" s="11"/>
      <c r="AL5" s="11"/>
      <c r="AM5" s="11"/>
      <c r="AN5" s="11"/>
    </row>
    <row r="6" spans="1:40" ht="15">
      <c r="A6" s="1059"/>
      <c r="B6" s="316">
        <v>2</v>
      </c>
      <c r="C6" s="312" t="s">
        <v>440</v>
      </c>
      <c r="D6" s="335">
        <f>'Fin. Data (Common Size)'!D5</f>
        <v>1731</v>
      </c>
      <c r="E6" s="780">
        <f>'Fin. Data'!C5</f>
        <v>1758</v>
      </c>
      <c r="F6" s="379">
        <f>'Fin. Data'!B5</f>
        <v>2372</v>
      </c>
      <c r="G6" s="387">
        <f>F6*(1+Assumptions!L9)</f>
        <v>2965</v>
      </c>
      <c r="H6" s="385">
        <f>G6*(1+Assumptions!M9)</f>
        <v>3632.1250000000005</v>
      </c>
      <c r="I6" s="385">
        <f>H6*(1+Assumptions!N9)</f>
        <v>4358.55</v>
      </c>
      <c r="J6" s="388">
        <f>I6*(1+Assumptions!O9)</f>
        <v>5156.4504100024424</v>
      </c>
      <c r="K6" s="387">
        <f>J6*(1+Assumptions!P9)</f>
        <v>5816.8141353009541</v>
      </c>
      <c r="L6" s="385">
        <f>K6*(1+Assumptions!Q9)</f>
        <v>6561.7477129235031</v>
      </c>
      <c r="M6" s="385">
        <f>L6*(1+Assumptions!R9)</f>
        <v>7402.081628628338</v>
      </c>
      <c r="N6" s="385">
        <f>M6*(1+Assumptions!S9)</f>
        <v>8350.0333804308666</v>
      </c>
      <c r="O6" s="385">
        <f>N6*(1+Assumptions!T9)</f>
        <v>9001.8834380878379</v>
      </c>
      <c r="P6" s="385">
        <f>O6*(1+Assumptions!U9)</f>
        <v>9704.6205375455302</v>
      </c>
      <c r="Q6" s="385">
        <f>P6*(1+Assumptions!V9)</f>
        <v>10462.21720437606</v>
      </c>
      <c r="R6" s="385">
        <f>Q6*(1+Assumptions!W9)</f>
        <v>11278.956081597218</v>
      </c>
      <c r="S6" s="385">
        <f>R6*(1+Assumptions!X9)</f>
        <v>12159.454139165489</v>
      </c>
      <c r="T6" s="385">
        <f>S6*(1+Assumptions!Y9)</f>
        <v>12804.702419917638</v>
      </c>
      <c r="U6" s="385">
        <f>T6*(1+Assumptions!Z9)</f>
        <v>13484.191164020238</v>
      </c>
      <c r="V6" s="385">
        <f>U6*(1+Assumptions!AA9)</f>
        <v>14199.737360941417</v>
      </c>
      <c r="W6" s="385">
        <f>V6*(1+Assumptions!AB9)</f>
        <v>14953.254419718556</v>
      </c>
      <c r="X6" s="385">
        <f>W6*(1+Assumptions!AC9)</f>
        <v>15746.757285517024</v>
      </c>
      <c r="Y6" s="385">
        <f>X6*(1+Assumptions!AD9)</f>
        <v>16140.426217654947</v>
      </c>
      <c r="Z6" s="385">
        <f>Y6*(1+Assumptions!AE9)</f>
        <v>16543.936873096318</v>
      </c>
      <c r="AA6" s="385">
        <f>Z6*(1+Assumptions!AF9)</f>
        <v>16957.535294923724</v>
      </c>
      <c r="AB6" s="385">
        <f>AA6*(1+Assumptions!AG9)</f>
        <v>17381.473677296817</v>
      </c>
      <c r="AC6" s="385">
        <f>AB6*(1+Assumptions!AH9)</f>
        <v>17816.010519229236</v>
      </c>
      <c r="AD6" s="385">
        <f>AC6*(1+Assumptions!AI9)</f>
        <v>18261.410782209965</v>
      </c>
      <c r="AE6" s="385">
        <f>AD6*(1+Assumptions!AJ9)</f>
        <v>18717.946051765211</v>
      </c>
      <c r="AF6" s="388">
        <f>AE6*(1+Assumptions!AK9)</f>
        <v>19185.894703059341</v>
      </c>
      <c r="AG6" s="789"/>
      <c r="AH6" s="11"/>
      <c r="AI6" s="11"/>
      <c r="AJ6" s="11"/>
      <c r="AK6" s="11"/>
      <c r="AL6" s="11"/>
      <c r="AM6" s="11"/>
      <c r="AN6" s="11"/>
    </row>
    <row r="7" spans="1:40">
      <c r="A7" s="1059"/>
      <c r="B7" s="316">
        <v>3</v>
      </c>
      <c r="C7" s="312" t="s">
        <v>441</v>
      </c>
      <c r="D7" s="374">
        <f>D8/D6</f>
        <v>0.60889659156556908</v>
      </c>
      <c r="E7" s="371">
        <f t="shared" ref="E7:F7" si="3">E8/E6</f>
        <v>0.6547212741751991</v>
      </c>
      <c r="F7" s="380">
        <f t="shared" si="3"/>
        <v>0.5950674536256324</v>
      </c>
      <c r="G7" s="396">
        <f>AVERAGE(D7:F7)</f>
        <v>0.61956177312213356</v>
      </c>
      <c r="H7" s="783">
        <f>G7</f>
        <v>0.61956177312213356</v>
      </c>
      <c r="I7" s="783">
        <f>H7-Assumptions!$L$18</f>
        <v>0.6001416746153484</v>
      </c>
      <c r="J7" s="784">
        <f>I7-Assumptions!$L$18</f>
        <v>0.58072157610856323</v>
      </c>
      <c r="K7" s="396">
        <f>J7-Assumptions!$L$18</f>
        <v>0.56130147760177806</v>
      </c>
      <c r="L7" s="783">
        <f>K7-Assumptions!$L$18</f>
        <v>0.5418813790949929</v>
      </c>
      <c r="M7" s="783">
        <f>L7-Assumptions!$L$18</f>
        <v>0.52246128058820773</v>
      </c>
      <c r="N7" s="783">
        <f>M7-Assumptions!$L$18</f>
        <v>0.50304118208142257</v>
      </c>
      <c r="O7" s="783">
        <f>N7-Assumptions!$L$18</f>
        <v>0.48362108357463734</v>
      </c>
      <c r="P7" s="783">
        <f>O7-Assumptions!$L$18</f>
        <v>0.46420098506785212</v>
      </c>
      <c r="Q7" s="783">
        <f>P7-Assumptions!$L$18</f>
        <v>0.4447808865610669</v>
      </c>
      <c r="R7" s="783">
        <f>Q7-Assumptions!$L$18</f>
        <v>0.42536078805428168</v>
      </c>
      <c r="S7" s="783">
        <f>R7-Assumptions!$L$18</f>
        <v>0.40594068954749646</v>
      </c>
      <c r="T7" s="783">
        <f>S7-Assumptions!$L$18</f>
        <v>0.38652059104071124</v>
      </c>
      <c r="U7" s="783">
        <f>T7-Assumptions!$L$18</f>
        <v>0.36710049253392601</v>
      </c>
      <c r="V7" s="783">
        <f>U7-Assumptions!$L$18</f>
        <v>0.34768039402714079</v>
      </c>
      <c r="W7" s="783">
        <f>V7-Assumptions!$L$18</f>
        <v>0.32826029552035557</v>
      </c>
      <c r="X7" s="783">
        <f>W7-Assumptions!$L$18</f>
        <v>0.30884019701357035</v>
      </c>
      <c r="Y7" s="783">
        <v>0.27</v>
      </c>
      <c r="Z7" s="783">
        <v>0.27</v>
      </c>
      <c r="AA7" s="783">
        <v>0.27</v>
      </c>
      <c r="AB7" s="783">
        <v>0.27</v>
      </c>
      <c r="AC7" s="783">
        <v>0.27</v>
      </c>
      <c r="AD7" s="783">
        <v>0.27</v>
      </c>
      <c r="AE7" s="783">
        <v>0.27</v>
      </c>
      <c r="AF7" s="784">
        <v>0.27</v>
      </c>
      <c r="AG7" s="788"/>
      <c r="AH7" s="11"/>
      <c r="AI7" s="11"/>
      <c r="AJ7" s="11"/>
      <c r="AK7" s="11"/>
      <c r="AL7" s="11"/>
      <c r="AM7" s="11"/>
      <c r="AN7" s="11"/>
    </row>
    <row r="8" spans="1:40" ht="15">
      <c r="A8" s="1059"/>
      <c r="B8" s="316">
        <v>4</v>
      </c>
      <c r="C8" s="295" t="s">
        <v>69</v>
      </c>
      <c r="D8" s="375">
        <f>'Fin. Data'!D11</f>
        <v>1054</v>
      </c>
      <c r="E8" s="372">
        <f>'Fin. Data'!C11</f>
        <v>1151</v>
      </c>
      <c r="F8" s="381">
        <f>'Fin. Data'!B11</f>
        <v>1411.5</v>
      </c>
      <c r="G8" s="387">
        <f>G7*G6</f>
        <v>1837.0006573071259</v>
      </c>
      <c r="H8" s="385">
        <f>H7*H6</f>
        <v>2250.3258052012297</v>
      </c>
      <c r="I8" s="385">
        <f t="shared" ref="I8:AF8" si="4">I7*I6</f>
        <v>2615.7474958947269</v>
      </c>
      <c r="J8" s="388">
        <f>J7*J6</f>
        <v>2994.4620092222654</v>
      </c>
      <c r="K8" s="387">
        <f>K7*K6</f>
        <v>3264.9863690793345</v>
      </c>
      <c r="L8" s="385">
        <f>L7*L6</f>
        <v>3555.6888999524035</v>
      </c>
      <c r="M8" s="385">
        <f t="shared" si="4"/>
        <v>3867.3010467116078</v>
      </c>
      <c r="N8" s="385">
        <f t="shared" si="4"/>
        <v>4200.4106621112796</v>
      </c>
      <c r="O8" s="385">
        <f t="shared" si="4"/>
        <v>4353.5006225406223</v>
      </c>
      <c r="P8" s="385">
        <f t="shared" si="4"/>
        <v>4504.894413238344</v>
      </c>
      <c r="Q8" s="385">
        <f>Q7*Q6</f>
        <v>4653.3942435568306</v>
      </c>
      <c r="R8" s="385">
        <f t="shared" si="4"/>
        <v>4797.6256472978257</v>
      </c>
      <c r="S8" s="385">
        <f t="shared" si="4"/>
        <v>4936.0171977739983</v>
      </c>
      <c r="T8" s="385">
        <f t="shared" si="4"/>
        <v>4949.2811474469909</v>
      </c>
      <c r="U8" s="385">
        <f t="shared" si="4"/>
        <v>4950.0532177334426</v>
      </c>
      <c r="V8" s="385">
        <f t="shared" si="4"/>
        <v>4936.9702807340245</v>
      </c>
      <c r="W8" s="385">
        <f t="shared" si="4"/>
        <v>4908.5597148078759</v>
      </c>
      <c r="X8" s="385">
        <f t="shared" si="4"/>
        <v>4863.2316223839516</v>
      </c>
      <c r="Y8" s="385">
        <f t="shared" si="4"/>
        <v>4357.9150787668359</v>
      </c>
      <c r="Z8" s="385">
        <f t="shared" si="4"/>
        <v>4466.8629557360064</v>
      </c>
      <c r="AA8" s="385">
        <f t="shared" si="4"/>
        <v>4578.5345296294054</v>
      </c>
      <c r="AB8" s="385">
        <f t="shared" si="4"/>
        <v>4692.9978928701412</v>
      </c>
      <c r="AC8" s="385">
        <f t="shared" si="4"/>
        <v>4810.3228401918941</v>
      </c>
      <c r="AD8" s="385">
        <f t="shared" si="4"/>
        <v>4930.580911196691</v>
      </c>
      <c r="AE8" s="385">
        <f t="shared" si="4"/>
        <v>5053.8454339766076</v>
      </c>
      <c r="AF8" s="388">
        <f t="shared" si="4"/>
        <v>5180.1915698260227</v>
      </c>
      <c r="AG8" s="790"/>
      <c r="AH8" s="7"/>
      <c r="AI8" s="7"/>
      <c r="AJ8" s="7"/>
      <c r="AK8" s="11"/>
      <c r="AL8" s="11"/>
      <c r="AM8" s="11"/>
      <c r="AN8" s="11"/>
    </row>
    <row r="9" spans="1:40" ht="15">
      <c r="A9" s="1059"/>
      <c r="B9" s="316" t="s">
        <v>442</v>
      </c>
      <c r="C9" s="312" t="s">
        <v>443</v>
      </c>
      <c r="D9" s="573">
        <f>Inputs!AH26</f>
        <v>-648</v>
      </c>
      <c r="E9" s="574">
        <f>Inputs!AI26</f>
        <v>-540</v>
      </c>
      <c r="F9" s="575">
        <f>Inputs!AJ26</f>
        <v>-555</v>
      </c>
      <c r="G9" s="576">
        <f>-$D$53*F40</f>
        <v>-1100.7844616586369</v>
      </c>
      <c r="H9" s="785">
        <f>-$D$53*G40</f>
        <v>-1365.8131950214774</v>
      </c>
      <c r="I9" s="785">
        <f>-$D$53*H40</f>
        <v>-1690.473393390957</v>
      </c>
      <c r="J9" s="786">
        <f>-$D$53*I40</f>
        <v>-2080.0656314343328</v>
      </c>
      <c r="K9" s="577">
        <f t="shared" ref="K9:AF9" si="5">-$E$53*J40</f>
        <v>-2540.9787919103014</v>
      </c>
      <c r="L9" s="578">
        <f t="shared" si="5"/>
        <v>-2898.8715098408593</v>
      </c>
      <c r="M9" s="578">
        <f t="shared" si="5"/>
        <v>-3302.5979602187194</v>
      </c>
      <c r="N9" s="578">
        <f t="shared" si="5"/>
        <v>-3758.0278657982249</v>
      </c>
      <c r="O9" s="578">
        <f t="shared" si="5"/>
        <v>-4271.7826586834317</v>
      </c>
      <c r="P9" s="578">
        <f t="shared" si="5"/>
        <v>-4825.6440087649989</v>
      </c>
      <c r="Q9" s="578">
        <f t="shared" si="5"/>
        <v>-5422.7428570140301</v>
      </c>
      <c r="R9" s="578">
        <f t="shared" si="5"/>
        <v>-6066.4545630715356</v>
      </c>
      <c r="S9" s="578">
        <f t="shared" si="5"/>
        <v>-6760.4179859295318</v>
      </c>
      <c r="T9" s="578">
        <f t="shared" si="5"/>
        <v>-7508.5560541562472</v>
      </c>
      <c r="U9" s="578">
        <f t="shared" si="5"/>
        <v>-8296.3944902418825</v>
      </c>
      <c r="V9" s="578">
        <f t="shared" si="5"/>
        <v>-9126.0400165617175</v>
      </c>
      <c r="W9" s="578">
        <f t="shared" si="5"/>
        <v>-9999.7111499001512</v>
      </c>
      <c r="X9" s="578">
        <f t="shared" si="5"/>
        <v>-10919.744133883971</v>
      </c>
      <c r="Y9" s="578">
        <f t="shared" si="5"/>
        <v>-11888.599186223531</v>
      </c>
      <c r="Z9" s="578">
        <f t="shared" si="5"/>
        <v>-12881.675614871581</v>
      </c>
      <c r="AA9" s="578">
        <f t="shared" si="5"/>
        <v>-13899.578954235831</v>
      </c>
      <c r="AB9" s="578">
        <f t="shared" si="5"/>
        <v>-14942.929877084189</v>
      </c>
      <c r="AC9" s="578">
        <f t="shared" si="5"/>
        <v>-16012.364573003753</v>
      </c>
      <c r="AD9" s="578">
        <f t="shared" si="5"/>
        <v>-17108.535136321305</v>
      </c>
      <c r="AE9" s="578">
        <f t="shared" si="5"/>
        <v>-18232.109963721799</v>
      </c>
      <c r="AF9" s="579">
        <f t="shared" si="5"/>
        <v>-19383.774161807305</v>
      </c>
      <c r="AG9" s="790"/>
      <c r="AH9" s="7"/>
      <c r="AI9" s="7"/>
      <c r="AJ9" s="7"/>
      <c r="AK9" s="11"/>
      <c r="AL9" s="11"/>
      <c r="AM9" s="11"/>
      <c r="AN9" s="11"/>
    </row>
    <row r="10" spans="1:40" ht="15">
      <c r="A10" s="1059"/>
      <c r="B10" s="316" t="s">
        <v>444</v>
      </c>
      <c r="C10" s="312" t="s">
        <v>445</v>
      </c>
      <c r="D10" s="573">
        <v>-23.9</v>
      </c>
      <c r="E10" s="574">
        <v>-18.399999999999999</v>
      </c>
      <c r="F10" s="575">
        <v>-16.8</v>
      </c>
      <c r="G10" s="576">
        <f t="shared" ref="G10:AF10" si="6">-F38*$D$54</f>
        <v>-30.135255335791705</v>
      </c>
      <c r="H10" s="580">
        <f t="shared" si="6"/>
        <v>-32.518808128845151</v>
      </c>
      <c r="I10" s="580">
        <f t="shared" si="6"/>
        <v>-35.090888407528531</v>
      </c>
      <c r="J10" s="581">
        <f t="shared" si="6"/>
        <v>-37.866407783173273</v>
      </c>
      <c r="K10" s="577">
        <f t="shared" si="6"/>
        <v>-40.861457303370479</v>
      </c>
      <c r="L10" s="578">
        <f t="shared" si="6"/>
        <v>-44.093400739668695</v>
      </c>
      <c r="M10" s="578">
        <f t="shared" si="6"/>
        <v>-47.580975253876836</v>
      </c>
      <c r="N10" s="578">
        <f t="shared" si="6"/>
        <v>-51.344400026584367</v>
      </c>
      <c r="O10" s="578">
        <f t="shared" si="6"/>
        <v>-55.405493477671371</v>
      </c>
      <c r="P10" s="578">
        <f t="shared" si="6"/>
        <v>-59.787799758393604</v>
      </c>
      <c r="Q10" s="578">
        <f t="shared" si="6"/>
        <v>-64.516725248378847</v>
      </c>
      <c r="R10" s="578">
        <f t="shared" si="6"/>
        <v>-69.619685848874951</v>
      </c>
      <c r="S10" s="578">
        <f t="shared" si="6"/>
        <v>-75.126265926180594</v>
      </c>
      <c r="T10" s="578">
        <f t="shared" si="6"/>
        <v>-81.068389826731888</v>
      </c>
      <c r="U10" s="578">
        <f t="shared" si="6"/>
        <v>-87.480506958201858</v>
      </c>
      <c r="V10" s="578">
        <f t="shared" si="6"/>
        <v>-94.399791509618964</v>
      </c>
      <c r="W10" s="578">
        <f t="shared" si="6"/>
        <v>-101.86635796837979</v>
      </c>
      <c r="X10" s="578">
        <f t="shared" si="6"/>
        <v>-109.92349368361413</v>
      </c>
      <c r="Y10" s="578">
        <f t="shared" si="6"/>
        <v>-118.61790982418631</v>
      </c>
      <c r="Z10" s="578">
        <f t="shared" si="6"/>
        <v>-128.0000121862592</v>
      </c>
      <c r="AA10" s="578">
        <f t="shared" si="6"/>
        <v>-138.12419342042554</v>
      </c>
      <c r="AB10" s="578">
        <f t="shared" si="6"/>
        <v>-149.04914837259039</v>
      </c>
      <c r="AC10" s="578">
        <f t="shared" si="6"/>
        <v>-160.83821436679071</v>
      </c>
      <c r="AD10" s="578">
        <f t="shared" si="6"/>
        <v>-173.55973840273833</v>
      </c>
      <c r="AE10" s="578">
        <f t="shared" si="6"/>
        <v>-187.28747339691085</v>
      </c>
      <c r="AF10" s="579">
        <f t="shared" si="6"/>
        <v>-202.10100576439433</v>
      </c>
      <c r="AG10" s="790"/>
      <c r="AH10" s="7"/>
      <c r="AI10" s="7"/>
      <c r="AJ10" s="7"/>
      <c r="AK10" s="11"/>
      <c r="AL10" s="11"/>
      <c r="AM10" s="11"/>
      <c r="AN10" s="11"/>
    </row>
    <row r="11" spans="1:40" ht="15">
      <c r="A11" s="1059"/>
      <c r="B11" s="316" t="s">
        <v>446</v>
      </c>
      <c r="C11" s="312" t="s">
        <v>447</v>
      </c>
      <c r="D11" s="573">
        <f>D20</f>
        <v>0</v>
      </c>
      <c r="E11" s="574">
        <f>E20</f>
        <v>0</v>
      </c>
      <c r="F11" s="575">
        <f>F20</f>
        <v>0</v>
      </c>
      <c r="G11" s="576">
        <f>G6*$D$55</f>
        <v>0</v>
      </c>
      <c r="H11" s="580">
        <f t="shared" ref="H11:AE11" si="7">H6*$D$55</f>
        <v>0</v>
      </c>
      <c r="I11" s="580">
        <f t="shared" si="7"/>
        <v>0</v>
      </c>
      <c r="J11" s="581">
        <f t="shared" si="7"/>
        <v>0</v>
      </c>
      <c r="K11" s="576">
        <f t="shared" si="7"/>
        <v>0</v>
      </c>
      <c r="L11" s="580">
        <f t="shared" si="7"/>
        <v>0</v>
      </c>
      <c r="M11" s="580">
        <f t="shared" si="7"/>
        <v>0</v>
      </c>
      <c r="N11" s="580">
        <f t="shared" si="7"/>
        <v>0</v>
      </c>
      <c r="O11" s="580">
        <f t="shared" si="7"/>
        <v>0</v>
      </c>
      <c r="P11" s="580">
        <f t="shared" si="7"/>
        <v>0</v>
      </c>
      <c r="Q11" s="580">
        <f t="shared" si="7"/>
        <v>0</v>
      </c>
      <c r="R11" s="580">
        <f t="shared" si="7"/>
        <v>0</v>
      </c>
      <c r="S11" s="580">
        <f t="shared" si="7"/>
        <v>0</v>
      </c>
      <c r="T11" s="580">
        <f t="shared" si="7"/>
        <v>0</v>
      </c>
      <c r="U11" s="580">
        <f t="shared" si="7"/>
        <v>0</v>
      </c>
      <c r="V11" s="580">
        <f t="shared" si="7"/>
        <v>0</v>
      </c>
      <c r="W11" s="580">
        <f t="shared" si="7"/>
        <v>0</v>
      </c>
      <c r="X11" s="580">
        <f t="shared" si="7"/>
        <v>0</v>
      </c>
      <c r="Y11" s="580">
        <f t="shared" si="7"/>
        <v>0</v>
      </c>
      <c r="Z11" s="580">
        <f t="shared" si="7"/>
        <v>0</v>
      </c>
      <c r="AA11" s="580">
        <f t="shared" si="7"/>
        <v>0</v>
      </c>
      <c r="AB11" s="580">
        <f t="shared" si="7"/>
        <v>0</v>
      </c>
      <c r="AC11" s="580">
        <f t="shared" si="7"/>
        <v>0</v>
      </c>
      <c r="AD11" s="580">
        <f t="shared" si="7"/>
        <v>0</v>
      </c>
      <c r="AE11" s="580">
        <f t="shared" si="7"/>
        <v>0</v>
      </c>
      <c r="AF11" s="581"/>
      <c r="AG11" s="790"/>
      <c r="AH11" s="7"/>
      <c r="AI11" s="7"/>
      <c r="AJ11" s="7"/>
      <c r="AK11" s="11"/>
      <c r="AL11" s="11"/>
      <c r="AM11" s="11"/>
      <c r="AN11" s="11"/>
    </row>
    <row r="12" spans="1:40" ht="15">
      <c r="A12" s="1059"/>
      <c r="B12" s="316">
        <v>6</v>
      </c>
      <c r="C12" s="295" t="s">
        <v>448</v>
      </c>
      <c r="D12" s="375">
        <f t="shared" ref="D12:AF12" si="8">D8-D9-D10</f>
        <v>1725.9</v>
      </c>
      <c r="E12" s="341">
        <f t="shared" si="8"/>
        <v>1709.4</v>
      </c>
      <c r="F12" s="382">
        <f t="shared" si="8"/>
        <v>1983.3</v>
      </c>
      <c r="G12" s="397">
        <f>G8-G9-G10</f>
        <v>2967.9203743015546</v>
      </c>
      <c r="H12" s="398">
        <f t="shared" si="8"/>
        <v>3648.6578083515524</v>
      </c>
      <c r="I12" s="398">
        <f>I8-I9-I10</f>
        <v>4341.3117776932122</v>
      </c>
      <c r="J12" s="399">
        <f>J8-J9-J10</f>
        <v>5112.3940484397717</v>
      </c>
      <c r="K12" s="397">
        <f t="shared" si="8"/>
        <v>5846.8266182930056</v>
      </c>
      <c r="L12" s="398">
        <f t="shared" si="8"/>
        <v>6498.6538105329319</v>
      </c>
      <c r="M12" s="398">
        <f t="shared" si="8"/>
        <v>7217.4799821842043</v>
      </c>
      <c r="N12" s="398">
        <f t="shared" si="8"/>
        <v>8009.7829279360885</v>
      </c>
      <c r="O12" s="398">
        <f t="shared" si="8"/>
        <v>8680.6887747017245</v>
      </c>
      <c r="P12" s="398">
        <f t="shared" si="8"/>
        <v>9390.3262217617357</v>
      </c>
      <c r="Q12" s="398">
        <f t="shared" si="8"/>
        <v>10140.65382581924</v>
      </c>
      <c r="R12" s="398">
        <f t="shared" si="8"/>
        <v>10933.699896218235</v>
      </c>
      <c r="S12" s="398">
        <f t="shared" si="8"/>
        <v>11771.561449629711</v>
      </c>
      <c r="T12" s="398">
        <f t="shared" si="8"/>
        <v>12538.90559142997</v>
      </c>
      <c r="U12" s="398">
        <f t="shared" si="8"/>
        <v>13333.928214933527</v>
      </c>
      <c r="V12" s="398">
        <f t="shared" si="8"/>
        <v>14157.410088805362</v>
      </c>
      <c r="W12" s="398">
        <f t="shared" si="8"/>
        <v>15010.137222676407</v>
      </c>
      <c r="X12" s="398">
        <f t="shared" si="8"/>
        <v>15892.899249951537</v>
      </c>
      <c r="Y12" s="398">
        <f t="shared" si="8"/>
        <v>16365.132174814555</v>
      </c>
      <c r="Z12" s="398">
        <f t="shared" si="8"/>
        <v>17476.538582793844</v>
      </c>
      <c r="AA12" s="398">
        <f t="shared" si="8"/>
        <v>18616.237677285662</v>
      </c>
      <c r="AB12" s="398">
        <f t="shared" si="8"/>
        <v>19784.97691832692</v>
      </c>
      <c r="AC12" s="398">
        <f t="shared" si="8"/>
        <v>20983.525627562438</v>
      </c>
      <c r="AD12" s="398">
        <f t="shared" si="8"/>
        <v>22212.675785920736</v>
      </c>
      <c r="AE12" s="398">
        <f t="shared" si="8"/>
        <v>23473.242871095317</v>
      </c>
      <c r="AF12" s="399">
        <f t="shared" si="8"/>
        <v>24766.066737397723</v>
      </c>
      <c r="AG12" s="790"/>
      <c r="AH12" s="7"/>
      <c r="AI12" s="7"/>
      <c r="AJ12" s="7"/>
      <c r="AK12" s="11"/>
      <c r="AL12" s="11"/>
      <c r="AM12" s="11"/>
      <c r="AN12" s="11"/>
    </row>
    <row r="13" spans="1:40" ht="15">
      <c r="A13" s="1059"/>
      <c r="B13" s="316">
        <v>7</v>
      </c>
      <c r="C13" s="312" t="s">
        <v>449</v>
      </c>
      <c r="D13" s="570">
        <f>'Fin. Data'!D14</f>
        <v>-124</v>
      </c>
      <c r="E13" s="571">
        <f>'Fin. Data'!C14</f>
        <v>-131</v>
      </c>
      <c r="F13" s="572">
        <f>'Fin. Data'!B14</f>
        <v>-180.1</v>
      </c>
      <c r="G13" s="577">
        <f>F43*$D$58-F44*$D$57</f>
        <v>-289.81120000000004</v>
      </c>
      <c r="H13" s="578">
        <f>G43*$D$58-G44*$D$57</f>
        <v>-348.29990701301836</v>
      </c>
      <c r="I13" s="578">
        <f t="shared" ref="I13" si="9">H43*$D$58-H44*$D$57</f>
        <v>-385.56466469975476</v>
      </c>
      <c r="J13" s="579">
        <f>I43*$D$58-I44*$D$57</f>
        <v>-436.91773652476354</v>
      </c>
      <c r="K13" s="577">
        <f>J43*$E$58-J44*$E$57</f>
        <v>-297.94588295097543</v>
      </c>
      <c r="L13" s="578">
        <f t="shared" ref="L13:AF13" si="10">K43*$E$58-K44*$E$57</f>
        <v>-262.06004294139541</v>
      </c>
      <c r="M13" s="578">
        <f>L43*$E$58-L44*$E$57</f>
        <v>-228.30163308256994</v>
      </c>
      <c r="N13" s="578">
        <f t="shared" si="10"/>
        <v>-195.91239726971668</v>
      </c>
      <c r="O13" s="578">
        <f t="shared" si="10"/>
        <v>-167.79336644898848</v>
      </c>
      <c r="P13" s="578">
        <f t="shared" si="10"/>
        <v>-136.20920071269666</v>
      </c>
      <c r="Q13" s="578">
        <f t="shared" si="10"/>
        <v>-100.14887179775303</v>
      </c>
      <c r="R13" s="578">
        <f t="shared" si="10"/>
        <v>-60.679445526822178</v>
      </c>
      <c r="S13" s="578">
        <f t="shared" si="10"/>
        <v>-18.742483832831454</v>
      </c>
      <c r="T13" s="578">
        <f t="shared" si="10"/>
        <v>26.19316404440292</v>
      </c>
      <c r="U13" s="578">
        <f t="shared" si="10"/>
        <v>81.006517295761796</v>
      </c>
      <c r="V13" s="578">
        <f t="shared" si="10"/>
        <v>146.06172626544594</v>
      </c>
      <c r="W13" s="578">
        <f t="shared" si="10"/>
        <v>221.44907787198144</v>
      </c>
      <c r="X13" s="578">
        <f t="shared" si="10"/>
        <v>306.85437287889613</v>
      </c>
      <c r="Y13" s="578">
        <f t="shared" si="10"/>
        <v>403.04802440824915</v>
      </c>
      <c r="Z13" s="578">
        <f t="shared" si="10"/>
        <v>517.04871253075112</v>
      </c>
      <c r="AA13" s="578">
        <f t="shared" si="10"/>
        <v>659.94162820985548</v>
      </c>
      <c r="AB13" s="578">
        <f t="shared" si="10"/>
        <v>832.48607239939429</v>
      </c>
      <c r="AC13" s="578">
        <f t="shared" si="10"/>
        <v>1035.1440494520405</v>
      </c>
      <c r="AD13" s="578">
        <f t="shared" si="10"/>
        <v>1269.7295613704116</v>
      </c>
      <c r="AE13" s="578">
        <f t="shared" si="10"/>
        <v>1537.327424940944</v>
      </c>
      <c r="AF13" s="579">
        <f t="shared" si="10"/>
        <v>1839.1352035678874</v>
      </c>
      <c r="AG13" s="790"/>
      <c r="AH13" s="7"/>
      <c r="AI13" s="7"/>
      <c r="AJ13" s="7"/>
      <c r="AK13" s="11"/>
      <c r="AL13" s="11"/>
      <c r="AM13" s="11"/>
      <c r="AN13" s="11"/>
    </row>
    <row r="14" spans="1:40" ht="15">
      <c r="A14" s="1059"/>
      <c r="B14" s="316">
        <v>8</v>
      </c>
      <c r="C14" s="312" t="s">
        <v>450</v>
      </c>
      <c r="D14" s="376">
        <f>'Fin. Data'!D15</f>
        <v>-291</v>
      </c>
      <c r="E14" s="373">
        <f>'Fin. Data'!C15</f>
        <v>-275</v>
      </c>
      <c r="F14" s="383">
        <f>'Fin. Data'!B15</f>
        <v>-473</v>
      </c>
      <c r="G14" s="387">
        <f>AVERAGE(D14:F14)*(1+G5)</f>
        <v>-432.91666666666663</v>
      </c>
      <c r="H14" s="385">
        <f>AVERAGE(E14:G14)*(1+H5)</f>
        <v>-482.20763888888888</v>
      </c>
      <c r="I14" s="385">
        <f t="shared" ref="I14:AF14" si="11">AVERAGE(F14:H14)*(1+I5)</f>
        <v>-555.2497222222222</v>
      </c>
      <c r="J14" s="388">
        <f t="shared" si="11"/>
        <v>-579.84962570821835</v>
      </c>
      <c r="K14" s="387">
        <f t="shared" si="11"/>
        <v>-608.14277225814942</v>
      </c>
      <c r="L14" s="385">
        <f t="shared" si="11"/>
        <v>-655.49713463711896</v>
      </c>
      <c r="M14" s="385">
        <f t="shared" si="11"/>
        <v>-693.19235254846762</v>
      </c>
      <c r="N14" s="385">
        <f t="shared" si="11"/>
        <v>-735.81169487350473</v>
      </c>
      <c r="O14" s="385">
        <f t="shared" si="11"/>
        <v>-749.07631353221416</v>
      </c>
      <c r="P14" s="385">
        <f t="shared" si="11"/>
        <v>-782.70447692853611</v>
      </c>
      <c r="Q14" s="385">
        <f t="shared" si="11"/>
        <v>-814.87112318623917</v>
      </c>
      <c r="R14" s="385">
        <f t="shared" si="11"/>
        <v>-843.28153888673216</v>
      </c>
      <c r="S14" s="385">
        <f t="shared" si="11"/>
        <v>-877.13467532598656</v>
      </c>
      <c r="T14" s="385">
        <f t="shared" si="11"/>
        <v>-889.94126251698606</v>
      </c>
      <c r="U14" s="385">
        <f t="shared" si="11"/>
        <v>-916.29252203215867</v>
      </c>
      <c r="V14" s="385">
        <f t="shared" si="11"/>
        <v>-941.92097272473688</v>
      </c>
      <c r="W14" s="385">
        <f t="shared" si="11"/>
        <v>-964.66237897496353</v>
      </c>
      <c r="X14" s="385">
        <f t="shared" si="11"/>
        <v>-990.89112383412157</v>
      </c>
      <c r="Y14" s="385">
        <f t="shared" si="11"/>
        <v>-989.97044580738907</v>
      </c>
      <c r="Z14" s="385">
        <f t="shared" si="11"/>
        <v>-1006.3873491106285</v>
      </c>
      <c r="AA14" s="385">
        <f t="shared" si="11"/>
        <v>-1020.6433805736474</v>
      </c>
      <c r="AB14" s="385">
        <f t="shared" si="11"/>
        <v>-1030.8087349596522</v>
      </c>
      <c r="AC14" s="385">
        <f t="shared" si="11"/>
        <v>-1044.7618170866754</v>
      </c>
      <c r="AD14" s="385">
        <f t="shared" si="11"/>
        <v>-1057.8730936451582</v>
      </c>
      <c r="AE14" s="385">
        <f t="shared" si="11"/>
        <v>-1070.5932456112573</v>
      </c>
      <c r="AF14" s="388">
        <f t="shared" si="11"/>
        <v>-1084.1862867505561</v>
      </c>
      <c r="AG14" s="790"/>
      <c r="AH14" s="7"/>
      <c r="AI14" s="7"/>
      <c r="AJ14" s="7"/>
      <c r="AK14" s="11"/>
      <c r="AL14" s="11"/>
      <c r="AM14" s="11"/>
      <c r="AN14" s="11"/>
    </row>
    <row r="15" spans="1:40" ht="15">
      <c r="A15" s="1059"/>
      <c r="B15" s="316">
        <v>9</v>
      </c>
      <c r="C15" s="295" t="s">
        <v>451</v>
      </c>
      <c r="D15" s="340">
        <f t="shared" ref="D15:AF15" si="12">D8+D13+D14</f>
        <v>639</v>
      </c>
      <c r="E15" s="341">
        <f t="shared" si="12"/>
        <v>745</v>
      </c>
      <c r="F15" s="382">
        <f t="shared" si="12"/>
        <v>758.40000000000009</v>
      </c>
      <c r="G15" s="397">
        <f>G8+G13+G14</f>
        <v>1114.2727906404593</v>
      </c>
      <c r="H15" s="398">
        <f t="shared" si="12"/>
        <v>1419.8182592993226</v>
      </c>
      <c r="I15" s="398">
        <f t="shared" si="12"/>
        <v>1674.9331089727498</v>
      </c>
      <c r="J15" s="399">
        <f>J8+J13+J14</f>
        <v>1977.6946469892832</v>
      </c>
      <c r="K15" s="397">
        <f t="shared" si="12"/>
        <v>2358.8977138702098</v>
      </c>
      <c r="L15" s="398">
        <f t="shared" si="12"/>
        <v>2638.1317223738893</v>
      </c>
      <c r="M15" s="398">
        <f>M8+M13+M14</f>
        <v>2945.8070610805703</v>
      </c>
      <c r="N15" s="398">
        <f t="shared" si="12"/>
        <v>3268.6865699680584</v>
      </c>
      <c r="O15" s="398">
        <f t="shared" si="12"/>
        <v>3436.63094255942</v>
      </c>
      <c r="P15" s="398">
        <f t="shared" si="12"/>
        <v>3585.9807355971111</v>
      </c>
      <c r="Q15" s="398">
        <f t="shared" si="12"/>
        <v>3738.374248572839</v>
      </c>
      <c r="R15" s="398">
        <f t="shared" si="12"/>
        <v>3893.6646628842718</v>
      </c>
      <c r="S15" s="398">
        <f t="shared" si="12"/>
        <v>4040.1400386151799</v>
      </c>
      <c r="T15" s="398">
        <f t="shared" si="12"/>
        <v>4085.5330489744074</v>
      </c>
      <c r="U15" s="398">
        <f t="shared" si="12"/>
        <v>4114.767212997046</v>
      </c>
      <c r="V15" s="398">
        <f t="shared" si="12"/>
        <v>4141.1110342747334</v>
      </c>
      <c r="W15" s="398">
        <f t="shared" si="12"/>
        <v>4165.3464137048932</v>
      </c>
      <c r="X15" s="398">
        <f t="shared" si="12"/>
        <v>4179.1948714287264</v>
      </c>
      <c r="Y15" s="398">
        <f t="shared" si="12"/>
        <v>3770.9926573676958</v>
      </c>
      <c r="Z15" s="398">
        <f t="shared" si="12"/>
        <v>3977.5243191561285</v>
      </c>
      <c r="AA15" s="398">
        <f t="shared" si="12"/>
        <v>4217.8327772656139</v>
      </c>
      <c r="AB15" s="398">
        <f t="shared" si="12"/>
        <v>4494.6752303098838</v>
      </c>
      <c r="AC15" s="398">
        <f t="shared" si="12"/>
        <v>4800.705072557259</v>
      </c>
      <c r="AD15" s="398">
        <f t="shared" si="12"/>
        <v>5142.4373789219444</v>
      </c>
      <c r="AE15" s="398">
        <f t="shared" si="12"/>
        <v>5520.579613306294</v>
      </c>
      <c r="AF15" s="399">
        <f t="shared" si="12"/>
        <v>5935.1404866433541</v>
      </c>
      <c r="AG15" s="790"/>
      <c r="AH15" s="7"/>
      <c r="AI15" s="7"/>
      <c r="AJ15" s="7"/>
      <c r="AK15" s="11"/>
      <c r="AL15" s="11"/>
      <c r="AM15" s="11"/>
      <c r="AN15" s="11"/>
    </row>
    <row r="16" spans="1:40" ht="15">
      <c r="A16" s="1059"/>
      <c r="B16" s="316">
        <v>10</v>
      </c>
      <c r="C16" s="312" t="s">
        <v>452</v>
      </c>
      <c r="D16" s="567">
        <f>'Fin. Data'!D21</f>
        <v>-83</v>
      </c>
      <c r="E16" s="568">
        <f>'Fin. Data'!C21</f>
        <v>-90</v>
      </c>
      <c r="F16" s="569">
        <f>'Fin. Data'!B21</f>
        <v>-142.19999999999999</v>
      </c>
      <c r="G16" s="646">
        <f>-(1*$D$56)*G15</f>
        <v>-211.71183022168728</v>
      </c>
      <c r="H16" s="508">
        <f t="shared" ref="H16:J16" si="13">-(1*$D$56)*H15</f>
        <v>-269.76546926687126</v>
      </c>
      <c r="I16" s="508">
        <f t="shared" si="13"/>
        <v>-318.23729070482244</v>
      </c>
      <c r="J16" s="509">
        <f t="shared" si="13"/>
        <v>-375.7619829279638</v>
      </c>
      <c r="K16" s="507">
        <f>-(1*$E$56)*K15</f>
        <v>-495.36851991274403</v>
      </c>
      <c r="L16" s="508">
        <f t="shared" ref="L16:AF16" si="14">-(1*$E$56)*L15</f>
        <v>-554.0076616985167</v>
      </c>
      <c r="M16" s="508">
        <f t="shared" si="14"/>
        <v>-618.61948282691969</v>
      </c>
      <c r="N16" s="508">
        <f t="shared" si="14"/>
        <v>-686.42417969329222</v>
      </c>
      <c r="O16" s="508">
        <f t="shared" si="14"/>
        <v>-721.69249793747815</v>
      </c>
      <c r="P16" s="508">
        <f t="shared" si="14"/>
        <v>-753.05595447539326</v>
      </c>
      <c r="Q16" s="508">
        <f t="shared" si="14"/>
        <v>-785.05859220029618</v>
      </c>
      <c r="R16" s="508">
        <f t="shared" si="14"/>
        <v>-817.669579205697</v>
      </c>
      <c r="S16" s="508">
        <f t="shared" si="14"/>
        <v>-848.42940810918776</v>
      </c>
      <c r="T16" s="508">
        <f t="shared" si="14"/>
        <v>-857.96194028462548</v>
      </c>
      <c r="U16" s="508">
        <f t="shared" si="14"/>
        <v>-864.10111472937967</v>
      </c>
      <c r="V16" s="508">
        <f t="shared" si="14"/>
        <v>-869.63331719769394</v>
      </c>
      <c r="W16" s="508">
        <f t="shared" si="14"/>
        <v>-874.72274687802758</v>
      </c>
      <c r="X16" s="508">
        <f t="shared" si="14"/>
        <v>-877.63092300003257</v>
      </c>
      <c r="Y16" s="508">
        <f t="shared" si="14"/>
        <v>-791.90845804721607</v>
      </c>
      <c r="Z16" s="508">
        <f t="shared" si="14"/>
        <v>-835.28010702278698</v>
      </c>
      <c r="AA16" s="508">
        <f t="shared" si="14"/>
        <v>-885.74488322577884</v>
      </c>
      <c r="AB16" s="508">
        <f t="shared" si="14"/>
        <v>-943.88179836507561</v>
      </c>
      <c r="AC16" s="508">
        <f t="shared" si="14"/>
        <v>-1008.1480652370243</v>
      </c>
      <c r="AD16" s="508">
        <f t="shared" si="14"/>
        <v>-1079.9118495736084</v>
      </c>
      <c r="AE16" s="508">
        <f t="shared" si="14"/>
        <v>-1159.3217187943217</v>
      </c>
      <c r="AF16" s="509">
        <f t="shared" si="14"/>
        <v>-1246.3795021951044</v>
      </c>
      <c r="AG16" s="790"/>
      <c r="AH16" s="7"/>
      <c r="AI16" s="7"/>
      <c r="AJ16" s="7"/>
      <c r="AK16" s="11"/>
      <c r="AL16" s="11"/>
      <c r="AM16" s="11"/>
      <c r="AN16" s="11"/>
    </row>
    <row r="17" spans="1:40" ht="15.75" thickBot="1">
      <c r="A17" s="1059"/>
      <c r="B17" s="317">
        <v>11</v>
      </c>
      <c r="C17" s="322" t="s">
        <v>453</v>
      </c>
      <c r="D17" s="377">
        <f>'Fin. Data'!D23</f>
        <v>555.70000000000005</v>
      </c>
      <c r="E17" s="781">
        <f>'Fin. Data'!C23</f>
        <v>655.4</v>
      </c>
      <c r="F17" s="384">
        <f>'Fin. Data'!B23</f>
        <v>616.20000000000005</v>
      </c>
      <c r="G17" s="391">
        <f>G16+G15</f>
        <v>902.56096041877208</v>
      </c>
      <c r="H17" s="392">
        <f t="shared" ref="H17:AF17" si="15">H16+H15</f>
        <v>1150.0527900324514</v>
      </c>
      <c r="I17" s="392">
        <f t="shared" si="15"/>
        <v>1356.6958182679273</v>
      </c>
      <c r="J17" s="393">
        <f>J16+J15</f>
        <v>1601.9326640613194</v>
      </c>
      <c r="K17" s="391">
        <f t="shared" si="15"/>
        <v>1863.5291939574658</v>
      </c>
      <c r="L17" s="392">
        <f t="shared" si="15"/>
        <v>2084.1240606753727</v>
      </c>
      <c r="M17" s="392">
        <f t="shared" si="15"/>
        <v>2327.1875782536508</v>
      </c>
      <c r="N17" s="392">
        <f t="shared" si="15"/>
        <v>2582.2623902747664</v>
      </c>
      <c r="O17" s="392">
        <f t="shared" si="15"/>
        <v>2714.9384446219419</v>
      </c>
      <c r="P17" s="392">
        <f t="shared" si="15"/>
        <v>2832.9247811217178</v>
      </c>
      <c r="Q17" s="392">
        <f t="shared" si="15"/>
        <v>2953.3156563725429</v>
      </c>
      <c r="R17" s="392">
        <f t="shared" si="15"/>
        <v>3075.9950836785747</v>
      </c>
      <c r="S17" s="392">
        <f t="shared" si="15"/>
        <v>3191.7106305059924</v>
      </c>
      <c r="T17" s="392">
        <f t="shared" si="15"/>
        <v>3227.5711086897818</v>
      </c>
      <c r="U17" s="392">
        <f t="shared" si="15"/>
        <v>3250.6660982676663</v>
      </c>
      <c r="V17" s="392">
        <f t="shared" si="15"/>
        <v>3271.4777170770394</v>
      </c>
      <c r="W17" s="392">
        <f t="shared" si="15"/>
        <v>3290.6236668268657</v>
      </c>
      <c r="X17" s="392">
        <f t="shared" si="15"/>
        <v>3301.5639484286939</v>
      </c>
      <c r="Y17" s="392">
        <f t="shared" si="15"/>
        <v>2979.0841993204795</v>
      </c>
      <c r="Z17" s="392">
        <f t="shared" si="15"/>
        <v>3142.2442121333415</v>
      </c>
      <c r="AA17" s="392">
        <f t="shared" si="15"/>
        <v>3332.0878940398352</v>
      </c>
      <c r="AB17" s="392">
        <f t="shared" si="15"/>
        <v>3550.7934319448082</v>
      </c>
      <c r="AC17" s="392">
        <f t="shared" si="15"/>
        <v>3792.5570073202348</v>
      </c>
      <c r="AD17" s="392">
        <f t="shared" si="15"/>
        <v>4062.525529348336</v>
      </c>
      <c r="AE17" s="392">
        <f t="shared" si="15"/>
        <v>4361.2578945119722</v>
      </c>
      <c r="AF17" s="393">
        <f t="shared" si="15"/>
        <v>4688.7609844482495</v>
      </c>
      <c r="AG17" s="790"/>
      <c r="AH17" s="7"/>
      <c r="AI17" s="7"/>
      <c r="AJ17" s="7"/>
      <c r="AK17" s="11"/>
      <c r="AL17" s="11"/>
      <c r="AM17" s="11"/>
      <c r="AN17" s="11"/>
    </row>
    <row r="18" spans="1:40" ht="15.75" thickBot="1">
      <c r="A18" s="299"/>
      <c r="B18" s="756"/>
      <c r="C18" s="318" t="s">
        <v>454</v>
      </c>
      <c r="D18" s="320" t="s">
        <v>454</v>
      </c>
      <c r="E18" s="320" t="s">
        <v>454</v>
      </c>
      <c r="F18" s="320" t="s">
        <v>454</v>
      </c>
      <c r="G18" s="318" t="s">
        <v>454</v>
      </c>
      <c r="H18" s="318" t="s">
        <v>454</v>
      </c>
      <c r="I18" s="318" t="s">
        <v>454</v>
      </c>
      <c r="J18" s="318" t="s">
        <v>454</v>
      </c>
      <c r="K18" s="318" t="s">
        <v>454</v>
      </c>
      <c r="L18" s="318" t="s">
        <v>454</v>
      </c>
      <c r="M18" s="318" t="s">
        <v>454</v>
      </c>
      <c r="N18" s="318" t="s">
        <v>454</v>
      </c>
      <c r="O18" s="318" t="s">
        <v>454</v>
      </c>
      <c r="P18" s="318" t="s">
        <v>454</v>
      </c>
      <c r="Q18" s="318" t="s">
        <v>454</v>
      </c>
      <c r="R18" s="318" t="s">
        <v>454</v>
      </c>
      <c r="S18" s="318" t="s">
        <v>454</v>
      </c>
      <c r="T18" s="318" t="s">
        <v>454</v>
      </c>
      <c r="U18" s="318" t="s">
        <v>454</v>
      </c>
      <c r="V18" s="318" t="s">
        <v>454</v>
      </c>
      <c r="W18" s="318" t="s">
        <v>454</v>
      </c>
      <c r="X18" s="318" t="s">
        <v>454</v>
      </c>
      <c r="Y18" s="318" t="s">
        <v>454</v>
      </c>
      <c r="Z18" s="318" t="s">
        <v>454</v>
      </c>
      <c r="AA18" s="318" t="s">
        <v>454</v>
      </c>
      <c r="AB18" s="318" t="s">
        <v>454</v>
      </c>
      <c r="AC18" s="318" t="s">
        <v>454</v>
      </c>
      <c r="AD18" s="318" t="s">
        <v>454</v>
      </c>
      <c r="AE18" s="318" t="s">
        <v>454</v>
      </c>
      <c r="AF18" s="327" t="s">
        <v>454</v>
      </c>
      <c r="AG18" s="790"/>
      <c r="AH18" s="7"/>
      <c r="AI18" s="7"/>
      <c r="AJ18" s="7"/>
      <c r="AK18" s="11"/>
      <c r="AL18" s="11"/>
      <c r="AM18" s="11"/>
      <c r="AN18" s="11"/>
    </row>
    <row r="19" spans="1:40" ht="15">
      <c r="A19" s="1060" t="s">
        <v>455</v>
      </c>
      <c r="B19" s="791">
        <v>12</v>
      </c>
      <c r="C19" s="792" t="s">
        <v>456</v>
      </c>
      <c r="D19" s="793">
        <f>D22-D21</f>
        <v>356</v>
      </c>
      <c r="E19" s="793">
        <f>E22-E21</f>
        <v>1005</v>
      </c>
      <c r="F19" s="793">
        <f>F22-F21</f>
        <v>1298</v>
      </c>
      <c r="G19" s="794">
        <f>G17-G10-G9-G11</f>
        <v>2033.4806774132007</v>
      </c>
      <c r="H19" s="795">
        <f>H17-H10-H9-H11</f>
        <v>2548.384793182774</v>
      </c>
      <c r="I19" s="795">
        <f t="shared" ref="I19:AF19" si="16">I17-I10-I9-I11</f>
        <v>3082.2601000664126</v>
      </c>
      <c r="J19" s="796">
        <f t="shared" si="16"/>
        <v>3719.8647032788258</v>
      </c>
      <c r="K19" s="794">
        <f>K17-K10-K9-K11</f>
        <v>4445.3694431711374</v>
      </c>
      <c r="L19" s="795">
        <f>L17-L10-L9-L11</f>
        <v>5027.0889712559001</v>
      </c>
      <c r="M19" s="795">
        <f>M17-M10-M9-M11</f>
        <v>5677.3665137262469</v>
      </c>
      <c r="N19" s="795">
        <f t="shared" si="16"/>
        <v>6391.6346560995753</v>
      </c>
      <c r="O19" s="795">
        <f t="shared" si="16"/>
        <v>7042.126596783045</v>
      </c>
      <c r="P19" s="795">
        <f t="shared" si="16"/>
        <v>7718.3565896451109</v>
      </c>
      <c r="Q19" s="795">
        <f t="shared" si="16"/>
        <v>8440.5752386349523</v>
      </c>
      <c r="R19" s="795">
        <f t="shared" si="16"/>
        <v>9212.0693325989851</v>
      </c>
      <c r="S19" s="795">
        <f t="shared" si="16"/>
        <v>10027.254882361705</v>
      </c>
      <c r="T19" s="795">
        <f t="shared" si="16"/>
        <v>10817.195552672762</v>
      </c>
      <c r="U19" s="795">
        <f t="shared" si="16"/>
        <v>11634.54109546775</v>
      </c>
      <c r="V19" s="795">
        <f t="shared" si="16"/>
        <v>12491.917525148376</v>
      </c>
      <c r="W19" s="795">
        <f t="shared" si="16"/>
        <v>13392.201174695398</v>
      </c>
      <c r="X19" s="795">
        <f t="shared" si="16"/>
        <v>14331.231575996278</v>
      </c>
      <c r="Y19" s="795">
        <f t="shared" si="16"/>
        <v>14986.301295368197</v>
      </c>
      <c r="Z19" s="795">
        <f t="shared" si="16"/>
        <v>16151.919839191181</v>
      </c>
      <c r="AA19" s="795">
        <f t="shared" si="16"/>
        <v>17369.791041696091</v>
      </c>
      <c r="AB19" s="795">
        <f t="shared" si="16"/>
        <v>18642.772457401588</v>
      </c>
      <c r="AC19" s="795">
        <f t="shared" si="16"/>
        <v>19965.759794690777</v>
      </c>
      <c r="AD19" s="795">
        <f t="shared" si="16"/>
        <v>21344.620404072379</v>
      </c>
      <c r="AE19" s="795">
        <f t="shared" si="16"/>
        <v>22780.655331630682</v>
      </c>
      <c r="AF19" s="797">
        <f t="shared" si="16"/>
        <v>24274.63615201995</v>
      </c>
      <c r="AG19" s="583"/>
      <c r="AH19" s="7"/>
      <c r="AI19" s="7"/>
      <c r="AJ19" s="7"/>
      <c r="AK19" s="11"/>
      <c r="AL19" s="11"/>
      <c r="AM19" s="11"/>
      <c r="AN19" s="11"/>
    </row>
    <row r="20" spans="1:40" ht="15">
      <c r="A20" s="1061"/>
      <c r="B20" s="798">
        <v>13</v>
      </c>
      <c r="C20" s="312" t="s">
        <v>457</v>
      </c>
      <c r="D20" s="336">
        <v>0</v>
      </c>
      <c r="E20" s="337">
        <v>0</v>
      </c>
      <c r="F20" s="400">
        <v>0</v>
      </c>
      <c r="G20" s="563">
        <f>G11</f>
        <v>0</v>
      </c>
      <c r="H20" s="582">
        <f t="shared" ref="H20:AF20" si="17">H11</f>
        <v>0</v>
      </c>
      <c r="I20" s="582">
        <f t="shared" si="17"/>
        <v>0</v>
      </c>
      <c r="J20" s="776">
        <f t="shared" si="17"/>
        <v>0</v>
      </c>
      <c r="K20" s="563">
        <f t="shared" si="17"/>
        <v>0</v>
      </c>
      <c r="L20" s="582">
        <f t="shared" si="17"/>
        <v>0</v>
      </c>
      <c r="M20" s="582">
        <f t="shared" si="17"/>
        <v>0</v>
      </c>
      <c r="N20" s="582">
        <f t="shared" si="17"/>
        <v>0</v>
      </c>
      <c r="O20" s="582">
        <f t="shared" si="17"/>
        <v>0</v>
      </c>
      <c r="P20" s="582">
        <f t="shared" si="17"/>
        <v>0</v>
      </c>
      <c r="Q20" s="582">
        <f t="shared" si="17"/>
        <v>0</v>
      </c>
      <c r="R20" s="582">
        <f t="shared" si="17"/>
        <v>0</v>
      </c>
      <c r="S20" s="582">
        <f t="shared" si="17"/>
        <v>0</v>
      </c>
      <c r="T20" s="582">
        <f t="shared" si="17"/>
        <v>0</v>
      </c>
      <c r="U20" s="582">
        <f t="shared" si="17"/>
        <v>0</v>
      </c>
      <c r="V20" s="582">
        <f t="shared" si="17"/>
        <v>0</v>
      </c>
      <c r="W20" s="582">
        <f t="shared" si="17"/>
        <v>0</v>
      </c>
      <c r="X20" s="582">
        <f t="shared" si="17"/>
        <v>0</v>
      </c>
      <c r="Y20" s="582">
        <f t="shared" si="17"/>
        <v>0</v>
      </c>
      <c r="Z20" s="582">
        <f t="shared" si="17"/>
        <v>0</v>
      </c>
      <c r="AA20" s="582">
        <f t="shared" si="17"/>
        <v>0</v>
      </c>
      <c r="AB20" s="582">
        <f t="shared" si="17"/>
        <v>0</v>
      </c>
      <c r="AC20" s="582">
        <f t="shared" si="17"/>
        <v>0</v>
      </c>
      <c r="AD20" s="582">
        <f t="shared" si="17"/>
        <v>0</v>
      </c>
      <c r="AE20" s="582">
        <f t="shared" si="17"/>
        <v>0</v>
      </c>
      <c r="AF20" s="799">
        <f t="shared" si="17"/>
        <v>0</v>
      </c>
      <c r="AG20" s="583"/>
      <c r="AH20" s="7"/>
      <c r="AI20" s="7"/>
      <c r="AJ20" s="7"/>
      <c r="AK20" s="11"/>
      <c r="AL20" s="11"/>
      <c r="AM20" s="11"/>
      <c r="AN20" s="11"/>
    </row>
    <row r="21" spans="1:40" ht="15">
      <c r="A21" s="1061"/>
      <c r="B21" s="798">
        <v>14</v>
      </c>
      <c r="C21" s="312" t="s">
        <v>458</v>
      </c>
      <c r="D21" s="339">
        <f>Inputs!D62</f>
        <v>552</v>
      </c>
      <c r="E21" s="338">
        <f>Inputs!C62</f>
        <v>-194</v>
      </c>
      <c r="F21" s="403">
        <f>Inputs!B62</f>
        <v>-249</v>
      </c>
      <c r="G21" s="777">
        <f>$D$60*(G6-F6)</f>
        <v>-131.17288054804678</v>
      </c>
      <c r="H21" s="778">
        <f t="shared" ref="H21:J21" si="18">$D$60*(H6-G6)</f>
        <v>-147.56949061655271</v>
      </c>
      <c r="I21" s="778">
        <f t="shared" si="18"/>
        <v>-160.68677867135725</v>
      </c>
      <c r="J21" s="779">
        <f t="shared" si="18"/>
        <v>-176.49729371077217</v>
      </c>
      <c r="K21" s="389">
        <f>$E$60*(K6-J6)</f>
        <v>-146.07388205201494</v>
      </c>
      <c r="L21" s="386">
        <f t="shared" ref="L21:AF21" si="19">$E$60*(L6-K6)</f>
        <v>-164.78091600963194</v>
      </c>
      <c r="M21" s="386">
        <f t="shared" si="19"/>
        <v>-185.88367680476006</v>
      </c>
      <c r="N21" s="386">
        <f t="shared" si="19"/>
        <v>-209.68897454385291</v>
      </c>
      <c r="O21" s="386">
        <f t="shared" si="19"/>
        <v>-144.19064038494992</v>
      </c>
      <c r="P21" s="386">
        <f t="shared" si="19"/>
        <v>-155.44696391879381</v>
      </c>
      <c r="Q21" s="386">
        <f t="shared" si="19"/>
        <v>-167.58201868762143</v>
      </c>
      <c r="R21" s="386">
        <f t="shared" si="19"/>
        <v>-180.66440334009579</v>
      </c>
      <c r="S21" s="386">
        <f t="shared" si="19"/>
        <v>-194.76807171701526</v>
      </c>
      <c r="T21" s="386">
        <f t="shared" si="19"/>
        <v>-142.73031307746052</v>
      </c>
      <c r="U21" s="386">
        <f t="shared" si="19"/>
        <v>-150.30437751081402</v>
      </c>
      <c r="V21" s="386">
        <f t="shared" si="19"/>
        <v>-158.2803639381973</v>
      </c>
      <c r="W21" s="386">
        <f t="shared" si="19"/>
        <v>-166.67960057654165</v>
      </c>
      <c r="X21" s="386">
        <f t="shared" si="19"/>
        <v>-175.5245474366192</v>
      </c>
      <c r="Y21" s="386">
        <f t="shared" si="19"/>
        <v>-87.080417893431672</v>
      </c>
      <c r="Z21" s="386">
        <f t="shared" si="19"/>
        <v>-89.25742834076722</v>
      </c>
      <c r="AA21" s="386">
        <f t="shared" si="19"/>
        <v>-91.48886404928669</v>
      </c>
      <c r="AB21" s="386">
        <f t="shared" si="19"/>
        <v>-93.776085650519278</v>
      </c>
      <c r="AC21" s="386">
        <f>$E$60*(AC6-AB6)</f>
        <v>-96.120487791781841</v>
      </c>
      <c r="AD21" s="386">
        <f t="shared" si="19"/>
        <v>-98.523499986576411</v>
      </c>
      <c r="AE21" s="386">
        <f t="shared" si="19"/>
        <v>-100.98658748624061</v>
      </c>
      <c r="AF21" s="800">
        <f t="shared" si="19"/>
        <v>-103.51125217339701</v>
      </c>
      <c r="AG21" s="583"/>
      <c r="AH21" s="7"/>
      <c r="AI21" s="7"/>
      <c r="AJ21" s="7"/>
      <c r="AK21" s="11"/>
      <c r="AL21" s="11"/>
      <c r="AM21" s="11"/>
      <c r="AN21" s="11"/>
    </row>
    <row r="22" spans="1:40" ht="15">
      <c r="A22" s="1061"/>
      <c r="B22" s="798">
        <v>15</v>
      </c>
      <c r="C22" s="319" t="s">
        <v>459</v>
      </c>
      <c r="D22" s="627">
        <f>Inputs!D59</f>
        <v>908</v>
      </c>
      <c r="E22" s="629">
        <f>Inputs!C59</f>
        <v>811</v>
      </c>
      <c r="F22" s="755">
        <f>Inputs!B59</f>
        <v>1049</v>
      </c>
      <c r="G22" s="530">
        <f>G19+G20+G21</f>
        <v>1902.3077968651539</v>
      </c>
      <c r="H22" s="531">
        <f t="shared" ref="H22:AF22" si="20">H19+H20+H21</f>
        <v>2400.8153025662214</v>
      </c>
      <c r="I22" s="531">
        <f t="shared" si="20"/>
        <v>2921.5733213950552</v>
      </c>
      <c r="J22" s="532">
        <f t="shared" si="20"/>
        <v>3543.3674095680535</v>
      </c>
      <c r="K22" s="530">
        <f>K19+K20+K21</f>
        <v>4299.2955611191228</v>
      </c>
      <c r="L22" s="531">
        <f t="shared" si="20"/>
        <v>4862.3080552462679</v>
      </c>
      <c r="M22" s="531">
        <f t="shared" si="20"/>
        <v>5491.4828369214865</v>
      </c>
      <c r="N22" s="531">
        <f t="shared" si="20"/>
        <v>6181.9456815557223</v>
      </c>
      <c r="O22" s="531">
        <f t="shared" si="20"/>
        <v>6897.9359563980952</v>
      </c>
      <c r="P22" s="531">
        <f t="shared" si="20"/>
        <v>7562.9096257263172</v>
      </c>
      <c r="Q22" s="531">
        <f t="shared" si="20"/>
        <v>8272.9932199473315</v>
      </c>
      <c r="R22" s="531">
        <f t="shared" si="20"/>
        <v>9031.4049292588898</v>
      </c>
      <c r="S22" s="531">
        <f t="shared" si="20"/>
        <v>9832.4868106446902</v>
      </c>
      <c r="T22" s="531">
        <f t="shared" si="20"/>
        <v>10674.465239595302</v>
      </c>
      <c r="U22" s="531">
        <f t="shared" si="20"/>
        <v>11484.236717956936</v>
      </c>
      <c r="V22" s="531">
        <f t="shared" si="20"/>
        <v>12333.637161210179</v>
      </c>
      <c r="W22" s="531">
        <f t="shared" si="20"/>
        <v>13225.521574118857</v>
      </c>
      <c r="X22" s="531">
        <f t="shared" si="20"/>
        <v>14155.70702855966</v>
      </c>
      <c r="Y22" s="531">
        <f t="shared" si="20"/>
        <v>14899.220877474765</v>
      </c>
      <c r="Z22" s="531">
        <f t="shared" si="20"/>
        <v>16062.662410850415</v>
      </c>
      <c r="AA22" s="531">
        <f t="shared" si="20"/>
        <v>17278.302177646805</v>
      </c>
      <c r="AB22" s="531">
        <f t="shared" si="20"/>
        <v>18548.996371751069</v>
      </c>
      <c r="AC22" s="531">
        <f t="shared" si="20"/>
        <v>19869.639306898996</v>
      </c>
      <c r="AD22" s="531">
        <f t="shared" si="20"/>
        <v>21246.096904085804</v>
      </c>
      <c r="AE22" s="531">
        <f t="shared" si="20"/>
        <v>22679.668744144441</v>
      </c>
      <c r="AF22" s="801">
        <f t="shared" si="20"/>
        <v>24171.124899846553</v>
      </c>
      <c r="AG22" s="583"/>
      <c r="AH22" s="7"/>
      <c r="AI22" s="7"/>
      <c r="AJ22" s="7"/>
      <c r="AK22" s="11"/>
      <c r="AL22" s="11"/>
      <c r="AM22" s="11"/>
      <c r="AN22" s="11"/>
    </row>
    <row r="23" spans="1:40" ht="15">
      <c r="A23" s="1061"/>
      <c r="B23" s="798">
        <v>16</v>
      </c>
      <c r="C23" s="312" t="s">
        <v>460</v>
      </c>
      <c r="D23" s="360">
        <f>'Fin. Data'!D32</f>
        <v>-2100</v>
      </c>
      <c r="E23" s="359">
        <f>'Fin. Data'!C32</f>
        <v>-2552</v>
      </c>
      <c r="F23" s="402">
        <f>'Fin. Data'!B32</f>
        <v>-3446</v>
      </c>
      <c r="G23" s="389">
        <f>-G6*$D$62</f>
        <v>-4307.5</v>
      </c>
      <c r="H23" s="386">
        <f t="shared" ref="H23:I23" si="21">-H6*$D$62</f>
        <v>-5276.6875</v>
      </c>
      <c r="I23" s="386">
        <f t="shared" si="21"/>
        <v>-6332.0249999999996</v>
      </c>
      <c r="J23" s="390">
        <f>-J6*$D$62</f>
        <v>-7491.2007221199055</v>
      </c>
      <c r="K23" s="389">
        <f>-K6*$E$62</f>
        <v>-5816.8141353009541</v>
      </c>
      <c r="L23" s="386">
        <f>-L6*$E$62</f>
        <v>-6561.7477129235031</v>
      </c>
      <c r="M23" s="386">
        <f>-M6*$E$62</f>
        <v>-7402.081628628338</v>
      </c>
      <c r="N23" s="386">
        <f>-N6*$E$62</f>
        <v>-8350.0333804308666</v>
      </c>
      <c r="O23" s="386">
        <f>-O6*$E$62</f>
        <v>-9001.8834380878379</v>
      </c>
      <c r="P23" s="386">
        <f t="shared" ref="P23:AF23" si="22">-P6*$E$62</f>
        <v>-9704.6205375455302</v>
      </c>
      <c r="Q23" s="386">
        <f t="shared" si="22"/>
        <v>-10462.21720437606</v>
      </c>
      <c r="R23" s="386">
        <f t="shared" si="22"/>
        <v>-11278.956081597218</v>
      </c>
      <c r="S23" s="386">
        <f t="shared" si="22"/>
        <v>-12159.454139165489</v>
      </c>
      <c r="T23" s="386">
        <f t="shared" si="22"/>
        <v>-12804.702419917638</v>
      </c>
      <c r="U23" s="386">
        <f t="shared" si="22"/>
        <v>-13484.191164020238</v>
      </c>
      <c r="V23" s="386">
        <f t="shared" si="22"/>
        <v>-14199.737360941417</v>
      </c>
      <c r="W23" s="386">
        <f t="shared" si="22"/>
        <v>-14953.254419718556</v>
      </c>
      <c r="X23" s="386">
        <f t="shared" si="22"/>
        <v>-15746.757285517024</v>
      </c>
      <c r="Y23" s="386">
        <f t="shared" si="22"/>
        <v>-16140.426217654947</v>
      </c>
      <c r="Z23" s="386">
        <f t="shared" si="22"/>
        <v>-16543.936873096318</v>
      </c>
      <c r="AA23" s="386">
        <f t="shared" si="22"/>
        <v>-16957.535294923724</v>
      </c>
      <c r="AB23" s="386">
        <f t="shared" si="22"/>
        <v>-17381.473677296817</v>
      </c>
      <c r="AC23" s="386">
        <f t="shared" si="22"/>
        <v>-17816.010519229236</v>
      </c>
      <c r="AD23" s="386">
        <f t="shared" si="22"/>
        <v>-18261.410782209965</v>
      </c>
      <c r="AE23" s="386">
        <f t="shared" si="22"/>
        <v>-18717.946051765211</v>
      </c>
      <c r="AF23" s="800">
        <f t="shared" si="22"/>
        <v>-19185.894703059341</v>
      </c>
      <c r="AG23" s="584">
        <f>SUM(D23:AF23)</f>
        <v>-324436.49824952614</v>
      </c>
      <c r="AH23" s="7"/>
      <c r="AI23" s="7"/>
      <c r="AJ23" s="7"/>
      <c r="AK23" s="11"/>
      <c r="AL23" s="11"/>
      <c r="AM23" s="11"/>
      <c r="AN23" s="11"/>
    </row>
    <row r="24" spans="1:40" ht="15">
      <c r="A24" s="1061"/>
      <c r="B24" s="798">
        <v>17</v>
      </c>
      <c r="C24" s="312" t="s">
        <v>461</v>
      </c>
      <c r="D24" s="339">
        <f>Inputs!D66</f>
        <v>-580</v>
      </c>
      <c r="E24" s="338">
        <f>'Fin. Data'!C33</f>
        <v>-88</v>
      </c>
      <c r="F24" s="403">
        <f>'Fin. Data'!B33</f>
        <v>-1170</v>
      </c>
      <c r="G24" s="389">
        <f>G6*$D$63</f>
        <v>113.09258435529844</v>
      </c>
      <c r="H24" s="386">
        <f t="shared" ref="H24:J24" si="23">H6*$D$63</f>
        <v>138.53841583524061</v>
      </c>
      <c r="I24" s="386">
        <f t="shared" si="23"/>
        <v>166.24609900228873</v>
      </c>
      <c r="J24" s="390">
        <f t="shared" si="23"/>
        <v>196.68003472752596</v>
      </c>
      <c r="K24" s="389">
        <f t="shared" ref="K24:AF24" si="24">K6*$E$63</f>
        <v>221.86797412331046</v>
      </c>
      <c r="L24" s="386">
        <f>L6*$E$63</f>
        <v>250.28162116087282</v>
      </c>
      <c r="M24" s="386">
        <f t="shared" si="24"/>
        <v>282.33407790571846</v>
      </c>
      <c r="N24" s="386">
        <f t="shared" si="24"/>
        <v>318.49135057198504</v>
      </c>
      <c r="O24" s="386">
        <f t="shared" si="24"/>
        <v>343.35455719342758</v>
      </c>
      <c r="P24" s="386">
        <f t="shared" si="24"/>
        <v>370.15872403997628</v>
      </c>
      <c r="Q24" s="386">
        <f t="shared" si="24"/>
        <v>399.05537326453771</v>
      </c>
      <c r="R24" s="386">
        <f t="shared" si="24"/>
        <v>430.20785568220566</v>
      </c>
      <c r="S24" s="386">
        <f t="shared" si="24"/>
        <v>463.7922741814354</v>
      </c>
      <c r="T24" s="386">
        <f t="shared" si="24"/>
        <v>488.40367236729497</v>
      </c>
      <c r="U24" s="386">
        <f t="shared" si="24"/>
        <v>514.32108825629973</v>
      </c>
      <c r="V24" s="386">
        <f t="shared" si="24"/>
        <v>541.61382641327157</v>
      </c>
      <c r="W24" s="386">
        <f t="shared" si="24"/>
        <v>570.3548690887892</v>
      </c>
      <c r="X24" s="386">
        <f t="shared" si="24"/>
        <v>600.62107137765406</v>
      </c>
      <c r="Y24" s="386">
        <f t="shared" si="24"/>
        <v>615.63659816209531</v>
      </c>
      <c r="Z24" s="386">
        <f t="shared" si="24"/>
        <v>631.02751311614759</v>
      </c>
      <c r="AA24" s="386">
        <f t="shared" si="24"/>
        <v>646.80320094405124</v>
      </c>
      <c r="AB24" s="386">
        <f t="shared" si="24"/>
        <v>662.9732809676525</v>
      </c>
      <c r="AC24" s="386">
        <f t="shared" si="24"/>
        <v>679.54761299184383</v>
      </c>
      <c r="AD24" s="386">
        <f t="shared" si="24"/>
        <v>696.53630331663976</v>
      </c>
      <c r="AE24" s="386">
        <f t="shared" si="24"/>
        <v>713.94971089955573</v>
      </c>
      <c r="AF24" s="800">
        <f t="shared" si="24"/>
        <v>731.79845367204462</v>
      </c>
      <c r="AG24" s="583"/>
      <c r="AH24" s="585">
        <f>AG9-AG23</f>
        <v>324436.49824952614</v>
      </c>
      <c r="AI24" s="7"/>
      <c r="AJ24" s="7"/>
      <c r="AK24" s="11"/>
      <c r="AL24" s="11"/>
      <c r="AM24" s="11"/>
      <c r="AN24" s="11"/>
    </row>
    <row r="25" spans="1:40" ht="15">
      <c r="A25" s="1061"/>
      <c r="B25" s="798">
        <v>18</v>
      </c>
      <c r="C25" s="312" t="s">
        <v>462</v>
      </c>
      <c r="D25" s="339">
        <f>Inputs!D67</f>
        <v>1043</v>
      </c>
      <c r="E25" s="338">
        <f>Inputs!C67</f>
        <v>678</v>
      </c>
      <c r="F25" s="403">
        <f>Inputs!B67</f>
        <v>2697</v>
      </c>
      <c r="G25" s="389">
        <f>(1+G5)*AVERAGE(D25:F25)</f>
        <v>1840.8333333333335</v>
      </c>
      <c r="H25" s="386">
        <f t="shared" ref="H25:AF25" si="25">(1+H5)*AVERAGE(E25:G25)</f>
        <v>2129.7986111111113</v>
      </c>
      <c r="I25" s="386">
        <f t="shared" si="25"/>
        <v>2667.0527777777779</v>
      </c>
      <c r="J25" s="390">
        <f t="shared" si="25"/>
        <v>2617.6054045014762</v>
      </c>
      <c r="K25" s="389">
        <f t="shared" si="25"/>
        <v>2787.9977925454887</v>
      </c>
      <c r="L25" s="386">
        <f t="shared" si="25"/>
        <v>3035.4950692886964</v>
      </c>
      <c r="M25" s="386">
        <f t="shared" si="25"/>
        <v>3174.0374229684094</v>
      </c>
      <c r="N25" s="386">
        <f t="shared" si="25"/>
        <v>3383.2680223793309</v>
      </c>
      <c r="O25" s="386">
        <f t="shared" si="25"/>
        <v>3447.2226294713068</v>
      </c>
      <c r="P25" s="386">
        <f t="shared" si="25"/>
        <v>3595.17906414051</v>
      </c>
      <c r="Q25" s="386">
        <f t="shared" si="25"/>
        <v>3746.5184976506803</v>
      </c>
      <c r="R25" s="386">
        <f t="shared" si="25"/>
        <v>3877.0544403726235</v>
      </c>
      <c r="S25" s="386">
        <f t="shared" si="25"/>
        <v>4031.5167314569499</v>
      </c>
      <c r="T25" s="386">
        <f t="shared" si="25"/>
        <v>4091.1911885487898</v>
      </c>
      <c r="U25" s="386">
        <f t="shared" si="25"/>
        <v>4212.1788356561519</v>
      </c>
      <c r="V25" s="386">
        <f t="shared" si="25"/>
        <v>4329.8148223308772</v>
      </c>
      <c r="W25" s="386">
        <f t="shared" si="25"/>
        <v>4434.5239713424062</v>
      </c>
      <c r="X25" s="386">
        <f t="shared" si="25"/>
        <v>4555.0412814222536</v>
      </c>
      <c r="Y25" s="386">
        <f t="shared" si="25"/>
        <v>4550.7881923243085</v>
      </c>
      <c r="Z25" s="386">
        <f t="shared" si="25"/>
        <v>4626.287427072064</v>
      </c>
      <c r="AA25" s="386">
        <f t="shared" si="25"/>
        <v>4691.8066077796975</v>
      </c>
      <c r="AB25" s="386">
        <f t="shared" si="25"/>
        <v>4738.534760951824</v>
      </c>
      <c r="AC25" s="386">
        <f t="shared" si="25"/>
        <v>4802.6815052328911</v>
      </c>
      <c r="AD25" s="386">
        <f t="shared" si="25"/>
        <v>4862.9494819378415</v>
      </c>
      <c r="AE25" s="386">
        <f t="shared" si="25"/>
        <v>4921.4232972752061</v>
      </c>
      <c r="AF25" s="800">
        <f t="shared" si="25"/>
        <v>4983.9102138523613</v>
      </c>
      <c r="AG25" s="363"/>
      <c r="AH25" s="7"/>
      <c r="AI25" s="7"/>
      <c r="AJ25" s="7"/>
      <c r="AK25" s="11"/>
      <c r="AL25" s="11"/>
      <c r="AM25" s="11"/>
      <c r="AN25" s="11"/>
    </row>
    <row r="26" spans="1:40" ht="15">
      <c r="A26" s="1061"/>
      <c r="B26" s="798">
        <v>19</v>
      </c>
      <c r="C26" s="319" t="s">
        <v>463</v>
      </c>
      <c r="D26" s="627">
        <f>D23+D24+D25</f>
        <v>-1637</v>
      </c>
      <c r="E26" s="629">
        <f>E23+E24+E25</f>
        <v>-1962</v>
      </c>
      <c r="F26" s="401">
        <f t="shared" ref="F26:AF26" si="26">F23+F24+F25</f>
        <v>-1919</v>
      </c>
      <c r="G26" s="405">
        <f>G23+G24+G25</f>
        <v>-2353.5740823113679</v>
      </c>
      <c r="H26" s="404">
        <f t="shared" si="26"/>
        <v>-3008.3504730536479</v>
      </c>
      <c r="I26" s="404">
        <f t="shared" si="26"/>
        <v>-3498.7261232199326</v>
      </c>
      <c r="J26" s="358">
        <f t="shared" si="26"/>
        <v>-4676.9152828909037</v>
      </c>
      <c r="K26" s="405">
        <f t="shared" si="26"/>
        <v>-2806.9483686321546</v>
      </c>
      <c r="L26" s="404">
        <f t="shared" si="26"/>
        <v>-3275.9710224739342</v>
      </c>
      <c r="M26" s="404">
        <f t="shared" si="26"/>
        <v>-3945.7101277542097</v>
      </c>
      <c r="N26" s="404">
        <f t="shared" si="26"/>
        <v>-4648.2740074795511</v>
      </c>
      <c r="O26" s="404">
        <f t="shared" si="26"/>
        <v>-5211.3062514231024</v>
      </c>
      <c r="P26" s="404">
        <f t="shared" si="26"/>
        <v>-5739.2827493650439</v>
      </c>
      <c r="Q26" s="404">
        <f t="shared" si="26"/>
        <v>-6316.6433334608409</v>
      </c>
      <c r="R26" s="404">
        <f t="shared" si="26"/>
        <v>-6971.6937855423894</v>
      </c>
      <c r="S26" s="404">
        <f t="shared" si="26"/>
        <v>-7664.1451335271049</v>
      </c>
      <c r="T26" s="404">
        <f t="shared" si="26"/>
        <v>-8225.1075590015535</v>
      </c>
      <c r="U26" s="404">
        <f t="shared" si="26"/>
        <v>-8757.6912401077861</v>
      </c>
      <c r="V26" s="404">
        <f t="shared" si="26"/>
        <v>-9328.3087121972676</v>
      </c>
      <c r="W26" s="404">
        <f t="shared" si="26"/>
        <v>-9948.3755792873599</v>
      </c>
      <c r="X26" s="404">
        <f t="shared" si="26"/>
        <v>-10591.094932717115</v>
      </c>
      <c r="Y26" s="404">
        <f t="shared" si="26"/>
        <v>-10974.001427168543</v>
      </c>
      <c r="Z26" s="404">
        <f t="shared" si="26"/>
        <v>-11286.621932908107</v>
      </c>
      <c r="AA26" s="404">
        <f t="shared" si="26"/>
        <v>-11618.925486199976</v>
      </c>
      <c r="AB26" s="404">
        <f t="shared" si="26"/>
        <v>-11979.965635377339</v>
      </c>
      <c r="AC26" s="404">
        <f t="shared" si="26"/>
        <v>-12333.781401004502</v>
      </c>
      <c r="AD26" s="404">
        <f t="shared" si="26"/>
        <v>-12701.924996955484</v>
      </c>
      <c r="AE26" s="404">
        <f t="shared" si="26"/>
        <v>-13082.573043590448</v>
      </c>
      <c r="AF26" s="802">
        <f t="shared" si="26"/>
        <v>-13470.186035534936</v>
      </c>
      <c r="AG26" s="583"/>
      <c r="AH26" s="7"/>
      <c r="AI26" s="7"/>
      <c r="AJ26" s="7"/>
      <c r="AK26" s="11"/>
      <c r="AL26" s="11"/>
      <c r="AM26" s="11"/>
      <c r="AN26" s="11"/>
    </row>
    <row r="27" spans="1:40" ht="15">
      <c r="A27" s="1061"/>
      <c r="B27" s="798">
        <v>20</v>
      </c>
      <c r="C27" s="312" t="s">
        <v>464</v>
      </c>
      <c r="D27" s="339">
        <f>Inputs!D71+Inputs!D72</f>
        <v>-44</v>
      </c>
      <c r="E27" s="338">
        <f>Inputs!C71+Inputs!C72</f>
        <v>-44</v>
      </c>
      <c r="F27" s="402">
        <f>Inputs!B71+Inputs!B72</f>
        <v>-55</v>
      </c>
      <c r="G27" s="406">
        <v>-50</v>
      </c>
      <c r="H27" s="647">
        <v>-50</v>
      </c>
      <c r="I27" s="647">
        <v>-50</v>
      </c>
      <c r="J27" s="648">
        <v>-50</v>
      </c>
      <c r="K27" s="406">
        <v>-100</v>
      </c>
      <c r="L27" s="647">
        <v>-100</v>
      </c>
      <c r="M27" s="647">
        <v>-100</v>
      </c>
      <c r="N27" s="647">
        <v>-100</v>
      </c>
      <c r="O27" s="647">
        <v>-100</v>
      </c>
      <c r="P27" s="647">
        <v>-100</v>
      </c>
      <c r="Q27" s="647">
        <v>-100</v>
      </c>
      <c r="R27" s="647">
        <v>-100</v>
      </c>
      <c r="S27" s="647">
        <v>-100</v>
      </c>
      <c r="T27" s="647">
        <v>-100</v>
      </c>
      <c r="U27" s="647">
        <v>-100</v>
      </c>
      <c r="V27" s="647">
        <v>-100</v>
      </c>
      <c r="W27" s="647">
        <v>-100</v>
      </c>
      <c r="X27" s="647">
        <v>-100</v>
      </c>
      <c r="Y27" s="647">
        <v>-100</v>
      </c>
      <c r="Z27" s="647">
        <v>-100</v>
      </c>
      <c r="AA27" s="647">
        <v>-100</v>
      </c>
      <c r="AB27" s="647">
        <v>-100</v>
      </c>
      <c r="AC27" s="647">
        <v>-100</v>
      </c>
      <c r="AD27" s="647">
        <v>-100</v>
      </c>
      <c r="AE27" s="647">
        <v>-100</v>
      </c>
      <c r="AF27" s="803">
        <v>-100</v>
      </c>
      <c r="AG27" s="583"/>
      <c r="AH27" s="7"/>
      <c r="AI27" s="7"/>
      <c r="AJ27" s="7"/>
      <c r="AK27" s="11"/>
      <c r="AL27" s="11"/>
      <c r="AM27" s="11"/>
      <c r="AN27" s="11"/>
    </row>
    <row r="28" spans="1:40" ht="15">
      <c r="A28" s="1061"/>
      <c r="B28" s="798">
        <v>21</v>
      </c>
      <c r="C28" s="312" t="s">
        <v>465</v>
      </c>
      <c r="D28" s="360">
        <f>+SUM(Inputs!D69:D70)</f>
        <v>530</v>
      </c>
      <c r="E28" s="338">
        <f>+SUM(Inputs!C69:C70)</f>
        <v>94</v>
      </c>
      <c r="F28" s="403">
        <f>+SUM(Inputs!B69:B70)</f>
        <v>2119</v>
      </c>
      <c r="G28" s="389">
        <f>G44-F44</f>
        <v>2743.7611229046634</v>
      </c>
      <c r="H28" s="386">
        <f t="shared" ref="H28:AF28" si="27">H44-G44</f>
        <v>1130.0478500621066</v>
      </c>
      <c r="I28" s="386">
        <f t="shared" si="27"/>
        <v>819.47047126626057</v>
      </c>
      <c r="J28" s="390">
        <f t="shared" si="27"/>
        <v>649.60716475645677</v>
      </c>
      <c r="K28" s="389">
        <f t="shared" si="27"/>
        <v>775.44928942582555</v>
      </c>
      <c r="L28" s="386">
        <f t="shared" si="27"/>
        <v>1368.8371037038451</v>
      </c>
      <c r="M28" s="386">
        <f t="shared" si="27"/>
        <v>1509.5349604676721</v>
      </c>
      <c r="N28" s="386">
        <f>N44-M44</f>
        <v>1663.8361860789573</v>
      </c>
      <c r="O28" s="386">
        <f t="shared" si="27"/>
        <v>1408.9022782078355</v>
      </c>
      <c r="P28" s="386">
        <f t="shared" si="27"/>
        <v>1490.2386388260238</v>
      </c>
      <c r="Q28" s="386">
        <f t="shared" si="27"/>
        <v>1575.6879685207568</v>
      </c>
      <c r="R28" s="386">
        <f t="shared" si="27"/>
        <v>1665.3967478378909</v>
      </c>
      <c r="S28" s="386">
        <f t="shared" si="27"/>
        <v>1759.5092621641015</v>
      </c>
      <c r="T28" s="386">
        <f t="shared" si="27"/>
        <v>1611.4226977805411</v>
      </c>
      <c r="U28" s="386">
        <f t="shared" si="27"/>
        <v>1669.5475093574714</v>
      </c>
      <c r="V28" s="386">
        <f t="shared" si="27"/>
        <v>1729.3119351308524</v>
      </c>
      <c r="W28" s="386">
        <f t="shared" si="27"/>
        <v>1790.7269811291953</v>
      </c>
      <c r="X28" s="386">
        <f t="shared" si="27"/>
        <v>1853.8002572777696</v>
      </c>
      <c r="Y28" s="386">
        <f t="shared" si="27"/>
        <v>991.68914221233717</v>
      </c>
      <c r="Z28" s="386">
        <f t="shared" si="27"/>
        <v>2333.9534567565133</v>
      </c>
      <c r="AA28" s="386">
        <f t="shared" si="27"/>
        <v>2393.3680984328166</v>
      </c>
      <c r="AB28" s="386">
        <f t="shared" si="27"/>
        <v>2454.352406186641</v>
      </c>
      <c r="AC28" s="386">
        <f t="shared" si="27"/>
        <v>2516.9522893945905</v>
      </c>
      <c r="AD28" s="386">
        <f t="shared" si="27"/>
        <v>2581.2153325524196</v>
      </c>
      <c r="AE28" s="386">
        <f t="shared" si="27"/>
        <v>2647.190878866626</v>
      </c>
      <c r="AF28" s="800">
        <f t="shared" si="27"/>
        <v>2714.930119235054</v>
      </c>
      <c r="AG28" s="583"/>
      <c r="AH28" s="7"/>
      <c r="AI28" s="7"/>
      <c r="AJ28" s="7"/>
      <c r="AK28" s="11"/>
      <c r="AL28" s="11"/>
      <c r="AM28" s="11"/>
      <c r="AN28" s="11"/>
    </row>
    <row r="29" spans="1:40" ht="15">
      <c r="A29" s="1061"/>
      <c r="B29" s="798">
        <v>22</v>
      </c>
      <c r="C29" s="312" t="s">
        <v>466</v>
      </c>
      <c r="D29" s="360">
        <f>'Fin. Data'!D28</f>
        <v>0</v>
      </c>
      <c r="E29" s="338">
        <f>'Fin. Data'!C28</f>
        <v>0</v>
      </c>
      <c r="F29" s="402">
        <f>'Fin. Data'!B28</f>
        <v>0</v>
      </c>
      <c r="G29" s="389">
        <f>-G17*$D$65</f>
        <v>0</v>
      </c>
      <c r="H29" s="386">
        <f>-H17*$D$65</f>
        <v>0</v>
      </c>
      <c r="I29" s="386">
        <f>-I17*$D$65</f>
        <v>0</v>
      </c>
      <c r="J29" s="390">
        <f>-J17*$D$65</f>
        <v>0</v>
      </c>
      <c r="K29" s="389">
        <f t="shared" ref="K29:AF29" si="28">-K17*$E$65</f>
        <v>0</v>
      </c>
      <c r="L29" s="386">
        <f t="shared" si="28"/>
        <v>0</v>
      </c>
      <c r="M29" s="386">
        <f t="shared" si="28"/>
        <v>0</v>
      </c>
      <c r="N29" s="386">
        <f t="shared" si="28"/>
        <v>0</v>
      </c>
      <c r="O29" s="386">
        <f t="shared" si="28"/>
        <v>0</v>
      </c>
      <c r="P29" s="386">
        <f t="shared" si="28"/>
        <v>0</v>
      </c>
      <c r="Q29" s="386">
        <f t="shared" si="28"/>
        <v>0</v>
      </c>
      <c r="R29" s="386">
        <f t="shared" si="28"/>
        <v>0</v>
      </c>
      <c r="S29" s="386">
        <f t="shared" si="28"/>
        <v>0</v>
      </c>
      <c r="T29" s="386">
        <f t="shared" si="28"/>
        <v>0</v>
      </c>
      <c r="U29" s="386">
        <f t="shared" si="28"/>
        <v>0</v>
      </c>
      <c r="V29" s="386">
        <f t="shared" si="28"/>
        <v>0</v>
      </c>
      <c r="W29" s="386">
        <f t="shared" si="28"/>
        <v>0</v>
      </c>
      <c r="X29" s="386">
        <f t="shared" si="28"/>
        <v>0</v>
      </c>
      <c r="Y29" s="386">
        <f t="shared" si="28"/>
        <v>0</v>
      </c>
      <c r="Z29" s="386">
        <f t="shared" si="28"/>
        <v>0</v>
      </c>
      <c r="AA29" s="386">
        <f t="shared" si="28"/>
        <v>0</v>
      </c>
      <c r="AB29" s="386">
        <f t="shared" si="28"/>
        <v>0</v>
      </c>
      <c r="AC29" s="386">
        <f t="shared" si="28"/>
        <v>0</v>
      </c>
      <c r="AD29" s="386">
        <f t="shared" si="28"/>
        <v>0</v>
      </c>
      <c r="AE29" s="386">
        <f t="shared" si="28"/>
        <v>0</v>
      </c>
      <c r="AF29" s="800">
        <f t="shared" si="28"/>
        <v>0</v>
      </c>
      <c r="AG29" s="583"/>
      <c r="AH29" s="7"/>
      <c r="AI29" s="7"/>
      <c r="AJ29" s="7"/>
      <c r="AK29" s="11"/>
      <c r="AL29" s="11"/>
      <c r="AM29" s="11"/>
      <c r="AN29" s="11"/>
    </row>
    <row r="30" spans="1:40" s="7" customFormat="1" ht="15">
      <c r="A30" s="1061"/>
      <c r="B30" s="798">
        <v>23</v>
      </c>
      <c r="C30" s="312" t="s">
        <v>467</v>
      </c>
      <c r="D30" s="339">
        <f>'Fin. Data'!D27</f>
        <v>-107</v>
      </c>
      <c r="E30" s="338">
        <f>'Fin. Data'!C27</f>
        <v>-114</v>
      </c>
      <c r="F30" s="403">
        <f>'Fin. Data'!B27</f>
        <v>-155</v>
      </c>
      <c r="G30" s="389">
        <f>-$D$64*G17</f>
        <v>-270.76828812563161</v>
      </c>
      <c r="H30" s="386">
        <f t="shared" ref="H30:J30" si="29">-$D$64*H17</f>
        <v>-345.01583700973544</v>
      </c>
      <c r="I30" s="386">
        <f>-$D$64*I17</f>
        <v>-407.0087454803782</v>
      </c>
      <c r="J30" s="390">
        <f t="shared" si="29"/>
        <v>-480.57979921839581</v>
      </c>
      <c r="K30" s="389">
        <f t="shared" ref="K30:AF30" si="30">-$E$64*K17</f>
        <v>-745.41167758298639</v>
      </c>
      <c r="L30" s="386">
        <f t="shared" si="30"/>
        <v>-833.64962427014916</v>
      </c>
      <c r="M30" s="386">
        <f t="shared" si="30"/>
        <v>-930.87503130146035</v>
      </c>
      <c r="N30" s="386">
        <f t="shared" si="30"/>
        <v>-1032.9049561099066</v>
      </c>
      <c r="O30" s="386">
        <f t="shared" si="30"/>
        <v>-1085.9753778487768</v>
      </c>
      <c r="P30" s="386">
        <f t="shared" si="30"/>
        <v>-1133.1699124486872</v>
      </c>
      <c r="Q30" s="386">
        <f t="shared" si="30"/>
        <v>-1181.3262625490172</v>
      </c>
      <c r="R30" s="386">
        <f t="shared" si="30"/>
        <v>-1230.3980334714299</v>
      </c>
      <c r="S30" s="386">
        <f t="shared" si="30"/>
        <v>-1276.6842522023971</v>
      </c>
      <c r="T30" s="386">
        <f t="shared" si="30"/>
        <v>-1291.0284434759128</v>
      </c>
      <c r="U30" s="386">
        <f t="shared" si="30"/>
        <v>-1300.2664393070665</v>
      </c>
      <c r="V30" s="386">
        <f t="shared" si="30"/>
        <v>-1308.5910868308158</v>
      </c>
      <c r="W30" s="386">
        <f t="shared" si="30"/>
        <v>-1316.2494667307465</v>
      </c>
      <c r="X30" s="386">
        <f t="shared" si="30"/>
        <v>-1320.6255793714777</v>
      </c>
      <c r="Y30" s="386">
        <f t="shared" si="30"/>
        <v>-1191.6336797281917</v>
      </c>
      <c r="Z30" s="386">
        <f t="shared" si="30"/>
        <v>-1256.8976848533366</v>
      </c>
      <c r="AA30" s="386">
        <f t="shared" si="30"/>
        <v>-1332.8351576159341</v>
      </c>
      <c r="AB30" s="386">
        <f t="shared" si="30"/>
        <v>-1420.3173727779233</v>
      </c>
      <c r="AC30" s="386">
        <f t="shared" si="30"/>
        <v>-1517.0228029280941</v>
      </c>
      <c r="AD30" s="386">
        <f t="shared" si="30"/>
        <v>-1625.0102117393344</v>
      </c>
      <c r="AE30" s="386">
        <f t="shared" si="30"/>
        <v>-1744.503157804789</v>
      </c>
      <c r="AF30" s="800">
        <f t="shared" si="30"/>
        <v>-1875.5043937792998</v>
      </c>
      <c r="AG30" s="583"/>
      <c r="AK30" s="11"/>
      <c r="AL30" s="11"/>
      <c r="AM30" s="11"/>
      <c r="AN30" s="11"/>
    </row>
    <row r="31" spans="1:40" s="3" customFormat="1" ht="15">
      <c r="A31" s="1061"/>
      <c r="B31" s="798">
        <v>24</v>
      </c>
      <c r="C31" s="312" t="s">
        <v>468</v>
      </c>
      <c r="D31" s="440">
        <f>Inputs!D75</f>
        <v>296</v>
      </c>
      <c r="E31" s="439">
        <f>Inputs!C75</f>
        <v>1737</v>
      </c>
      <c r="F31" s="438">
        <f>Inputs!B75</f>
        <v>-943</v>
      </c>
      <c r="G31" s="389">
        <f>(1+G5)*AVERAGE(D31:F31)</f>
        <v>454.16666666666663</v>
      </c>
      <c r="H31" s="386">
        <f t="shared" ref="H31:AF31" si="31">(1+H5)*AVERAGE(E31:G31)</f>
        <v>509.6680555555555</v>
      </c>
      <c r="I31" s="386">
        <f t="shared" si="31"/>
        <v>8.3338888888888505</v>
      </c>
      <c r="J31" s="390">
        <f t="shared" si="31"/>
        <v>383.37973510727136</v>
      </c>
      <c r="K31" s="561">
        <f t="shared" si="31"/>
        <v>338.93921063393242</v>
      </c>
      <c r="L31" s="562">
        <f t="shared" si="31"/>
        <v>274.74143377323918</v>
      </c>
      <c r="M31" s="562">
        <f t="shared" si="31"/>
        <v>374.91649281696471</v>
      </c>
      <c r="N31" s="562">
        <f t="shared" si="31"/>
        <v>371.73412875703963</v>
      </c>
      <c r="O31" s="562">
        <f t="shared" si="31"/>
        <v>367.04253376092129</v>
      </c>
      <c r="P31" s="562">
        <f t="shared" si="31"/>
        <v>400.21141287157906</v>
      </c>
      <c r="Q31" s="562">
        <f t="shared" si="31"/>
        <v>409.30127361557049</v>
      </c>
      <c r="R31" s="562">
        <f t="shared" si="31"/>
        <v>422.80122200742568</v>
      </c>
      <c r="S31" s="562">
        <f t="shared" si="31"/>
        <v>442.83839588795331</v>
      </c>
      <c r="T31" s="562">
        <f t="shared" si="31"/>
        <v>447.53211594147592</v>
      </c>
      <c r="U31" s="562">
        <f t="shared" si="31"/>
        <v>460.95197710857724</v>
      </c>
      <c r="V31" s="562">
        <f t="shared" si="31"/>
        <v>474.34372590953473</v>
      </c>
      <c r="W31" s="562">
        <f t="shared" si="31"/>
        <v>485.40278527603061</v>
      </c>
      <c r="X31" s="562">
        <f t="shared" si="31"/>
        <v>498.69621785181653</v>
      </c>
      <c r="Y31" s="562">
        <f t="shared" si="31"/>
        <v>498.30126575443882</v>
      </c>
      <c r="Z31" s="562">
        <f t="shared" si="31"/>
        <v>506.48675853478096</v>
      </c>
      <c r="AA31" s="562">
        <f t="shared" si="31"/>
        <v>513.69044939818741</v>
      </c>
      <c r="AB31" s="562">
        <f t="shared" si="31"/>
        <v>518.81347850986401</v>
      </c>
      <c r="AC31" s="562">
        <f t="shared" si="31"/>
        <v>525.82181786796764</v>
      </c>
      <c r="AD31" s="562">
        <f t="shared" si="31"/>
        <v>532.42796314013981</v>
      </c>
      <c r="AE31" s="562">
        <f t="shared" si="31"/>
        <v>538.82994700197355</v>
      </c>
      <c r="AF31" s="804">
        <f t="shared" si="31"/>
        <v>545.668907070111</v>
      </c>
      <c r="AG31" s="583"/>
      <c r="AH31" s="605"/>
      <c r="AI31" s="605"/>
      <c r="AJ31" s="605"/>
      <c r="AK31" s="603"/>
      <c r="AL31" s="603"/>
      <c r="AM31" s="603"/>
      <c r="AN31" s="603"/>
    </row>
    <row r="32" spans="1:40" s="7" customFormat="1" ht="16.5" customHeight="1" thickBot="1">
      <c r="A32" s="1062"/>
      <c r="B32" s="805">
        <v>25</v>
      </c>
      <c r="C32" s="806" t="s">
        <v>469</v>
      </c>
      <c r="D32" s="807">
        <f t="shared" ref="D32:AF32" si="32">D27+D28+D29+D30+D31</f>
        <v>675</v>
      </c>
      <c r="E32" s="808">
        <f>E27+E28+E29+E30+E31</f>
        <v>1673</v>
      </c>
      <c r="F32" s="809">
        <f t="shared" si="32"/>
        <v>966</v>
      </c>
      <c r="G32" s="807">
        <f>G27+G28+G29+G30+G31</f>
        <v>2877.1595014456984</v>
      </c>
      <c r="H32" s="808">
        <f t="shared" si="32"/>
        <v>1244.7000686079268</v>
      </c>
      <c r="I32" s="808">
        <f t="shared" si="32"/>
        <v>370.79561467477123</v>
      </c>
      <c r="J32" s="810">
        <f t="shared" si="32"/>
        <v>502.40710064533232</v>
      </c>
      <c r="K32" s="807">
        <f t="shared" si="32"/>
        <v>268.97682247677159</v>
      </c>
      <c r="L32" s="808">
        <f t="shared" si="32"/>
        <v>709.92891320693502</v>
      </c>
      <c r="M32" s="808">
        <f t="shared" si="32"/>
        <v>853.57642198317649</v>
      </c>
      <c r="N32" s="808">
        <f t="shared" si="32"/>
        <v>902.66535872609029</v>
      </c>
      <c r="O32" s="808">
        <f t="shared" si="32"/>
        <v>589.96943411997995</v>
      </c>
      <c r="P32" s="808">
        <f t="shared" si="32"/>
        <v>657.2801392489157</v>
      </c>
      <c r="Q32" s="808">
        <f t="shared" si="32"/>
        <v>703.66297958731013</v>
      </c>
      <c r="R32" s="808">
        <f t="shared" si="32"/>
        <v>757.79993637388657</v>
      </c>
      <c r="S32" s="808">
        <f t="shared" si="32"/>
        <v>825.66340584965769</v>
      </c>
      <c r="T32" s="808">
        <f t="shared" si="32"/>
        <v>667.92637024610417</v>
      </c>
      <c r="U32" s="808">
        <f t="shared" si="32"/>
        <v>730.23304715898212</v>
      </c>
      <c r="V32" s="808">
        <f t="shared" si="32"/>
        <v>795.06457420957122</v>
      </c>
      <c r="W32" s="808">
        <f t="shared" si="32"/>
        <v>859.88029967447949</v>
      </c>
      <c r="X32" s="808">
        <f t="shared" si="32"/>
        <v>931.87089575810842</v>
      </c>
      <c r="Y32" s="808">
        <f t="shared" si="32"/>
        <v>198.35672823858425</v>
      </c>
      <c r="Z32" s="808">
        <f t="shared" si="32"/>
        <v>1483.5425304379578</v>
      </c>
      <c r="AA32" s="808">
        <f t="shared" si="32"/>
        <v>1474.2233902150699</v>
      </c>
      <c r="AB32" s="808">
        <f t="shared" si="32"/>
        <v>1452.8485119185816</v>
      </c>
      <c r="AC32" s="808">
        <f t="shared" si="32"/>
        <v>1425.7513043344641</v>
      </c>
      <c r="AD32" s="808">
        <f t="shared" si="32"/>
        <v>1388.633083953225</v>
      </c>
      <c r="AE32" s="808">
        <f t="shared" si="32"/>
        <v>1341.5176680638106</v>
      </c>
      <c r="AF32" s="811">
        <f t="shared" si="32"/>
        <v>1285.0946325258651</v>
      </c>
      <c r="AG32" s="583"/>
      <c r="AK32" s="11"/>
      <c r="AL32" s="11"/>
      <c r="AM32" s="11"/>
      <c r="AN32" s="11"/>
    </row>
    <row r="33" spans="1:40" ht="13.5" thickBot="1">
      <c r="A33" s="1048"/>
      <c r="B33" s="1049"/>
      <c r="C33" s="1049"/>
      <c r="D33" s="1049"/>
      <c r="E33" s="1049"/>
      <c r="F33" s="1049"/>
      <c r="G33" s="1050"/>
      <c r="H33" s="1050"/>
      <c r="I33" s="1050"/>
      <c r="J33" s="1050"/>
      <c r="K33" s="1049"/>
      <c r="L33" s="1049"/>
      <c r="M33" s="1049"/>
      <c r="N33" s="1049"/>
      <c r="O33" s="1049"/>
      <c r="P33" s="1049"/>
      <c r="Q33" s="1049"/>
      <c r="R33" s="1049"/>
      <c r="S33" s="1049"/>
      <c r="T33" s="1049"/>
      <c r="U33" s="1049"/>
      <c r="V33" s="1049"/>
      <c r="W33" s="1049"/>
      <c r="X33" s="1049"/>
      <c r="Y33" s="1049"/>
      <c r="Z33" s="1049"/>
      <c r="AA33" s="1049"/>
      <c r="AB33" s="1049"/>
      <c r="AC33" s="1049"/>
      <c r="AD33" s="1049"/>
      <c r="AE33" s="1049"/>
      <c r="AF33" s="1051"/>
      <c r="AG33" s="7"/>
      <c r="AH33" s="7"/>
      <c r="AI33" s="7"/>
      <c r="AJ33" s="7"/>
      <c r="AK33" s="11"/>
      <c r="AL33" s="11"/>
      <c r="AM33" s="11"/>
      <c r="AN33" s="11"/>
    </row>
    <row r="34" spans="1:40" ht="15">
      <c r="A34" s="1075" t="s">
        <v>470</v>
      </c>
      <c r="B34" s="288">
        <v>26</v>
      </c>
      <c r="C34" s="292" t="s">
        <v>471</v>
      </c>
      <c r="D34" s="626">
        <f>D22+D26+D27+D28+D31</f>
        <v>53</v>
      </c>
      <c r="E34" s="628">
        <f>E22+E26+E27+E28+E31</f>
        <v>636</v>
      </c>
      <c r="F34" s="537">
        <f t="shared" ref="F34:AF34" si="33">F22+F26+F27+F28+F31</f>
        <v>251</v>
      </c>
      <c r="G34" s="538">
        <f>G22+G26+G27+G28+G31</f>
        <v>2696.6615041251157</v>
      </c>
      <c r="H34" s="539">
        <f t="shared" si="33"/>
        <v>982.18073513023558</v>
      </c>
      <c r="I34" s="539">
        <f t="shared" si="33"/>
        <v>200.65155833027211</v>
      </c>
      <c r="J34" s="540">
        <f t="shared" si="33"/>
        <v>-150.56097345912201</v>
      </c>
      <c r="K34" s="536">
        <f t="shared" si="33"/>
        <v>2506.7356925467261</v>
      </c>
      <c r="L34" s="510">
        <f t="shared" si="33"/>
        <v>3129.9155702494181</v>
      </c>
      <c r="M34" s="510">
        <f t="shared" si="33"/>
        <v>3330.2241624519138</v>
      </c>
      <c r="N34" s="510">
        <f t="shared" si="33"/>
        <v>3469.2419889121684</v>
      </c>
      <c r="O34" s="510">
        <f t="shared" si="33"/>
        <v>3362.5745169437496</v>
      </c>
      <c r="P34" s="510">
        <f t="shared" si="33"/>
        <v>3614.0769280588761</v>
      </c>
      <c r="Q34" s="510">
        <f t="shared" si="33"/>
        <v>3841.339128622818</v>
      </c>
      <c r="R34" s="510">
        <f t="shared" si="33"/>
        <v>4047.9091135618169</v>
      </c>
      <c r="S34" s="510">
        <f t="shared" si="33"/>
        <v>4270.6893351696399</v>
      </c>
      <c r="T34" s="510">
        <f t="shared" si="33"/>
        <v>4408.3124943157654</v>
      </c>
      <c r="U34" s="510">
        <f t="shared" si="33"/>
        <v>4757.0449643151978</v>
      </c>
      <c r="V34" s="510">
        <f t="shared" si="33"/>
        <v>5108.9841100532985</v>
      </c>
      <c r="W34" s="510">
        <f t="shared" si="33"/>
        <v>5453.2757612367232</v>
      </c>
      <c r="X34" s="510">
        <f t="shared" si="33"/>
        <v>5817.1085709721319</v>
      </c>
      <c r="Y34" s="510">
        <f t="shared" si="33"/>
        <v>5315.2098582729977</v>
      </c>
      <c r="Z34" s="510">
        <f>Z22+Z26+Z27+Z28+Z31</f>
        <v>7516.4806932336023</v>
      </c>
      <c r="AA34" s="510">
        <f t="shared" si="33"/>
        <v>8466.4352392778328</v>
      </c>
      <c r="AB34" s="510">
        <f t="shared" si="33"/>
        <v>9442.1966210702358</v>
      </c>
      <c r="AC34" s="510">
        <f t="shared" si="33"/>
        <v>10478.632013157052</v>
      </c>
      <c r="AD34" s="510">
        <f t="shared" si="33"/>
        <v>11557.81520282288</v>
      </c>
      <c r="AE34" s="510">
        <f t="shared" si="33"/>
        <v>12683.116526422593</v>
      </c>
      <c r="AF34" s="511">
        <f t="shared" si="33"/>
        <v>13861.537890616781</v>
      </c>
      <c r="AG34" s="583"/>
      <c r="AH34" s="7"/>
      <c r="AI34" s="7"/>
      <c r="AJ34" s="7"/>
      <c r="AK34" s="11"/>
      <c r="AL34" s="11"/>
      <c r="AM34" s="11"/>
      <c r="AN34" s="11"/>
    </row>
    <row r="35" spans="1:40" s="3" customFormat="1" ht="15">
      <c r="A35" s="1075"/>
      <c r="B35" s="288">
        <v>27</v>
      </c>
      <c r="C35" s="292" t="s">
        <v>472</v>
      </c>
      <c r="D35" s="410">
        <f>-1*(D29+D30)</f>
        <v>107</v>
      </c>
      <c r="E35" s="407">
        <f t="shared" ref="E35:AF35" si="34">-1*(E29+E30)</f>
        <v>114</v>
      </c>
      <c r="F35" s="414">
        <f t="shared" si="34"/>
        <v>155</v>
      </c>
      <c r="G35" s="425">
        <f>-1*(G29+G30)</f>
        <v>270.76828812563161</v>
      </c>
      <c r="H35" s="361">
        <f t="shared" si="34"/>
        <v>345.01583700973544</v>
      </c>
      <c r="I35" s="361">
        <f>-1*(I29+I30)</f>
        <v>407.0087454803782</v>
      </c>
      <c r="J35" s="426">
        <f t="shared" si="34"/>
        <v>480.57979921839581</v>
      </c>
      <c r="K35" s="361">
        <f t="shared" si="34"/>
        <v>745.41167758298639</v>
      </c>
      <c r="L35" s="361">
        <f t="shared" si="34"/>
        <v>833.64962427014916</v>
      </c>
      <c r="M35" s="361">
        <f t="shared" si="34"/>
        <v>930.87503130146035</v>
      </c>
      <c r="N35" s="361">
        <f t="shared" si="34"/>
        <v>1032.9049561099066</v>
      </c>
      <c r="O35" s="361">
        <f t="shared" si="34"/>
        <v>1085.9753778487768</v>
      </c>
      <c r="P35" s="361">
        <f t="shared" si="34"/>
        <v>1133.1699124486872</v>
      </c>
      <c r="Q35" s="361">
        <f t="shared" si="34"/>
        <v>1181.3262625490172</v>
      </c>
      <c r="R35" s="361">
        <f t="shared" si="34"/>
        <v>1230.3980334714299</v>
      </c>
      <c r="S35" s="361">
        <f t="shared" si="34"/>
        <v>1276.6842522023971</v>
      </c>
      <c r="T35" s="361">
        <f t="shared" si="34"/>
        <v>1291.0284434759128</v>
      </c>
      <c r="U35" s="361">
        <f t="shared" si="34"/>
        <v>1300.2664393070665</v>
      </c>
      <c r="V35" s="361">
        <f t="shared" si="34"/>
        <v>1308.5910868308158</v>
      </c>
      <c r="W35" s="361">
        <f t="shared" si="34"/>
        <v>1316.2494667307465</v>
      </c>
      <c r="X35" s="361">
        <f t="shared" si="34"/>
        <v>1320.6255793714777</v>
      </c>
      <c r="Y35" s="361">
        <f t="shared" si="34"/>
        <v>1191.6336797281917</v>
      </c>
      <c r="Z35" s="361">
        <f t="shared" si="34"/>
        <v>1256.8976848533366</v>
      </c>
      <c r="AA35" s="361">
        <f t="shared" si="34"/>
        <v>1332.8351576159341</v>
      </c>
      <c r="AB35" s="361">
        <f t="shared" si="34"/>
        <v>1420.3173727779233</v>
      </c>
      <c r="AC35" s="361">
        <f t="shared" si="34"/>
        <v>1517.0228029280941</v>
      </c>
      <c r="AD35" s="361">
        <f t="shared" si="34"/>
        <v>1625.0102117393344</v>
      </c>
      <c r="AE35" s="361">
        <f t="shared" si="34"/>
        <v>1744.503157804789</v>
      </c>
      <c r="AF35" s="426">
        <f t="shared" si="34"/>
        <v>1875.5043937792998</v>
      </c>
      <c r="AG35" s="583"/>
      <c r="AH35" s="605"/>
      <c r="AI35" s="605"/>
      <c r="AJ35" s="605"/>
      <c r="AK35" s="603"/>
      <c r="AL35" s="603"/>
      <c r="AM35" s="603"/>
      <c r="AN35" s="603"/>
    </row>
    <row r="36" spans="1:40" s="7" customFormat="1" ht="15.75" thickBot="1">
      <c r="A36" s="1075"/>
      <c r="B36" s="289">
        <v>28</v>
      </c>
      <c r="C36" s="287" t="s">
        <v>473</v>
      </c>
      <c r="D36" s="488">
        <f>D34-D35</f>
        <v>-54</v>
      </c>
      <c r="E36" s="489">
        <f>E34-E35</f>
        <v>522</v>
      </c>
      <c r="F36" s="415">
        <f>F34-F35</f>
        <v>96</v>
      </c>
      <c r="G36" s="427">
        <f>G34-G35</f>
        <v>2425.8932159994843</v>
      </c>
      <c r="H36" s="428">
        <f t="shared" ref="H36:AF36" si="35">H34-H35</f>
        <v>637.16489812050008</v>
      </c>
      <c r="I36" s="428">
        <f>I34-I35</f>
        <v>-206.35718715010609</v>
      </c>
      <c r="J36" s="429">
        <f t="shared" si="35"/>
        <v>-631.14077267751782</v>
      </c>
      <c r="K36" s="428">
        <f t="shared" si="35"/>
        <v>1761.3240149637397</v>
      </c>
      <c r="L36" s="428">
        <f t="shared" si="35"/>
        <v>2296.265945979269</v>
      </c>
      <c r="M36" s="428">
        <f t="shared" si="35"/>
        <v>2399.3491311504536</v>
      </c>
      <c r="N36" s="428">
        <f t="shared" si="35"/>
        <v>2436.337032802262</v>
      </c>
      <c r="O36" s="428">
        <f t="shared" si="35"/>
        <v>2276.599139094973</v>
      </c>
      <c r="P36" s="428">
        <f t="shared" si="35"/>
        <v>2480.9070156101889</v>
      </c>
      <c r="Q36" s="428">
        <f t="shared" si="35"/>
        <v>2660.012866073801</v>
      </c>
      <c r="R36" s="428">
        <f t="shared" si="35"/>
        <v>2817.5110800903867</v>
      </c>
      <c r="S36" s="428">
        <f t="shared" si="35"/>
        <v>2994.0050829672427</v>
      </c>
      <c r="T36" s="428">
        <f t="shared" si="35"/>
        <v>3117.2840508398526</v>
      </c>
      <c r="U36" s="428">
        <f t="shared" si="35"/>
        <v>3456.7785250081315</v>
      </c>
      <c r="V36" s="428">
        <f t="shared" si="35"/>
        <v>3800.393023222483</v>
      </c>
      <c r="W36" s="428">
        <f t="shared" si="35"/>
        <v>4137.0262945059767</v>
      </c>
      <c r="X36" s="428">
        <f t="shared" si="35"/>
        <v>4496.4829916006547</v>
      </c>
      <c r="Y36" s="428">
        <f t="shared" si="35"/>
        <v>4123.5761785448058</v>
      </c>
      <c r="Z36" s="428">
        <f t="shared" si="35"/>
        <v>6259.5830083802657</v>
      </c>
      <c r="AA36" s="428">
        <f t="shared" si="35"/>
        <v>7133.6000816618989</v>
      </c>
      <c r="AB36" s="428">
        <f t="shared" si="35"/>
        <v>8021.8792482923127</v>
      </c>
      <c r="AC36" s="428">
        <f t="shared" si="35"/>
        <v>8961.6092102289585</v>
      </c>
      <c r="AD36" s="428">
        <f t="shared" si="35"/>
        <v>9932.8049910835452</v>
      </c>
      <c r="AE36" s="428">
        <f t="shared" si="35"/>
        <v>10938.613368617804</v>
      </c>
      <c r="AF36" s="429">
        <f t="shared" si="35"/>
        <v>11986.033496837481</v>
      </c>
      <c r="AG36" s="583"/>
      <c r="AK36" s="11"/>
      <c r="AL36" s="11"/>
      <c r="AM36" s="11"/>
      <c r="AN36" s="11"/>
    </row>
    <row r="37" spans="1:40" ht="15.75" thickBot="1">
      <c r="A37" s="298"/>
      <c r="B37" s="296"/>
      <c r="C37" s="297"/>
      <c r="D37" s="512"/>
      <c r="E37" s="512"/>
      <c r="F37" s="512"/>
      <c r="G37" s="512"/>
      <c r="H37" s="512"/>
      <c r="I37" s="512"/>
      <c r="J37" s="512"/>
      <c r="K37" s="512"/>
      <c r="L37" s="512"/>
      <c r="M37" s="512"/>
      <c r="N37" s="512"/>
      <c r="O37" s="512"/>
      <c r="P37" s="512"/>
      <c r="Q37" s="512"/>
      <c r="R37" s="512"/>
      <c r="S37" s="512"/>
      <c r="T37" s="512"/>
      <c r="U37" s="512"/>
      <c r="V37" s="512"/>
      <c r="W37" s="512"/>
      <c r="X37" s="512"/>
      <c r="Y37" s="512"/>
      <c r="Z37" s="512"/>
      <c r="AA37" s="512"/>
      <c r="AB37" s="512"/>
      <c r="AC37" s="512"/>
      <c r="AD37" s="512"/>
      <c r="AE37" s="512"/>
      <c r="AF37" s="513"/>
      <c r="AG37" s="583"/>
      <c r="AH37" s="7"/>
      <c r="AI37" s="7"/>
      <c r="AJ37" s="7"/>
      <c r="AK37" s="11"/>
      <c r="AL37" s="11"/>
      <c r="AM37" s="11"/>
      <c r="AN37" s="11"/>
    </row>
    <row r="38" spans="1:40" ht="15">
      <c r="A38" s="1076" t="s">
        <v>474</v>
      </c>
      <c r="B38" s="290">
        <v>29</v>
      </c>
      <c r="C38" s="828" t="s">
        <v>475</v>
      </c>
      <c r="D38" s="408">
        <v>314</v>
      </c>
      <c r="E38" s="409">
        <v>152</v>
      </c>
      <c r="F38" s="413">
        <v>381</v>
      </c>
      <c r="G38" s="417">
        <f>+F38+(-G10)</f>
        <v>411.13525533579173</v>
      </c>
      <c r="H38" s="418">
        <f>+G38+(-H10)</f>
        <v>443.65406346463686</v>
      </c>
      <c r="I38" s="418">
        <f t="shared" ref="I38:AF38" si="36">+H38+(-I10)</f>
        <v>478.74495187216542</v>
      </c>
      <c r="J38" s="419">
        <f t="shared" si="36"/>
        <v>516.61135965533867</v>
      </c>
      <c r="K38" s="541">
        <f t="shared" si="36"/>
        <v>557.47281695870913</v>
      </c>
      <c r="L38" s="418">
        <f>+K38+(-L10)</f>
        <v>601.56621769837784</v>
      </c>
      <c r="M38" s="418">
        <f t="shared" si="36"/>
        <v>649.14719295225473</v>
      </c>
      <c r="N38" s="418">
        <f t="shared" si="36"/>
        <v>700.49159297883909</v>
      </c>
      <c r="O38" s="418">
        <f t="shared" si="36"/>
        <v>755.89708645651046</v>
      </c>
      <c r="P38" s="418">
        <f t="shared" si="36"/>
        <v>815.68488621490405</v>
      </c>
      <c r="Q38" s="418">
        <f t="shared" si="36"/>
        <v>880.20161146328292</v>
      </c>
      <c r="R38" s="418">
        <f t="shared" si="36"/>
        <v>949.82129731215787</v>
      </c>
      <c r="S38" s="418">
        <f t="shared" si="36"/>
        <v>1024.9475632383385</v>
      </c>
      <c r="T38" s="418">
        <f t="shared" si="36"/>
        <v>1106.0159530650703</v>
      </c>
      <c r="U38" s="418">
        <f t="shared" si="36"/>
        <v>1193.4964600232722</v>
      </c>
      <c r="V38" s="418">
        <f t="shared" si="36"/>
        <v>1287.8962515328913</v>
      </c>
      <c r="W38" s="418">
        <f t="shared" si="36"/>
        <v>1389.7626095012711</v>
      </c>
      <c r="X38" s="418">
        <f t="shared" si="36"/>
        <v>1499.6861031848853</v>
      </c>
      <c r="Y38" s="418">
        <f t="shared" si="36"/>
        <v>1618.3040130090717</v>
      </c>
      <c r="Z38" s="418">
        <f t="shared" si="36"/>
        <v>1746.304025195331</v>
      </c>
      <c r="AA38" s="418">
        <f t="shared" si="36"/>
        <v>1884.4282186157566</v>
      </c>
      <c r="AB38" s="418">
        <f t="shared" si="36"/>
        <v>2033.4773669883471</v>
      </c>
      <c r="AC38" s="418">
        <f t="shared" si="36"/>
        <v>2194.315581355138</v>
      </c>
      <c r="AD38" s="418">
        <f t="shared" si="36"/>
        <v>2367.8753197578762</v>
      </c>
      <c r="AE38" s="418">
        <f t="shared" si="36"/>
        <v>2555.1627931547873</v>
      </c>
      <c r="AF38" s="419">
        <f t="shared" si="36"/>
        <v>2757.2637989191817</v>
      </c>
      <c r="AG38" s="584">
        <f>SUM(G38:AF38)</f>
        <v>32419.364389904193</v>
      </c>
      <c r="AH38" s="7"/>
      <c r="AI38" s="7"/>
      <c r="AJ38" s="7"/>
      <c r="AK38" s="11"/>
      <c r="AL38" s="11"/>
      <c r="AM38" s="11"/>
      <c r="AN38" s="11"/>
    </row>
    <row r="39" spans="1:40" ht="15">
      <c r="A39" s="1075"/>
      <c r="B39" s="290">
        <v>30</v>
      </c>
      <c r="C39" s="292" t="s">
        <v>476</v>
      </c>
      <c r="D39" s="410">
        <v>-98</v>
      </c>
      <c r="E39" s="407">
        <v>-119</v>
      </c>
      <c r="F39" s="414">
        <v>-137</v>
      </c>
      <c r="G39" s="420">
        <f>F39-G10</f>
        <v>-106.8647446642083</v>
      </c>
      <c r="H39" s="416">
        <f t="shared" ref="H39:AF39" si="37">G39-H10</f>
        <v>-74.345936535363151</v>
      </c>
      <c r="I39" s="416">
        <f t="shared" si="37"/>
        <v>-39.25504812783462</v>
      </c>
      <c r="J39" s="421">
        <f t="shared" si="37"/>
        <v>-1.3886403446613471</v>
      </c>
      <c r="K39" s="542">
        <f t="shared" si="37"/>
        <v>39.472816958709132</v>
      </c>
      <c r="L39" s="416">
        <f t="shared" si="37"/>
        <v>83.566217698377827</v>
      </c>
      <c r="M39" s="416">
        <f t="shared" si="37"/>
        <v>131.14719295225467</v>
      </c>
      <c r="N39" s="416">
        <f t="shared" si="37"/>
        <v>182.49159297883904</v>
      </c>
      <c r="O39" s="416">
        <f t="shared" si="37"/>
        <v>237.89708645651041</v>
      </c>
      <c r="P39" s="416">
        <f t="shared" si="37"/>
        <v>297.684886214904</v>
      </c>
      <c r="Q39" s="416">
        <f t="shared" si="37"/>
        <v>362.20161146328286</v>
      </c>
      <c r="R39" s="416">
        <f t="shared" si="37"/>
        <v>431.82129731215781</v>
      </c>
      <c r="S39" s="416">
        <f t="shared" si="37"/>
        <v>506.94756323833838</v>
      </c>
      <c r="T39" s="416">
        <f t="shared" si="37"/>
        <v>588.01595306507022</v>
      </c>
      <c r="U39" s="416">
        <f t="shared" si="37"/>
        <v>675.49646002327211</v>
      </c>
      <c r="V39" s="416">
        <f t="shared" si="37"/>
        <v>769.89625153289103</v>
      </c>
      <c r="W39" s="416">
        <f t="shared" si="37"/>
        <v>871.76260950127084</v>
      </c>
      <c r="X39" s="416">
        <f t="shared" si="37"/>
        <v>981.68610318488493</v>
      </c>
      <c r="Y39" s="416">
        <f t="shared" si="37"/>
        <v>1100.3040130090712</v>
      </c>
      <c r="Z39" s="416">
        <f t="shared" si="37"/>
        <v>1228.3040251953305</v>
      </c>
      <c r="AA39" s="416">
        <f t="shared" si="37"/>
        <v>1366.4282186157561</v>
      </c>
      <c r="AB39" s="416">
        <f t="shared" si="37"/>
        <v>1515.4773669883466</v>
      </c>
      <c r="AC39" s="416">
        <f t="shared" si="37"/>
        <v>1676.3155813551373</v>
      </c>
      <c r="AD39" s="416">
        <f t="shared" si="37"/>
        <v>1849.8753197578756</v>
      </c>
      <c r="AE39" s="416">
        <f t="shared" si="37"/>
        <v>2037.1627931547864</v>
      </c>
      <c r="AF39" s="421">
        <f t="shared" si="37"/>
        <v>2239.2637989191808</v>
      </c>
      <c r="AG39" s="584">
        <f>SUM(G39:AF39)</f>
        <v>18951.364389904178</v>
      </c>
      <c r="AH39" s="7"/>
      <c r="AI39" s="7"/>
      <c r="AJ39" s="7"/>
      <c r="AK39" s="11"/>
      <c r="AL39" s="11"/>
      <c r="AM39" s="11"/>
      <c r="AN39" s="11"/>
    </row>
    <row r="40" spans="1:40" ht="15">
      <c r="A40" s="1075"/>
      <c r="B40" s="290">
        <v>31</v>
      </c>
      <c r="C40" s="292" t="s">
        <v>477</v>
      </c>
      <c r="D40" s="410">
        <f>Inputs!D33</f>
        <v>13492</v>
      </c>
      <c r="E40" s="407">
        <f>Inputs!C33</f>
        <v>14562</v>
      </c>
      <c r="F40" s="414">
        <f>Inputs!B33</f>
        <v>17891</v>
      </c>
      <c r="G40" s="420">
        <f>F40+(-G23)</f>
        <v>22198.5</v>
      </c>
      <c r="H40" s="416">
        <f t="shared" ref="H40:AF40" si="38">G40+(-H23)</f>
        <v>27475.1875</v>
      </c>
      <c r="I40" s="416">
        <f t="shared" si="38"/>
        <v>33807.212500000001</v>
      </c>
      <c r="J40" s="421">
        <f t="shared" si="38"/>
        <v>41298.413222119911</v>
      </c>
      <c r="K40" s="542">
        <f>J40+(-K23)</f>
        <v>47115.227357420867</v>
      </c>
      <c r="L40" s="416">
        <f>K40+(-L23)</f>
        <v>53676.975070344371</v>
      </c>
      <c r="M40" s="416">
        <f t="shared" si="38"/>
        <v>61079.056698972709</v>
      </c>
      <c r="N40" s="416">
        <f t="shared" si="38"/>
        <v>69429.09007940357</v>
      </c>
      <c r="O40" s="416">
        <f t="shared" si="38"/>
        <v>78430.973517491409</v>
      </c>
      <c r="P40" s="416">
        <f t="shared" si="38"/>
        <v>88135.594055036941</v>
      </c>
      <c r="Q40" s="416">
        <f t="shared" si="38"/>
        <v>98597.811259413007</v>
      </c>
      <c r="R40" s="416">
        <f t="shared" si="38"/>
        <v>109876.76734101023</v>
      </c>
      <c r="S40" s="416">
        <f t="shared" si="38"/>
        <v>122036.22148017572</v>
      </c>
      <c r="T40" s="416">
        <f t="shared" si="38"/>
        <v>134840.92390009336</v>
      </c>
      <c r="U40" s="416">
        <f>T40+(-U23)</f>
        <v>148325.1150641136</v>
      </c>
      <c r="V40" s="416">
        <f t="shared" si="38"/>
        <v>162524.85242505503</v>
      </c>
      <c r="W40" s="416">
        <f t="shared" si="38"/>
        <v>177478.10684477357</v>
      </c>
      <c r="X40" s="416">
        <f t="shared" si="38"/>
        <v>193224.8641302906</v>
      </c>
      <c r="Y40" s="416">
        <f t="shared" si="38"/>
        <v>209365.29034794556</v>
      </c>
      <c r="Z40" s="416">
        <f t="shared" si="38"/>
        <v>225909.22722104186</v>
      </c>
      <c r="AA40" s="416">
        <f t="shared" si="38"/>
        <v>242866.76251596559</v>
      </c>
      <c r="AB40" s="416">
        <f t="shared" si="38"/>
        <v>260248.23619326239</v>
      </c>
      <c r="AC40" s="416">
        <f t="shared" si="38"/>
        <v>278064.24671249161</v>
      </c>
      <c r="AD40" s="416">
        <f t="shared" si="38"/>
        <v>296325.65749470156</v>
      </c>
      <c r="AE40" s="416">
        <f t="shared" si="38"/>
        <v>315043.60354646679</v>
      </c>
      <c r="AF40" s="421">
        <f t="shared" si="38"/>
        <v>334229.49824952614</v>
      </c>
      <c r="AG40" s="584">
        <f>SUM(G40:AF40)</f>
        <v>3831603.414727116</v>
      </c>
      <c r="AH40" s="7"/>
      <c r="AI40" s="7"/>
      <c r="AJ40" s="7"/>
      <c r="AK40" s="11"/>
      <c r="AL40" s="11"/>
      <c r="AM40" s="11"/>
      <c r="AN40" s="11"/>
    </row>
    <row r="41" spans="1:40" ht="15.75" thickBot="1">
      <c r="A41" s="1077"/>
      <c r="B41" s="291">
        <v>32</v>
      </c>
      <c r="C41" s="287" t="s">
        <v>478</v>
      </c>
      <c r="D41" s="411">
        <v>-4942</v>
      </c>
      <c r="E41" s="412">
        <v>-5546</v>
      </c>
      <c r="F41" s="415">
        <v>-6280</v>
      </c>
      <c r="G41" s="422">
        <f>F41-G9</f>
        <v>-5179.2155383413628</v>
      </c>
      <c r="H41" s="423">
        <f t="shared" ref="H41:AF41" si="39">G41-H9</f>
        <v>-3813.4023433198854</v>
      </c>
      <c r="I41" s="423">
        <f t="shared" si="39"/>
        <v>-2122.9289499289284</v>
      </c>
      <c r="J41" s="424">
        <f t="shared" si="39"/>
        <v>-42.86331849459566</v>
      </c>
      <c r="K41" s="543">
        <f t="shared" si="39"/>
        <v>2498.1154734157058</v>
      </c>
      <c r="L41" s="423">
        <f t="shared" si="39"/>
        <v>5396.9869832565655</v>
      </c>
      <c r="M41" s="423">
        <f t="shared" si="39"/>
        <v>8699.5849434752854</v>
      </c>
      <c r="N41" s="423">
        <f t="shared" si="39"/>
        <v>12457.612809273511</v>
      </c>
      <c r="O41" s="423">
        <f t="shared" si="39"/>
        <v>16729.395467956943</v>
      </c>
      <c r="P41" s="423">
        <f t="shared" si="39"/>
        <v>21555.03947672194</v>
      </c>
      <c r="Q41" s="423">
        <f t="shared" si="39"/>
        <v>26977.78233373597</v>
      </c>
      <c r="R41" s="423">
        <f t="shared" si="39"/>
        <v>33044.236896807502</v>
      </c>
      <c r="S41" s="423">
        <f t="shared" si="39"/>
        <v>39804.654882737035</v>
      </c>
      <c r="T41" s="423">
        <f t="shared" si="39"/>
        <v>47313.21093689328</v>
      </c>
      <c r="U41" s="423">
        <f t="shared" si="39"/>
        <v>55609.60542713516</v>
      </c>
      <c r="V41" s="423">
        <f t="shared" si="39"/>
        <v>64735.645443696878</v>
      </c>
      <c r="W41" s="423">
        <f t="shared" si="39"/>
        <v>74735.356593597025</v>
      </c>
      <c r="X41" s="423">
        <f t="shared" si="39"/>
        <v>85655.100727480996</v>
      </c>
      <c r="Y41" s="423">
        <f t="shared" si="39"/>
        <v>97543.699913704535</v>
      </c>
      <c r="Z41" s="423">
        <f t="shared" si="39"/>
        <v>110425.37552857611</v>
      </c>
      <c r="AA41" s="423">
        <f t="shared" si="39"/>
        <v>124324.95448281194</v>
      </c>
      <c r="AB41" s="423">
        <f t="shared" si="39"/>
        <v>139267.88435989612</v>
      </c>
      <c r="AC41" s="423">
        <f t="shared" si="39"/>
        <v>155280.24893289988</v>
      </c>
      <c r="AD41" s="423">
        <f t="shared" si="39"/>
        <v>172388.78406922118</v>
      </c>
      <c r="AE41" s="423">
        <f t="shared" si="39"/>
        <v>190620.89403294298</v>
      </c>
      <c r="AF41" s="424">
        <f t="shared" si="39"/>
        <v>210004.66819475027</v>
      </c>
      <c r="AG41" s="584">
        <f>SUM(G41:AF41)</f>
        <v>1683910.4277609023</v>
      </c>
      <c r="AH41" s="7"/>
      <c r="AI41" s="7"/>
      <c r="AJ41" s="7"/>
      <c r="AK41" s="11"/>
      <c r="AL41" s="11"/>
      <c r="AM41" s="11"/>
      <c r="AN41" s="11"/>
    </row>
    <row r="42" spans="1:40" s="7" customFormat="1" ht="15.75" thickBot="1">
      <c r="A42" s="1066"/>
      <c r="B42" s="1067"/>
      <c r="C42" s="1067"/>
      <c r="D42" s="1068"/>
      <c r="E42" s="1068"/>
      <c r="F42" s="1068"/>
      <c r="G42" s="1069"/>
      <c r="H42" s="1069"/>
      <c r="I42" s="1069"/>
      <c r="J42" s="1069"/>
      <c r="K42" s="1069"/>
      <c r="L42" s="1069"/>
      <c r="M42" s="1069"/>
      <c r="N42" s="1069"/>
      <c r="O42" s="1069"/>
      <c r="P42" s="1069"/>
      <c r="Q42" s="1069"/>
      <c r="R42" s="1069"/>
      <c r="S42" s="1069"/>
      <c r="T42" s="1069"/>
      <c r="U42" s="1069"/>
      <c r="V42" s="1069"/>
      <c r="W42" s="1069"/>
      <c r="X42" s="1069"/>
      <c r="Y42" s="1069"/>
      <c r="Z42" s="1069"/>
      <c r="AA42" s="1069"/>
      <c r="AB42" s="1069"/>
      <c r="AC42" s="1069"/>
      <c r="AD42" s="1069"/>
      <c r="AE42" s="1069"/>
      <c r="AF42" s="1070"/>
      <c r="AG42" s="583"/>
      <c r="AK42" s="11"/>
      <c r="AL42" s="11"/>
      <c r="AM42" s="11"/>
      <c r="AN42" s="11"/>
    </row>
    <row r="43" spans="1:40" ht="15" customHeight="1">
      <c r="A43" s="1060" t="s">
        <v>479</v>
      </c>
      <c r="B43" s="288">
        <v>33</v>
      </c>
      <c r="C43" s="286" t="s">
        <v>480</v>
      </c>
      <c r="D43" s="367">
        <f>'Fin. Data'!D39</f>
        <v>474</v>
      </c>
      <c r="E43" s="368">
        <f>E36+D43</f>
        <v>996</v>
      </c>
      <c r="F43" s="619">
        <f>F36+E43</f>
        <v>1092</v>
      </c>
      <c r="G43" s="719">
        <f>G36+F43</f>
        <v>3517.8932159994843</v>
      </c>
      <c r="H43" s="720">
        <f t="shared" ref="H43:AF43" si="40">H36+G43</f>
        <v>4155.0581141199846</v>
      </c>
      <c r="I43" s="720">
        <f>I36+H43</f>
        <v>3948.7009269698783</v>
      </c>
      <c r="J43" s="721">
        <f t="shared" si="40"/>
        <v>3317.5601542923605</v>
      </c>
      <c r="K43" s="722">
        <f t="shared" si="40"/>
        <v>5078.8841692561</v>
      </c>
      <c r="L43" s="430">
        <f t="shared" si="40"/>
        <v>7375.1501152353685</v>
      </c>
      <c r="M43" s="430">
        <f t="shared" si="40"/>
        <v>9774.4992463858216</v>
      </c>
      <c r="N43" s="430">
        <f t="shared" si="40"/>
        <v>12210.836279188083</v>
      </c>
      <c r="O43" s="430">
        <f t="shared" si="40"/>
        <v>14487.435418283056</v>
      </c>
      <c r="P43" s="430">
        <f t="shared" si="40"/>
        <v>16968.342433893245</v>
      </c>
      <c r="Q43" s="430">
        <f t="shared" si="40"/>
        <v>19628.355299967046</v>
      </c>
      <c r="R43" s="430">
        <f t="shared" si="40"/>
        <v>22445.866380057432</v>
      </c>
      <c r="S43" s="430">
        <f t="shared" si="40"/>
        <v>25439.871463024676</v>
      </c>
      <c r="T43" s="430">
        <f t="shared" si="40"/>
        <v>28557.155513864527</v>
      </c>
      <c r="U43" s="430">
        <f t="shared" si="40"/>
        <v>32013.93403887266</v>
      </c>
      <c r="V43" s="430">
        <f t="shared" si="40"/>
        <v>35814.327062095144</v>
      </c>
      <c r="W43" s="430">
        <f t="shared" si="40"/>
        <v>39951.353356601117</v>
      </c>
      <c r="X43" s="430">
        <f t="shared" si="40"/>
        <v>44447.836348201774</v>
      </c>
      <c r="Y43" s="430">
        <f t="shared" si="40"/>
        <v>48571.412526746579</v>
      </c>
      <c r="Z43" s="430">
        <f t="shared" si="40"/>
        <v>54830.995535126844</v>
      </c>
      <c r="AA43" s="430">
        <f t="shared" si="40"/>
        <v>61964.595616788742</v>
      </c>
      <c r="AB43" s="430">
        <f t="shared" si="40"/>
        <v>69986.474865081051</v>
      </c>
      <c r="AC43" s="430">
        <f t="shared" si="40"/>
        <v>78948.084075310006</v>
      </c>
      <c r="AD43" s="430">
        <f t="shared" si="40"/>
        <v>88880.889066393545</v>
      </c>
      <c r="AE43" s="430">
        <f t="shared" si="40"/>
        <v>99819.502435011353</v>
      </c>
      <c r="AF43" s="431">
        <f t="shared" si="40"/>
        <v>111805.53593184883</v>
      </c>
      <c r="AG43" s="583"/>
      <c r="AH43" s="7"/>
      <c r="AI43" s="7"/>
      <c r="AJ43" s="7"/>
      <c r="AK43" s="11"/>
      <c r="AL43" s="11"/>
      <c r="AM43" s="11"/>
      <c r="AN43" s="11"/>
    </row>
    <row r="44" spans="1:40" ht="15">
      <c r="A44" s="1061"/>
      <c r="B44" s="288">
        <v>34</v>
      </c>
      <c r="C44" s="286" t="s">
        <v>308</v>
      </c>
      <c r="D44" s="367">
        <f>'Fin. Data'!D58</f>
        <v>3947</v>
      </c>
      <c r="E44" s="367">
        <f>'Fin. Data'!C58</f>
        <v>4041</v>
      </c>
      <c r="F44" s="369">
        <f>'Fin. Data'!B58</f>
        <v>6160</v>
      </c>
      <c r="G44" s="420">
        <f>G12*3</f>
        <v>8903.7611229046634</v>
      </c>
      <c r="H44" s="416">
        <f t="shared" ref="H44" si="41">H12*2.75</f>
        <v>10033.80897296677</v>
      </c>
      <c r="I44" s="416">
        <f>I12*2.5</f>
        <v>10853.279444233031</v>
      </c>
      <c r="J44" s="421">
        <f>J12*2.25</f>
        <v>11502.886608989487</v>
      </c>
      <c r="K44" s="542">
        <f>K12*2.1</f>
        <v>12278.335898415313</v>
      </c>
      <c r="L44" s="416">
        <f t="shared" ref="L44:AF44" si="42">L12*2.1</f>
        <v>13647.173002119158</v>
      </c>
      <c r="M44" s="416">
        <f t="shared" si="42"/>
        <v>15156.70796258683</v>
      </c>
      <c r="N44" s="416">
        <f t="shared" si="42"/>
        <v>16820.544148665787</v>
      </c>
      <c r="O44" s="416">
        <f t="shared" si="42"/>
        <v>18229.446426873623</v>
      </c>
      <c r="P44" s="416">
        <f t="shared" si="42"/>
        <v>19719.685065699647</v>
      </c>
      <c r="Q44" s="416">
        <f t="shared" si="42"/>
        <v>21295.373034220403</v>
      </c>
      <c r="R44" s="416">
        <f t="shared" si="42"/>
        <v>22960.769782058294</v>
      </c>
      <c r="S44" s="416">
        <f t="shared" si="42"/>
        <v>24720.279044222396</v>
      </c>
      <c r="T44" s="416">
        <f t="shared" si="42"/>
        <v>26331.701742002937</v>
      </c>
      <c r="U44" s="416">
        <f t="shared" si="42"/>
        <v>28001.249251360408</v>
      </c>
      <c r="V44" s="416">
        <f t="shared" si="42"/>
        <v>29730.561186491261</v>
      </c>
      <c r="W44" s="416">
        <f t="shared" si="42"/>
        <v>31521.288167620456</v>
      </c>
      <c r="X44" s="416">
        <f t="shared" si="42"/>
        <v>33375.088424898226</v>
      </c>
      <c r="Y44" s="416">
        <f t="shared" si="42"/>
        <v>34366.777567110563</v>
      </c>
      <c r="Z44" s="416">
        <f t="shared" si="42"/>
        <v>36700.731023867076</v>
      </c>
      <c r="AA44" s="416">
        <f t="shared" si="42"/>
        <v>39094.099122299893</v>
      </c>
      <c r="AB44" s="416">
        <f t="shared" si="42"/>
        <v>41548.451528486534</v>
      </c>
      <c r="AC44" s="416">
        <f t="shared" si="42"/>
        <v>44065.403817881124</v>
      </c>
      <c r="AD44" s="416">
        <f t="shared" si="42"/>
        <v>46646.619150433544</v>
      </c>
      <c r="AE44" s="416">
        <f t="shared" si="42"/>
        <v>49293.81002930017</v>
      </c>
      <c r="AF44" s="421">
        <f t="shared" si="42"/>
        <v>52008.740148535224</v>
      </c>
      <c r="AG44" s="602"/>
      <c r="AH44" s="11"/>
      <c r="AI44" s="11"/>
      <c r="AJ44" s="11"/>
      <c r="AK44" s="11"/>
      <c r="AL44" s="11"/>
      <c r="AM44" s="11"/>
      <c r="AN44" s="11"/>
    </row>
    <row r="45" spans="1:40" ht="15">
      <c r="A45" s="1061"/>
      <c r="B45" s="288">
        <v>35</v>
      </c>
      <c r="C45" s="286" t="s">
        <v>481</v>
      </c>
      <c r="D45" s="499"/>
      <c r="E45" s="502"/>
      <c r="F45" s="545" t="e">
        <f>1/((1+$F$50)^G50)</f>
        <v>#VALUE!</v>
      </c>
      <c r="G45" s="432">
        <f>1/((1+$F$50)^G49)</f>
        <v>0.8863676653075695</v>
      </c>
      <c r="H45" s="362">
        <f t="shared" ref="H45:AF45" si="43">1/((1+$F$50)^H49)</f>
        <v>0.78564763810279148</v>
      </c>
      <c r="I45" s="362">
        <f t="shared" si="43"/>
        <v>0.69637266273957765</v>
      </c>
      <c r="J45" s="433">
        <f t="shared" si="43"/>
        <v>0.61724221125649492</v>
      </c>
      <c r="K45" s="500">
        <f t="shared" si="43"/>
        <v>0.54710353772070097</v>
      </c>
      <c r="L45" s="362">
        <f t="shared" si="43"/>
        <v>0.48493488541100949</v>
      </c>
      <c r="M45" s="362">
        <f t="shared" si="43"/>
        <v>0.42983060220795016</v>
      </c>
      <c r="N45" s="362">
        <f t="shared" si="43"/>
        <v>0.38098794735680747</v>
      </c>
      <c r="O45" s="362">
        <f t="shared" si="43"/>
        <v>0.33769539740897664</v>
      </c>
      <c r="P45" s="362">
        <f t="shared" si="43"/>
        <v>0.29932228098650648</v>
      </c>
      <c r="Q45" s="362">
        <f t="shared" si="43"/>
        <v>0.26530959137254601</v>
      </c>
      <c r="R45" s="362">
        <f t="shared" si="43"/>
        <v>0.23516184308858892</v>
      </c>
      <c r="S45" s="362">
        <f t="shared" si="43"/>
        <v>0.20843985382785754</v>
      </c>
      <c r="T45" s="362">
        <f t="shared" si="43"/>
        <v>0.18475434659444914</v>
      </c>
      <c r="U45" s="362">
        <f t="shared" si="43"/>
        <v>0.16376027884634739</v>
      </c>
      <c r="V45" s="362">
        <f t="shared" si="43"/>
        <v>0.14515181603115349</v>
      </c>
      <c r="W45" s="362">
        <f t="shared" si="43"/>
        <v>0.12865787629068734</v>
      </c>
      <c r="X45" s="362">
        <f t="shared" si="43"/>
        <v>0.11403818143120666</v>
      </c>
      <c r="Y45" s="362">
        <f t="shared" si="43"/>
        <v>0.10107975663109965</v>
      </c>
      <c r="Z45" s="362">
        <f t="shared" si="43"/>
        <v>8.9593827894965131E-2</v>
      </c>
      <c r="AA45" s="362">
        <f t="shared" si="43"/>
        <v>7.9413072057228432E-2</v>
      </c>
      <c r="AB45" s="362">
        <f t="shared" si="43"/>
        <v>7.0389179274267341E-2</v>
      </c>
      <c r="AC45" s="362">
        <f t="shared" si="43"/>
        <v>6.2390692496248297E-2</v>
      </c>
      <c r="AD45" s="362">
        <f t="shared" si="43"/>
        <v>5.5301092444822106E-2</v>
      </c>
      <c r="AE45" s="362">
        <f t="shared" si="43"/>
        <v>4.9017100199275042E-2</v>
      </c>
      <c r="AF45" s="433">
        <f t="shared" si="43"/>
        <v>4.3447172663778615E-2</v>
      </c>
      <c r="AG45" s="602"/>
      <c r="AH45" s="11"/>
      <c r="AI45" s="11"/>
      <c r="AJ45" s="11"/>
      <c r="AK45" s="11"/>
      <c r="AL45" s="11"/>
      <c r="AM45" s="11"/>
      <c r="AN45" s="11"/>
    </row>
    <row r="46" spans="1:40" ht="15">
      <c r="A46" s="1061"/>
      <c r="B46" s="288">
        <v>36</v>
      </c>
      <c r="C46" s="292" t="s">
        <v>482</v>
      </c>
      <c r="D46" s="501"/>
      <c r="E46" s="492" t="s">
        <v>483</v>
      </c>
      <c r="F46" s="546" t="e">
        <f>1/((1+$F$50+0.001)^G50)</f>
        <v>#VALUE!</v>
      </c>
      <c r="G46" s="815">
        <f>1/((1+$F$50+0.001)^G49)</f>
        <v>0.88558271342543393</v>
      </c>
      <c r="H46" s="362">
        <f t="shared" ref="H46:AF46" si="44">1/((1+$F$50+0.001)^H49)</f>
        <v>0.78425674231795428</v>
      </c>
      <c r="I46" s="362">
        <f t="shared" si="44"/>
        <v>0.69452421388412533</v>
      </c>
      <c r="J46" s="433">
        <f>1/((1+$F$50+0.001)^J49)</f>
        <v>0.6150586378711701</v>
      </c>
      <c r="K46" s="500">
        <f t="shared" si="44"/>
        <v>0.54468529744170224</v>
      </c>
      <c r="L46" s="362">
        <f t="shared" si="44"/>
        <v>0.48236388367136224</v>
      </c>
      <c r="M46" s="362">
        <f t="shared" si="44"/>
        <v>0.42717311696011528</v>
      </c>
      <c r="N46" s="362">
        <f t="shared" si="44"/>
        <v>0.37829712801993914</v>
      </c>
      <c r="O46" s="362">
        <f t="shared" si="44"/>
        <v>0.33501339711294648</v>
      </c>
      <c r="P46" s="362">
        <f t="shared" si="44"/>
        <v>0.29668207324915558</v>
      </c>
      <c r="Q46" s="362">
        <f t="shared" si="44"/>
        <v>0.26273651545267057</v>
      </c>
      <c r="R46" s="362">
        <f t="shared" si="44"/>
        <v>0.23267491627051945</v>
      </c>
      <c r="S46" s="362">
        <f t="shared" si="44"/>
        <v>0.20605288369688224</v>
      </c>
      <c r="T46" s="362">
        <f t="shared" si="44"/>
        <v>0.18247687185342035</v>
      </c>
      <c r="U46" s="362">
        <f t="shared" si="44"/>
        <v>0.16159836331333718</v>
      </c>
      <c r="V46" s="362">
        <f t="shared" si="44"/>
        <v>0.14310871706813424</v>
      </c>
      <c r="W46" s="362">
        <f t="shared" si="44"/>
        <v>0.12673460597603103</v>
      </c>
      <c r="X46" s="362">
        <f t="shared" si="44"/>
        <v>0.11223397624515677</v>
      </c>
      <c r="Y46" s="362">
        <f t="shared" si="44"/>
        <v>9.9392469221711632E-2</v>
      </c>
      <c r="Z46" s="362">
        <f t="shared" si="44"/>
        <v>8.8020252587417316E-2</v>
      </c>
      <c r="AA46" s="362">
        <f t="shared" si="44"/>
        <v>7.7949214122757099E-2</v>
      </c>
      <c r="AB46" s="362">
        <f t="shared" si="44"/>
        <v>6.9030476552211395E-2</v>
      </c>
      <c r="AC46" s="362">
        <f t="shared" si="44"/>
        <v>6.1132196734158165E-2</v>
      </c>
      <c r="AD46" s="362">
        <f t="shared" si="44"/>
        <v>5.4137616661493235E-2</v>
      </c>
      <c r="AE46" s="362">
        <f t="shared" si="44"/>
        <v>4.7943337461471162E-2</v>
      </c>
      <c r="AF46" s="433">
        <f t="shared" si="44"/>
        <v>4.245779087980088E-2</v>
      </c>
      <c r="AG46" s="602"/>
      <c r="AH46" s="11"/>
      <c r="AI46" s="11"/>
      <c r="AJ46" s="11"/>
      <c r="AK46" s="11"/>
      <c r="AL46" s="11"/>
      <c r="AM46" s="11"/>
      <c r="AN46" s="11"/>
    </row>
    <row r="47" spans="1:40" ht="15.75" thickBot="1">
      <c r="A47" s="1062"/>
      <c r="B47" s="289">
        <v>37</v>
      </c>
      <c r="C47" s="287" t="s">
        <v>484</v>
      </c>
      <c r="D47" s="491"/>
      <c r="E47" s="492" t="s">
        <v>485</v>
      </c>
      <c r="F47" s="547" t="e">
        <f>1/((1+$F$50+0.005)^G50)</f>
        <v>#VALUE!</v>
      </c>
      <c r="G47" s="434">
        <f t="shared" ref="G47:AF47" si="45">1/((1+$F$50+0.005)^G49)</f>
        <v>0.88245675961877867</v>
      </c>
      <c r="H47" s="435">
        <f>1/((1+$F$50+0.005)^H49)</f>
        <v>0.77872993259687495</v>
      </c>
      <c r="I47" s="435">
        <f>1/((1+$F$50+0.005)^I49)</f>
        <v>0.68719549293758819</v>
      </c>
      <c r="J47" s="436">
        <f t="shared" si="45"/>
        <v>0.60642030792233337</v>
      </c>
      <c r="K47" s="544">
        <f t="shared" si="45"/>
        <v>0.53513969989616428</v>
      </c>
      <c r="L47" s="435">
        <f t="shared" si="45"/>
        <v>0.47223764551373482</v>
      </c>
      <c r="M47" s="435">
        <f t="shared" si="45"/>
        <v>0.41672930243005191</v>
      </c>
      <c r="N47" s="435">
        <f t="shared" si="45"/>
        <v>0.36774558986061762</v>
      </c>
      <c r="O47" s="435">
        <f t="shared" si="45"/>
        <v>0.32451958159249705</v>
      </c>
      <c r="P47" s="435">
        <f t="shared" si="45"/>
        <v>0.28637449840495682</v>
      </c>
      <c r="Q47" s="435">
        <f t="shared" si="45"/>
        <v>0.25271311189989126</v>
      </c>
      <c r="R47" s="435">
        <f t="shared" si="45"/>
        <v>0.22300839384035587</v>
      </c>
      <c r="S47" s="435">
        <f t="shared" si="45"/>
        <v>0.19679526459614882</v>
      </c>
      <c r="T47" s="435">
        <f t="shared" si="45"/>
        <v>0.17366331150383765</v>
      </c>
      <c r="U47" s="435">
        <f t="shared" si="45"/>
        <v>0.15325036313434315</v>
      </c>
      <c r="V47" s="435">
        <f t="shared" si="45"/>
        <v>0.13523681886193359</v>
      </c>
      <c r="W47" s="435">
        <f t="shared" si="45"/>
        <v>0.11934064495405365</v>
      </c>
      <c r="X47" s="435">
        <f t="shared" si="45"/>
        <v>0.10531295883696934</v>
      </c>
      <c r="Y47" s="435">
        <f t="shared" si="45"/>
        <v>9.2934132401137792E-2</v>
      </c>
      <c r="Z47" s="435">
        <f t="shared" si="45"/>
        <v>8.20103533366906E-2</v>
      </c>
      <c r="AA47" s="435">
        <f t="shared" si="45"/>
        <v>7.2370590660687073E-2</v>
      </c>
      <c r="AB47" s="435">
        <f t="shared" si="45"/>
        <v>6.386391692612696E-2</v>
      </c>
      <c r="AC47" s="435">
        <f t="shared" si="45"/>
        <v>5.6357145187192877E-2</v>
      </c>
      <c r="AD47" s="435">
        <f t="shared" si="45"/>
        <v>4.9732743723255271E-2</v>
      </c>
      <c r="AE47" s="435">
        <f t="shared" si="45"/>
        <v>4.3886995872975003E-2</v>
      </c>
      <c r="AF47" s="436">
        <f t="shared" si="45"/>
        <v>3.8728376167468236E-2</v>
      </c>
      <c r="AG47" s="602"/>
      <c r="AH47" s="11"/>
      <c r="AI47" s="11"/>
      <c r="AJ47" s="11"/>
      <c r="AK47" s="11"/>
      <c r="AL47" s="11"/>
      <c r="AM47" s="11"/>
      <c r="AN47" s="11"/>
    </row>
    <row r="48" spans="1:40" ht="15.75" thickBot="1">
      <c r="A48" s="1071" t="s">
        <v>454</v>
      </c>
      <c r="B48" s="1072"/>
      <c r="C48" s="1072"/>
      <c r="D48" s="1072"/>
      <c r="E48" s="1072"/>
      <c r="F48" s="1072"/>
      <c r="G48" s="1073"/>
      <c r="H48" s="1073"/>
      <c r="I48" s="1073"/>
      <c r="J48" s="1073"/>
      <c r="K48" s="1073"/>
      <c r="L48" s="1073"/>
      <c r="M48" s="1073"/>
      <c r="N48" s="1073"/>
      <c r="O48" s="1073"/>
      <c r="P48" s="1073"/>
      <c r="Q48" s="1073"/>
      <c r="R48" s="1073"/>
      <c r="S48" s="1073"/>
      <c r="T48" s="1073"/>
      <c r="U48" s="1073"/>
      <c r="V48" s="1073"/>
      <c r="W48" s="1073"/>
      <c r="X48" s="1073"/>
      <c r="Y48" s="1073"/>
      <c r="Z48" s="1073"/>
      <c r="AA48" s="1073"/>
      <c r="AB48" s="1073"/>
      <c r="AC48" s="1073"/>
      <c r="AD48" s="1073"/>
      <c r="AE48" s="1073"/>
      <c r="AF48" s="1074"/>
      <c r="AG48" s="602"/>
      <c r="AH48" s="11"/>
      <c r="AI48" s="11"/>
      <c r="AJ48" s="604"/>
      <c r="AK48" s="11"/>
      <c r="AL48" s="11"/>
      <c r="AM48" s="11"/>
      <c r="AN48" s="11"/>
    </row>
    <row r="49" spans="1:40" ht="15">
      <c r="A49" s="1078" t="s">
        <v>486</v>
      </c>
      <c r="C49" s="303" t="s">
        <v>487</v>
      </c>
      <c r="D49" s="293" t="s">
        <v>488</v>
      </c>
      <c r="E49" s="294" t="s">
        <v>489</v>
      </c>
      <c r="F49" s="304" t="s">
        <v>490</v>
      </c>
      <c r="G49" s="363">
        <v>1</v>
      </c>
      <c r="H49" s="364">
        <v>2</v>
      </c>
      <c r="I49" s="364">
        <v>3</v>
      </c>
      <c r="J49" s="363">
        <v>4</v>
      </c>
      <c r="K49" s="364">
        <v>5</v>
      </c>
      <c r="L49" s="364">
        <v>6</v>
      </c>
      <c r="M49" s="363">
        <v>7</v>
      </c>
      <c r="N49" s="364">
        <v>8</v>
      </c>
      <c r="O49" s="364">
        <v>9</v>
      </c>
      <c r="P49" s="363">
        <v>10</v>
      </c>
      <c r="Q49" s="364">
        <v>11</v>
      </c>
      <c r="R49" s="364">
        <v>12</v>
      </c>
      <c r="S49" s="363">
        <v>13</v>
      </c>
      <c r="T49" s="364">
        <v>14</v>
      </c>
      <c r="U49" s="364">
        <v>15</v>
      </c>
      <c r="V49" s="363">
        <v>16</v>
      </c>
      <c r="W49" s="364">
        <v>17</v>
      </c>
      <c r="X49" s="364">
        <v>18</v>
      </c>
      <c r="Y49" s="363">
        <v>19</v>
      </c>
      <c r="Z49" s="364">
        <v>20</v>
      </c>
      <c r="AA49" s="364">
        <v>21</v>
      </c>
      <c r="AB49" s="363">
        <v>22</v>
      </c>
      <c r="AC49" s="364">
        <v>23</v>
      </c>
      <c r="AD49" s="364">
        <v>24</v>
      </c>
      <c r="AE49" s="363">
        <v>25</v>
      </c>
      <c r="AF49" s="364">
        <v>26</v>
      </c>
      <c r="AG49" s="602"/>
      <c r="AH49" s="11"/>
      <c r="AI49" s="11"/>
      <c r="AJ49" s="11"/>
      <c r="AK49" s="11"/>
      <c r="AL49" s="11"/>
      <c r="AM49" s="11"/>
      <c r="AN49" s="11"/>
    </row>
    <row r="50" spans="1:40" ht="15.75" thickBot="1">
      <c r="A50" s="1079"/>
      <c r="C50" s="300">
        <v>3.6400000000000002E-2</v>
      </c>
      <c r="D50" s="826">
        <v>7.4300000000000005E-2</v>
      </c>
      <c r="E50" s="301">
        <v>1.7500000000000002E-2</v>
      </c>
      <c r="F50" s="302">
        <f>E50+D50+C50</f>
        <v>0.12820000000000001</v>
      </c>
      <c r="G50" s="363" t="s">
        <v>491</v>
      </c>
      <c r="H50" s="827" t="s">
        <v>492</v>
      </c>
      <c r="S50" s="285"/>
      <c r="T50" s="285"/>
      <c r="U50" s="285"/>
      <c r="V50" s="285"/>
      <c r="W50" s="285"/>
      <c r="X50" s="285"/>
      <c r="Y50" s="285"/>
      <c r="Z50" s="285"/>
      <c r="AA50" s="285"/>
      <c r="AB50" s="285"/>
      <c r="AC50" s="285"/>
      <c r="AD50" s="285"/>
      <c r="AE50" s="285"/>
      <c r="AF50" s="285"/>
      <c r="AG50" s="601"/>
      <c r="AH50" s="11"/>
      <c r="AI50" s="11"/>
      <c r="AJ50" s="11"/>
      <c r="AK50" s="11"/>
      <c r="AL50" s="11"/>
      <c r="AM50" s="11"/>
      <c r="AN50" s="11"/>
    </row>
    <row r="51" spans="1:40" ht="15">
      <c r="A51" s="285"/>
      <c r="C51" s="285"/>
      <c r="D51" s="285"/>
      <c r="G51"/>
      <c r="H51" s="285"/>
      <c r="I51" s="285"/>
      <c r="J51" s="285"/>
      <c r="K51" s="285"/>
      <c r="S51" s="285"/>
      <c r="T51" s="285"/>
      <c r="U51" s="285"/>
      <c r="V51" s="285"/>
      <c r="W51" s="285"/>
      <c r="X51" s="285"/>
      <c r="Y51" s="285"/>
      <c r="Z51" s="285"/>
      <c r="AA51" s="285"/>
      <c r="AB51" s="285"/>
      <c r="AC51" s="285"/>
      <c r="AD51" s="285"/>
      <c r="AE51" s="285"/>
      <c r="AF51" s="285"/>
      <c r="AG51" s="601"/>
      <c r="AH51" s="11"/>
      <c r="AI51" s="11"/>
      <c r="AJ51" s="11"/>
      <c r="AK51" s="11"/>
      <c r="AL51" s="11"/>
      <c r="AM51" s="11"/>
      <c r="AN51" s="11"/>
    </row>
    <row r="52" spans="1:40" ht="15" customHeight="1">
      <c r="A52" s="1056" t="s">
        <v>493</v>
      </c>
      <c r="C52" s="517" t="s">
        <v>454</v>
      </c>
      <c r="D52" s="518" t="s">
        <v>430</v>
      </c>
      <c r="E52" s="519" t="s">
        <v>431</v>
      </c>
      <c r="F52" s="518" t="s">
        <v>494</v>
      </c>
      <c r="G52" s="285"/>
      <c r="K52" s="285"/>
      <c r="S52" s="285"/>
      <c r="T52" s="285"/>
      <c r="U52" s="285"/>
      <c r="V52" s="285"/>
      <c r="W52" s="285"/>
      <c r="X52" s="285"/>
      <c r="Y52" s="285"/>
      <c r="Z52" s="285"/>
      <c r="AA52" s="285"/>
      <c r="AB52" s="285"/>
      <c r="AC52" s="285"/>
      <c r="AD52" s="285"/>
      <c r="AE52" s="285"/>
      <c r="AF52" s="285"/>
      <c r="AG52" s="601"/>
      <c r="AH52" s="11"/>
      <c r="AI52" s="11"/>
      <c r="AJ52" s="11"/>
      <c r="AK52" s="11"/>
      <c r="AL52" s="11"/>
      <c r="AM52" s="11"/>
      <c r="AN52" s="11"/>
    </row>
    <row r="53" spans="1:40" ht="15" customHeight="1">
      <c r="A53" s="1057"/>
      <c r="C53" s="520" t="s">
        <v>495</v>
      </c>
      <c r="D53" s="482">
        <f>Assumptions!C20</f>
        <v>6.1527274141112122E-2</v>
      </c>
      <c r="E53" s="483">
        <f>D53</f>
        <v>6.1527274141112122E-2</v>
      </c>
      <c r="F53" s="521" t="s">
        <v>496</v>
      </c>
      <c r="G53" s="566"/>
      <c r="I53" s="285"/>
      <c r="J53" s="285"/>
      <c r="K53" s="285"/>
      <c r="S53" s="285"/>
      <c r="T53" s="285"/>
      <c r="U53" s="285"/>
      <c r="V53" s="285"/>
      <c r="W53" s="285"/>
      <c r="X53" s="285"/>
      <c r="Y53" s="285"/>
      <c r="Z53" s="285"/>
      <c r="AA53" s="285"/>
      <c r="AB53" s="285"/>
      <c r="AC53" s="285"/>
      <c r="AD53" s="285"/>
      <c r="AE53" s="285"/>
      <c r="AF53" s="285"/>
      <c r="AG53" s="601"/>
      <c r="AH53" s="11"/>
      <c r="AI53" s="11"/>
      <c r="AJ53" s="11"/>
      <c r="AK53" s="11"/>
      <c r="AL53" s="11"/>
      <c r="AM53" s="11"/>
      <c r="AN53" s="11"/>
    </row>
    <row r="54" spans="1:40" ht="15" customHeight="1">
      <c r="A54" s="1057"/>
      <c r="C54" s="522" t="s">
        <v>497</v>
      </c>
      <c r="D54" s="484">
        <f>Assumptions!C21</f>
        <v>7.9095158361658022E-2</v>
      </c>
      <c r="E54" s="485">
        <f>D54</f>
        <v>7.9095158361658022E-2</v>
      </c>
      <c r="F54" s="523" t="s">
        <v>498</v>
      </c>
      <c r="G54" s="285"/>
      <c r="H54" s="71"/>
      <c r="I54" s="285"/>
      <c r="J54" s="285"/>
      <c r="K54" s="285"/>
      <c r="S54" s="285"/>
      <c r="T54" s="285"/>
      <c r="U54" s="285"/>
      <c r="V54" s="285"/>
      <c r="W54" s="285"/>
      <c r="X54" s="285"/>
      <c r="Y54" s="285"/>
      <c r="Z54" s="285"/>
      <c r="AA54" s="285"/>
      <c r="AB54" s="285"/>
      <c r="AC54" s="285"/>
      <c r="AD54" s="285"/>
      <c r="AE54" s="285"/>
      <c r="AF54" s="285"/>
      <c r="AG54" s="601"/>
      <c r="AH54" s="11"/>
      <c r="AI54" s="11"/>
      <c r="AJ54" s="11"/>
      <c r="AK54" s="11"/>
      <c r="AL54" s="11"/>
      <c r="AM54" s="11"/>
      <c r="AN54" s="11"/>
    </row>
    <row r="55" spans="1:40" ht="15" customHeight="1">
      <c r="A55" s="1057"/>
      <c r="C55" s="501" t="s">
        <v>499</v>
      </c>
      <c r="D55" s="486">
        <v>0</v>
      </c>
      <c r="E55" s="524">
        <v>0</v>
      </c>
      <c r="F55" s="521" t="s">
        <v>500</v>
      </c>
      <c r="G55" s="285"/>
      <c r="I55" s="285"/>
      <c r="J55" s="285"/>
      <c r="K55" s="285"/>
      <c r="L55" s="285"/>
      <c r="M55" s="285"/>
      <c r="N55" s="285"/>
      <c r="O55" s="285"/>
      <c r="P55" s="285"/>
      <c r="Q55" s="285"/>
      <c r="R55" s="285"/>
      <c r="S55" s="285"/>
      <c r="T55" s="285"/>
      <c r="U55" s="285"/>
      <c r="V55" s="285"/>
      <c r="W55" s="285"/>
      <c r="X55" s="285"/>
      <c r="Y55" s="285"/>
      <c r="Z55" s="285"/>
      <c r="AA55" s="285"/>
      <c r="AB55" s="285"/>
      <c r="AC55" s="285"/>
      <c r="AD55" s="285"/>
      <c r="AE55" s="285"/>
      <c r="AF55" s="285"/>
      <c r="AG55" s="601"/>
      <c r="AH55" s="11"/>
      <c r="AI55" s="11"/>
      <c r="AJ55" s="11"/>
      <c r="AK55" s="11"/>
      <c r="AL55" s="11"/>
      <c r="AM55" s="11"/>
      <c r="AN55" s="11"/>
    </row>
    <row r="56" spans="1:40" ht="15" customHeight="1">
      <c r="A56" s="1057"/>
      <c r="C56" s="522" t="s">
        <v>501</v>
      </c>
      <c r="D56" s="484">
        <v>0.19</v>
      </c>
      <c r="E56" s="487">
        <v>0.21</v>
      </c>
      <c r="F56" s="521" t="s">
        <v>502</v>
      </c>
      <c r="G56" s="285"/>
      <c r="I56" s="285"/>
      <c r="K56" s="285"/>
      <c r="L56" s="285"/>
      <c r="M56" s="285"/>
      <c r="N56" s="285"/>
      <c r="O56" s="285"/>
      <c r="P56" s="285"/>
      <c r="Q56" s="285"/>
      <c r="R56" s="285"/>
      <c r="S56" s="285"/>
      <c r="T56" s="285"/>
      <c r="U56" s="285"/>
      <c r="V56" s="285"/>
      <c r="W56" s="285"/>
      <c r="X56" s="285"/>
      <c r="Y56" s="285"/>
      <c r="Z56" s="285"/>
      <c r="AA56" s="285"/>
      <c r="AB56" s="285"/>
      <c r="AC56" s="285"/>
      <c r="AD56" s="285"/>
      <c r="AE56" s="285"/>
      <c r="AF56" s="285"/>
      <c r="AG56" s="601"/>
      <c r="AH56" s="11"/>
      <c r="AI56" s="11"/>
      <c r="AJ56" s="11"/>
      <c r="AK56" s="11"/>
      <c r="AL56" s="11"/>
      <c r="AM56" s="11"/>
      <c r="AN56" s="11"/>
    </row>
    <row r="57" spans="1:40" ht="15" customHeight="1">
      <c r="A57" s="1057"/>
      <c r="C57" s="501" t="s">
        <v>503</v>
      </c>
      <c r="D57" s="823">
        <f>C50+Assumptions!C23</f>
        <v>5.3500000000000006E-2</v>
      </c>
      <c r="E57" s="524">
        <f>C50</f>
        <v>3.6400000000000002E-2</v>
      </c>
      <c r="F57" s="523" t="s">
        <v>504</v>
      </c>
      <c r="G57" s="285"/>
      <c r="I57" s="285"/>
      <c r="J57" s="285"/>
      <c r="K57" s="285"/>
      <c r="L57" s="285"/>
      <c r="M57" s="285"/>
      <c r="N57" s="285"/>
      <c r="O57" s="285"/>
      <c r="P57" s="285"/>
      <c r="Q57" s="285"/>
      <c r="R57" s="285"/>
      <c r="S57" s="285"/>
      <c r="T57" s="285"/>
      <c r="U57" s="285"/>
      <c r="V57" s="285"/>
      <c r="W57" s="285"/>
      <c r="X57" s="285"/>
      <c r="Y57" s="285"/>
      <c r="Z57" s="285"/>
      <c r="AA57" s="285"/>
      <c r="AB57" s="285"/>
      <c r="AC57" s="285"/>
      <c r="AD57" s="285"/>
      <c r="AE57" s="285"/>
      <c r="AF57" s="285"/>
      <c r="AG57" s="601"/>
      <c r="AH57" s="11"/>
      <c r="AI57" s="11"/>
      <c r="AJ57" s="11"/>
      <c r="AK57" s="11"/>
      <c r="AL57" s="11"/>
      <c r="AM57" s="11"/>
      <c r="AN57" s="11"/>
    </row>
    <row r="58" spans="1:40" ht="15" customHeight="1">
      <c r="A58" s="1057"/>
      <c r="C58" s="522" t="s">
        <v>505</v>
      </c>
      <c r="D58" s="824">
        <v>3.6400000000000002E-2</v>
      </c>
      <c r="E58" s="487">
        <f>D58</f>
        <v>3.6400000000000002E-2</v>
      </c>
      <c r="F58" s="521" t="s">
        <v>506</v>
      </c>
      <c r="G58" s="285"/>
      <c r="H58" s="285"/>
      <c r="I58" s="287"/>
      <c r="J58" s="310"/>
      <c r="K58" s="310"/>
      <c r="L58" s="310"/>
      <c r="M58" s="310"/>
      <c r="N58" s="310"/>
      <c r="O58" s="285"/>
      <c r="P58" s="285"/>
      <c r="Q58" s="285"/>
      <c r="R58" s="285"/>
      <c r="S58" s="285"/>
      <c r="T58" s="285"/>
      <c r="U58" s="285"/>
      <c r="V58" s="285"/>
      <c r="W58" s="285"/>
      <c r="X58" s="285"/>
      <c r="Y58" s="285"/>
      <c r="Z58" s="285"/>
      <c r="AA58" s="285"/>
      <c r="AB58" s="285"/>
      <c r="AC58" s="285"/>
      <c r="AD58" s="285"/>
      <c r="AE58" s="285"/>
      <c r="AF58" s="285"/>
      <c r="AG58" s="601"/>
      <c r="AH58" s="11"/>
      <c r="AI58" s="11"/>
      <c r="AJ58" s="11"/>
      <c r="AK58" s="11"/>
      <c r="AL58" s="11"/>
      <c r="AM58" s="11"/>
      <c r="AN58" s="11"/>
    </row>
    <row r="59" spans="1:40" ht="15" customHeight="1">
      <c r="A59" s="1057"/>
      <c r="C59" s="501" t="s">
        <v>507</v>
      </c>
      <c r="D59" s="725" t="s">
        <v>508</v>
      </c>
      <c r="E59" s="725" t="s">
        <v>508</v>
      </c>
      <c r="F59" s="523" t="s">
        <v>509</v>
      </c>
      <c r="G59" s="285"/>
      <c r="I59" s="285"/>
      <c r="J59" s="311"/>
      <c r="K59" s="311"/>
      <c r="L59" s="311"/>
      <c r="M59" s="311"/>
      <c r="N59" s="310"/>
      <c r="O59" s="285"/>
      <c r="P59" s="285"/>
      <c r="Q59" s="285"/>
      <c r="R59" s="285"/>
      <c r="S59" s="285"/>
      <c r="T59" s="285"/>
      <c r="U59" s="285"/>
      <c r="V59" s="285"/>
      <c r="W59" s="285"/>
      <c r="X59" s="285"/>
      <c r="Y59" s="285"/>
      <c r="Z59" s="285"/>
      <c r="AA59" s="285"/>
      <c r="AB59" s="285"/>
      <c r="AC59" s="285"/>
      <c r="AD59" s="285"/>
      <c r="AE59" s="285"/>
      <c r="AF59" s="285"/>
      <c r="AG59" s="601"/>
      <c r="AH59" s="11"/>
      <c r="AI59" s="11"/>
      <c r="AJ59" s="11"/>
      <c r="AK59" s="11"/>
      <c r="AL59" s="11"/>
      <c r="AM59" s="11"/>
      <c r="AN59" s="11"/>
    </row>
    <row r="60" spans="1:40" ht="15" customHeight="1">
      <c r="A60" s="1057"/>
      <c r="C60" s="517" t="s">
        <v>510</v>
      </c>
      <c r="D60" s="709">
        <f>Assumptions!L31</f>
        <v>-0.22120215944021379</v>
      </c>
      <c r="E60" s="709">
        <f>D60</f>
        <v>-0.22120215944021379</v>
      </c>
      <c r="F60" s="525" t="s">
        <v>511</v>
      </c>
      <c r="G60" s="285"/>
      <c r="H60" s="285"/>
      <c r="I60" s="285"/>
      <c r="J60" s="310"/>
      <c r="K60" s="310"/>
      <c r="L60" s="310"/>
      <c r="M60" s="310"/>
      <c r="N60" s="310"/>
      <c r="O60" s="285"/>
      <c r="P60" s="285"/>
      <c r="Q60" s="285"/>
      <c r="R60" s="285"/>
      <c r="S60" s="285"/>
      <c r="T60" s="285"/>
      <c r="U60" s="285"/>
      <c r="V60" s="285"/>
      <c r="W60" s="285"/>
      <c r="X60" s="285"/>
      <c r="Y60" s="285"/>
      <c r="Z60" s="285"/>
      <c r="AA60" s="285"/>
      <c r="AB60" s="285"/>
      <c r="AC60" s="285"/>
      <c r="AD60" s="285"/>
      <c r="AE60" s="285"/>
      <c r="AF60" s="285"/>
      <c r="AG60" s="601"/>
      <c r="AH60" s="11"/>
      <c r="AI60" s="11"/>
      <c r="AJ60" s="11"/>
      <c r="AK60" s="11"/>
      <c r="AL60" s="11"/>
      <c r="AM60" s="11"/>
      <c r="AN60" s="11"/>
    </row>
    <row r="61" spans="1:40" ht="15" customHeight="1">
      <c r="A61" s="1057"/>
      <c r="C61" s="526" t="s">
        <v>512</v>
      </c>
      <c r="D61" s="534" t="s">
        <v>513</v>
      </c>
      <c r="E61" s="534" t="s">
        <v>513</v>
      </c>
      <c r="F61" s="521" t="s">
        <v>514</v>
      </c>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601"/>
      <c r="AH61" s="11"/>
      <c r="AI61" s="11"/>
      <c r="AJ61" s="11"/>
      <c r="AK61" s="11"/>
      <c r="AL61" s="11"/>
      <c r="AM61" s="11"/>
      <c r="AN61" s="11"/>
    </row>
    <row r="62" spans="1:40" ht="15" customHeight="1">
      <c r="A62" s="1057"/>
      <c r="C62" s="526" t="s">
        <v>515</v>
      </c>
      <c r="D62" s="704">
        <f>Inputs!AH37</f>
        <v>1.4527824620573355</v>
      </c>
      <c r="E62" s="825">
        <v>1</v>
      </c>
      <c r="F62" s="521" t="s">
        <v>516</v>
      </c>
      <c r="G62" s="822" t="s">
        <v>517</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601"/>
      <c r="AH62" s="11"/>
      <c r="AI62" s="11"/>
      <c r="AJ62" s="11"/>
      <c r="AK62" s="11"/>
      <c r="AL62" s="11"/>
      <c r="AM62" s="11"/>
      <c r="AN62" s="11"/>
    </row>
    <row r="63" spans="1:40" ht="15" customHeight="1">
      <c r="A63" s="1057"/>
      <c r="C63" s="526" t="s">
        <v>518</v>
      </c>
      <c r="D63" s="711">
        <f>AVERAGE(Inputs!AH49:AJ49)</f>
        <v>3.8142524234502005E-2</v>
      </c>
      <c r="E63" s="711">
        <f>D63</f>
        <v>3.8142524234502005E-2</v>
      </c>
      <c r="F63" s="521" t="s">
        <v>516</v>
      </c>
      <c r="G63" s="285" t="s">
        <v>519</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601"/>
      <c r="AH63" s="11"/>
      <c r="AI63" s="11"/>
      <c r="AJ63" s="11"/>
      <c r="AK63" s="11"/>
      <c r="AL63" s="11"/>
      <c r="AM63" s="11"/>
      <c r="AN63" s="11"/>
    </row>
    <row r="64" spans="1:40" ht="15" customHeight="1">
      <c r="A64" s="1057"/>
      <c r="C64" s="526" t="s">
        <v>142</v>
      </c>
      <c r="D64" s="534">
        <f>Assumptions!C24</f>
        <v>0.3</v>
      </c>
      <c r="E64" s="715">
        <v>0.4</v>
      </c>
      <c r="F64" s="521" t="s">
        <v>520</v>
      </c>
      <c r="G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row>
    <row r="65" spans="1:33" ht="15" customHeight="1">
      <c r="A65" s="1057"/>
      <c r="C65" s="526" t="s">
        <v>521</v>
      </c>
      <c r="D65" s="535">
        <v>0</v>
      </c>
      <c r="E65" s="716">
        <v>0</v>
      </c>
      <c r="F65" s="521" t="s">
        <v>520</v>
      </c>
      <c r="G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row>
    <row r="66" spans="1:33" ht="15" customHeight="1">
      <c r="A66" s="1057"/>
      <c r="C66" s="526" t="s">
        <v>522</v>
      </c>
      <c r="D66" s="710">
        <f>Assumptions!F40</f>
        <v>2.4028132110436345E-2</v>
      </c>
      <c r="E66" s="710">
        <f>D66</f>
        <v>2.4028132110436345E-2</v>
      </c>
      <c r="F66" s="521" t="s">
        <v>516</v>
      </c>
      <c r="G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row>
    <row r="67" spans="1:33" ht="15.75" customHeight="1">
      <c r="A67" s="1058"/>
      <c r="C67" s="526" t="s">
        <v>523</v>
      </c>
      <c r="D67" s="490" t="s">
        <v>513</v>
      </c>
      <c r="E67" s="490" t="s">
        <v>513</v>
      </c>
      <c r="F67" s="521" t="s">
        <v>524</v>
      </c>
      <c r="G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row>
    <row r="68" spans="1:33" ht="15">
      <c r="A68" s="285"/>
      <c r="C68" s="285"/>
      <c r="D68" s="285"/>
      <c r="E68" s="285"/>
      <c r="F68" s="285"/>
      <c r="G68" s="285"/>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row>
    <row r="69" spans="1:33" ht="15">
      <c r="A69" s="1056" t="s">
        <v>119</v>
      </c>
      <c r="C69" s="365"/>
      <c r="D69" s="493" t="s">
        <v>525</v>
      </c>
      <c r="E69" s="2"/>
      <c r="G69" s="285"/>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row>
    <row r="70" spans="1:33" ht="15">
      <c r="A70" s="1057"/>
      <c r="C70" s="365" t="s">
        <v>526</v>
      </c>
      <c r="D70" s="494">
        <f>SUMPRODUCT(G35:AF35,G45:AF45)+((AF43-AF44)*AF45)</f>
        <v>8621.3721395357952</v>
      </c>
      <c r="E70" s="437">
        <f>D70/D72</f>
        <v>0.59634273122631065</v>
      </c>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row>
    <row r="71" spans="1:33" ht="15">
      <c r="A71" s="1057"/>
      <c r="C71" s="365" t="s">
        <v>527</v>
      </c>
      <c r="D71" s="494">
        <f>(AF34/(F50-AF5))*AF45</f>
        <v>5835.7037802241894</v>
      </c>
      <c r="E71" s="437">
        <f>D71/D72</f>
        <v>0.40365726877368946</v>
      </c>
      <c r="G71" s="285"/>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row>
    <row r="72" spans="1:33" ht="15">
      <c r="A72" s="1057"/>
      <c r="C72" s="365" t="s">
        <v>528</v>
      </c>
      <c r="D72" s="494">
        <f>D70+D71</f>
        <v>14457.075919759984</v>
      </c>
      <c r="E72" s="2"/>
      <c r="G72" s="285"/>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row>
    <row r="73" spans="1:33" ht="15">
      <c r="A73" s="1057"/>
      <c r="C73" s="816" t="s">
        <v>529</v>
      </c>
      <c r="D73" s="817">
        <f>OP!C19</f>
        <v>14.74</v>
      </c>
      <c r="E73" s="366"/>
      <c r="G73" s="285"/>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row>
    <row r="74" spans="1:33" ht="15">
      <c r="A74" s="1057"/>
      <c r="C74" s="816" t="s">
        <v>530</v>
      </c>
      <c r="D74" s="495">
        <f>D75/D73-1</f>
        <v>-5.7127935561354204E-2</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row>
    <row r="75" spans="1:33" ht="15">
      <c r="A75" s="1058"/>
      <c r="C75" s="496" t="s">
        <v>531</v>
      </c>
      <c r="D75" s="497">
        <f>D72*1000000/OP!C20</f>
        <v>13.897934229825639</v>
      </c>
    </row>
    <row r="76" spans="1:33" ht="15">
      <c r="A76" s="470"/>
      <c r="C76" s="366"/>
      <c r="D76" s="818"/>
    </row>
    <row r="77" spans="1:33" ht="15">
      <c r="A77" s="1052" t="s">
        <v>532</v>
      </c>
      <c r="C77" s="516" t="s">
        <v>533</v>
      </c>
      <c r="D77" s="817">
        <f>(SUMPRODUCT(G35:AF35,G45:AF45)+((AF43-AF44)*AF45)+(AF34/(F50+0.001-AF5))*AF45)*1000000/OP!C20</f>
        <v>13.844095437380268</v>
      </c>
      <c r="E77" s="498">
        <f>D77/D75-1</f>
        <v>-3.8738701417819765E-3</v>
      </c>
    </row>
    <row r="78" spans="1:33" ht="15">
      <c r="A78" s="1053"/>
      <c r="C78" s="516" t="s">
        <v>534</v>
      </c>
      <c r="D78" s="817">
        <f>(SUMPRODUCT(G35:AF35,G45:AF45)+((AF43-AF44)*AF45)+(AF34/(F50+0.005-AF5))*AF45)*1000000/OP!C20</f>
        <v>13.638691985241175</v>
      </c>
      <c r="E78" s="498">
        <f>D78/D75-1</f>
        <v>-1.8653293381408975E-2</v>
      </c>
    </row>
    <row r="79" spans="1:33" ht="15">
      <c r="A79" s="514"/>
      <c r="C79" s="515"/>
      <c r="D79" s="818"/>
      <c r="E79" s="498"/>
    </row>
    <row r="80" spans="1:33" ht="15">
      <c r="A80" s="527" t="s">
        <v>535</v>
      </c>
      <c r="J80" s="5"/>
    </row>
    <row r="81" spans="7:12">
      <c r="G81" s="1"/>
      <c r="H81" s="1"/>
      <c r="I81" s="1"/>
      <c r="J81" s="4"/>
    </row>
    <row r="82" spans="7:12">
      <c r="G82" s="1"/>
      <c r="H82" s="1"/>
      <c r="I82" s="1"/>
      <c r="J82" s="4"/>
    </row>
    <row r="83" spans="7:12">
      <c r="G83" s="1"/>
      <c r="H83" s="1"/>
      <c r="I83" s="1"/>
      <c r="K83" s="4"/>
    </row>
    <row r="84" spans="7:12">
      <c r="L84" s="5"/>
    </row>
    <row r="85" spans="7:12">
      <c r="G85" s="1"/>
      <c r="H85" s="1"/>
      <c r="I85" s="1"/>
    </row>
    <row r="86" spans="7:12">
      <c r="G86" s="1"/>
      <c r="H86" s="1"/>
      <c r="I86" s="1"/>
    </row>
    <row r="87" spans="7:12">
      <c r="G87" s="1"/>
      <c r="H87" s="1"/>
      <c r="I87" s="1"/>
    </row>
  </sheetData>
  <mergeCells count="15">
    <mergeCell ref="A33:AF33"/>
    <mergeCell ref="A77:A78"/>
    <mergeCell ref="A1:AF2"/>
    <mergeCell ref="A69:A75"/>
    <mergeCell ref="A5:A17"/>
    <mergeCell ref="A19:A32"/>
    <mergeCell ref="A43:A47"/>
    <mergeCell ref="A52:A67"/>
    <mergeCell ref="G3:J3"/>
    <mergeCell ref="K3:AF3"/>
    <mergeCell ref="A42:AF42"/>
    <mergeCell ref="A48:AF48"/>
    <mergeCell ref="A34:A36"/>
    <mergeCell ref="A38:A41"/>
    <mergeCell ref="A49:A50"/>
  </mergeCells>
  <phoneticPr fontId="0" type="noConversion"/>
  <conditionalFormatting sqref="D74">
    <cfRule type="cellIs" dxfId="1" priority="1" operator="lessThan">
      <formula>0</formula>
    </cfRule>
    <cfRule type="cellIs" dxfId="0" priority="2" operator="greaterThan">
      <formula>0%</formula>
    </cfRule>
  </conditionalFormatting>
  <pageMargins left="0.75" right="0.75" top="1" bottom="1" header="0" footer="0"/>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05099-728E-486F-9588-73AC32964E08}">
  <dimension ref="A5:AK159"/>
  <sheetViews>
    <sheetView zoomScaleNormal="100" workbookViewId="0">
      <selection activeCell="X134" sqref="X134"/>
    </sheetView>
  </sheetViews>
  <sheetFormatPr defaultColWidth="8.85546875" defaultRowHeight="12.75"/>
  <cols>
    <col min="2" max="2" width="29.140625" bestFit="1" customWidth="1"/>
    <col min="3" max="3" width="36" bestFit="1" customWidth="1"/>
    <col min="4" max="4" width="14" bestFit="1" customWidth="1"/>
    <col min="5" max="5" width="28" bestFit="1" customWidth="1"/>
    <col min="6" max="7" width="10.7109375" bestFit="1" customWidth="1"/>
    <col min="8" max="8" width="14" bestFit="1" customWidth="1"/>
    <col min="9" max="11" width="10.7109375" bestFit="1" customWidth="1"/>
  </cols>
  <sheetData>
    <row r="5" spans="2:37" ht="25.5">
      <c r="C5" s="593" t="s">
        <v>536</v>
      </c>
      <c r="D5" t="s">
        <v>537</v>
      </c>
    </row>
    <row r="6" spans="2:37" ht="13.5" thickBot="1">
      <c r="B6" t="s">
        <v>538</v>
      </c>
      <c r="C6" s="351">
        <f>Peers!K10</f>
        <v>6.899540709326306E-3</v>
      </c>
      <c r="D6" s="351">
        <v>1.0200000000000001E-2</v>
      </c>
    </row>
    <row r="7" spans="2:37" ht="13.5" thickBot="1">
      <c r="B7" t="s">
        <v>539</v>
      </c>
      <c r="C7" s="351">
        <v>0.16900000000000001</v>
      </c>
      <c r="I7" s="323" t="s">
        <v>435</v>
      </c>
      <c r="J7" s="323" t="s">
        <v>436</v>
      </c>
      <c r="K7" s="324" t="s">
        <v>437</v>
      </c>
      <c r="L7" s="323">
        <v>2023</v>
      </c>
      <c r="M7" s="323">
        <f>L7+1</f>
        <v>2024</v>
      </c>
      <c r="N7" s="323">
        <f t="shared" ref="N7:AK7" si="0">M7+1</f>
        <v>2025</v>
      </c>
      <c r="O7" s="324">
        <f t="shared" si="0"/>
        <v>2026</v>
      </c>
      <c r="P7" s="325">
        <f t="shared" si="0"/>
        <v>2027</v>
      </c>
      <c r="Q7" s="325">
        <f t="shared" si="0"/>
        <v>2028</v>
      </c>
      <c r="R7" s="325">
        <f t="shared" si="0"/>
        <v>2029</v>
      </c>
      <c r="S7" s="325">
        <f t="shared" si="0"/>
        <v>2030</v>
      </c>
      <c r="T7" s="325">
        <f t="shared" si="0"/>
        <v>2031</v>
      </c>
      <c r="U7" s="325">
        <f t="shared" si="0"/>
        <v>2032</v>
      </c>
      <c r="V7" s="325">
        <f t="shared" si="0"/>
        <v>2033</v>
      </c>
      <c r="W7" s="325">
        <f t="shared" si="0"/>
        <v>2034</v>
      </c>
      <c r="X7" s="325">
        <f t="shared" si="0"/>
        <v>2035</v>
      </c>
      <c r="Y7" s="325">
        <f t="shared" si="0"/>
        <v>2036</v>
      </c>
      <c r="Z7" s="325">
        <f t="shared" si="0"/>
        <v>2037</v>
      </c>
      <c r="AA7" s="325">
        <f t="shared" si="0"/>
        <v>2038</v>
      </c>
      <c r="AB7" s="325">
        <f t="shared" si="0"/>
        <v>2039</v>
      </c>
      <c r="AC7" s="325">
        <f t="shared" si="0"/>
        <v>2040</v>
      </c>
      <c r="AD7" s="325">
        <f t="shared" si="0"/>
        <v>2041</v>
      </c>
      <c r="AE7" s="325">
        <f t="shared" si="0"/>
        <v>2042</v>
      </c>
      <c r="AF7" s="325">
        <f t="shared" si="0"/>
        <v>2043</v>
      </c>
      <c r="AG7" s="325">
        <f t="shared" si="0"/>
        <v>2044</v>
      </c>
      <c r="AH7" s="325">
        <f t="shared" si="0"/>
        <v>2045</v>
      </c>
      <c r="AI7" s="325">
        <f t="shared" si="0"/>
        <v>2046</v>
      </c>
      <c r="AJ7" s="325">
        <f t="shared" si="0"/>
        <v>2047</v>
      </c>
      <c r="AK7" s="326">
        <f t="shared" si="0"/>
        <v>2048</v>
      </c>
    </row>
    <row r="8" spans="2:37" ht="16.5" thickTop="1" thickBot="1">
      <c r="B8" t="s">
        <v>540</v>
      </c>
      <c r="C8" s="351">
        <v>2.5000000000000001E-2</v>
      </c>
      <c r="G8" s="842" t="s">
        <v>541</v>
      </c>
      <c r="H8" s="312" t="s">
        <v>440</v>
      </c>
      <c r="I8" s="682">
        <f>DCF!D6</f>
        <v>1731</v>
      </c>
      <c r="J8" s="682">
        <f>DCF!E6</f>
        <v>1758</v>
      </c>
      <c r="K8" s="682">
        <f>DCF!F6</f>
        <v>2372</v>
      </c>
      <c r="L8">
        <f>K8*1.25</f>
        <v>2965</v>
      </c>
      <c r="M8" s="685">
        <f>L8*1.225</f>
        <v>3632.1250000000005</v>
      </c>
      <c r="N8" s="685">
        <f>M8*1.2</f>
        <v>4358.55</v>
      </c>
      <c r="O8" s="685">
        <f>N8*(1+($C$6*(1+$C$7))+$C$8+$C$9)</f>
        <v>5156.4504100024424</v>
      </c>
      <c r="P8" s="685">
        <f>O8*(1+($C$6*(1+$C$7))+$C$13+$C$10)</f>
        <v>5816.8141353009541</v>
      </c>
      <c r="Q8" s="685">
        <f>P8*(1+($C$6*(1+$C$7))+$C$13+$C$10)</f>
        <v>6561.7477129235031</v>
      </c>
      <c r="R8" s="685">
        <f>Q8*(1+($C$6*(1+$C$7))+$C$13+$C$10)</f>
        <v>7402.081628628338</v>
      </c>
      <c r="S8" s="685">
        <f>R8*(1+($C$6*(1+$C$7))+$C$13+$C$10)</f>
        <v>8350.0333804308666</v>
      </c>
      <c r="T8" s="685">
        <f>S8*(1+($C$6*(1+$C$7))+$C$13+$C$11)</f>
        <v>9001.8834380878379</v>
      </c>
      <c r="U8" s="685">
        <f>T8*(1+($C$6*(1+$C$7))+$C$13+$C$11)</f>
        <v>9704.6205375455302</v>
      </c>
      <c r="V8" s="685">
        <f>U8*(1+($C$6*(1+$C$7))+$C$13+$C$11)</f>
        <v>10462.21720437606</v>
      </c>
      <c r="W8" s="685">
        <f>V8*(1+($C$6*(1+$C$7))+$C$13+$C$11)</f>
        <v>11278.956081597218</v>
      </c>
      <c r="X8" s="685">
        <f>W8*(1+($C$6*(1+$C$7))+$C$13+$C$11)</f>
        <v>12159.454139165489</v>
      </c>
      <c r="Y8" s="685">
        <f>X8*(1+($C$6*(1+$C$7))+$C$13+$C$12)</f>
        <v>12804.702419917638</v>
      </c>
      <c r="Z8" s="685">
        <f>Y8*(1+($C$6*(1+$C$7))+$C$13+$C$12)</f>
        <v>13484.191164020238</v>
      </c>
      <c r="AA8" s="685">
        <f>Z8*(1+($C$6*(1+$C$7))+$C$13+$C$12)</f>
        <v>14199.737360941417</v>
      </c>
      <c r="AB8" s="685">
        <f>AA8*(1+($C$6*(1+$C$7))+$C$13+$C$12)</f>
        <v>14953.254419718556</v>
      </c>
      <c r="AC8" s="685">
        <f>AB8*(1+($C$6*(1+$C$7))+$C$13+$C$12)</f>
        <v>15746.757285517024</v>
      </c>
      <c r="AD8" s="685">
        <f t="shared" ref="AD8:AK8" si="1">AC8*(1+$C$13+0.5%)</f>
        <v>16140.426217654947</v>
      </c>
      <c r="AE8" s="685">
        <f t="shared" si="1"/>
        <v>16543.936873096318</v>
      </c>
      <c r="AF8" s="685">
        <f t="shared" si="1"/>
        <v>16957.535294923724</v>
      </c>
      <c r="AG8" s="685">
        <f t="shared" si="1"/>
        <v>17381.473677296817</v>
      </c>
      <c r="AH8" s="685">
        <f t="shared" si="1"/>
        <v>17816.010519229236</v>
      </c>
      <c r="AI8" s="685">
        <f t="shared" si="1"/>
        <v>18261.410782209965</v>
      </c>
      <c r="AJ8" s="685">
        <f t="shared" si="1"/>
        <v>18717.946051765211</v>
      </c>
      <c r="AK8" s="685">
        <f t="shared" si="1"/>
        <v>19185.894703059341</v>
      </c>
    </row>
    <row r="9" spans="2:37" ht="13.5" thickTop="1">
      <c r="B9" s="11" t="s">
        <v>542</v>
      </c>
      <c r="C9" s="186">
        <v>0.15</v>
      </c>
      <c r="G9" s="842"/>
      <c r="H9" s="312" t="s">
        <v>543</v>
      </c>
      <c r="L9" s="330">
        <f t="shared" ref="L9:T9" si="2">L8/K8-1</f>
        <v>0.25</v>
      </c>
      <c r="M9" s="330">
        <f t="shared" si="2"/>
        <v>0.22500000000000009</v>
      </c>
      <c r="N9" s="330">
        <f t="shared" si="2"/>
        <v>0.19999999999999996</v>
      </c>
      <c r="O9" s="330">
        <f t="shared" si="2"/>
        <v>0.18306556308920219</v>
      </c>
      <c r="P9" s="330">
        <f t="shared" si="2"/>
        <v>0.12806556308920247</v>
      </c>
      <c r="Q9" s="330">
        <f t="shared" si="2"/>
        <v>0.12806556308920247</v>
      </c>
      <c r="R9" s="330">
        <f t="shared" si="2"/>
        <v>0.12806556308920247</v>
      </c>
      <c r="S9" s="330">
        <f t="shared" si="2"/>
        <v>0.12806556308920247</v>
      </c>
      <c r="T9" s="330">
        <f t="shared" si="2"/>
        <v>7.8065563089202428E-2</v>
      </c>
      <c r="U9" s="330">
        <f t="shared" ref="U9:AK9" si="3">U8/T8-1</f>
        <v>7.8065563089202428E-2</v>
      </c>
      <c r="V9" s="330">
        <f t="shared" si="3"/>
        <v>7.8065563089202428E-2</v>
      </c>
      <c r="W9" s="330">
        <f t="shared" si="3"/>
        <v>7.8065563089202428E-2</v>
      </c>
      <c r="X9" s="330">
        <f t="shared" si="3"/>
        <v>7.8065563089202428E-2</v>
      </c>
      <c r="Y9" s="330">
        <f>Y8/X8-1</f>
        <v>5.3065563089202294E-2</v>
      </c>
      <c r="Z9" s="330">
        <f t="shared" si="3"/>
        <v>5.3065563089202294E-2</v>
      </c>
      <c r="AA9" s="330">
        <f t="shared" si="3"/>
        <v>5.3065563089202294E-2</v>
      </c>
      <c r="AB9" s="330">
        <f t="shared" si="3"/>
        <v>5.3065563089202294E-2</v>
      </c>
      <c r="AC9" s="330">
        <f t="shared" si="3"/>
        <v>5.3065563089202294E-2</v>
      </c>
      <c r="AD9" s="330">
        <f t="shared" si="3"/>
        <v>2.4999999999999911E-2</v>
      </c>
      <c r="AE9" s="330">
        <f t="shared" si="3"/>
        <v>2.4999999999999911E-2</v>
      </c>
      <c r="AF9" s="330">
        <f t="shared" si="3"/>
        <v>2.4999999999999911E-2</v>
      </c>
      <c r="AG9" s="330">
        <f t="shared" si="3"/>
        <v>2.4999999999999911E-2</v>
      </c>
      <c r="AH9" s="330">
        <f t="shared" si="3"/>
        <v>2.4999999999999911E-2</v>
      </c>
      <c r="AI9" s="330">
        <f t="shared" si="3"/>
        <v>2.4999999999999911E-2</v>
      </c>
      <c r="AJ9" s="330">
        <f t="shared" si="3"/>
        <v>2.4999999999999911E-2</v>
      </c>
      <c r="AK9" s="330">
        <f t="shared" si="3"/>
        <v>2.4999999999999911E-2</v>
      </c>
    </row>
    <row r="10" spans="2:37">
      <c r="B10" s="11" t="s">
        <v>544</v>
      </c>
      <c r="C10" s="684">
        <f>C9-5%</f>
        <v>9.9999999999999992E-2</v>
      </c>
    </row>
    <row r="11" spans="2:37">
      <c r="B11" t="s">
        <v>545</v>
      </c>
      <c r="C11" s="684">
        <f>C10-5%</f>
        <v>4.9999999999999989E-2</v>
      </c>
      <c r="G11" s="842" t="s">
        <v>546</v>
      </c>
      <c r="H11" s="312" t="s">
        <v>440</v>
      </c>
      <c r="L11" s="685">
        <f>K8*(1+(Assumptions!C6*0.084)+$C$8)</f>
        <v>2432.6747196872516</v>
      </c>
      <c r="M11" s="685">
        <f>L11*(1+(Assumptions!$C$6*0.084)+$C$8)</f>
        <v>2494.9014720933592</v>
      </c>
      <c r="N11" s="685">
        <f>M11*(1+(Assumptions!$C$6*0.084)+$C$8)</f>
        <v>2558.7199575345799</v>
      </c>
      <c r="O11" s="685">
        <f>N11*(1+(Assumptions!$C$6*0.084)+$C$8)</f>
        <v>2624.1708918438494</v>
      </c>
      <c r="P11" s="685">
        <f>O11*(1+(Assumptions!$C$6*0.084)+$C$8)</f>
        <v>2691.2960323472516</v>
      </c>
      <c r="Q11" s="685">
        <f>P11*(1+(Assumptions!$C$6*0.084)+$C$8)</f>
        <v>2760.138204504959</v>
      </c>
      <c r="R11" s="685">
        <f>Q11*(1+(Assumptions!$C$6*0.084)+$C$8)</f>
        <v>2830.7413292336319</v>
      </c>
      <c r="S11" s="685">
        <f>R11*(1+(Assumptions!$C$6*0.084)+$C$8)</f>
        <v>2903.1504509277165</v>
      </c>
      <c r="T11" s="685">
        <f>S11*(1+(Assumptions!$C$6*0.084)+$C$8)</f>
        <v>2977.4117661975129</v>
      </c>
      <c r="U11" s="685">
        <f>T11*(1+(Assumptions!$C$6*0.084)+$C$8)</f>
        <v>3053.5726533423522</v>
      </c>
      <c r="V11" s="685">
        <f>U11*(1+(Assumptions!$C$6*0.084)+$C$8)</f>
        <v>3131.6817025776827</v>
      </c>
      <c r="W11" s="685">
        <f>V11*(1+(Assumptions!$C$6*0.084)+$C$8)</f>
        <v>3211.7887470353535</v>
      </c>
      <c r="X11" s="685">
        <f>W11*(1+(Assumptions!$C$6*0.084)+$C$8)</f>
        <v>3293.9448945568706</v>
      </c>
      <c r="Y11" s="685">
        <f>X11*(1+(Assumptions!$C$6*0.084)+$C$8)</f>
        <v>3378.2025602999111</v>
      </c>
      <c r="Z11" s="685">
        <f>Y11*(1+(Assumptions!$C$6*0.084)+$C$8)</f>
        <v>3464.6155001788961</v>
      </c>
      <c r="AA11" s="685">
        <f>Z11*(1+(Assumptions!$C$6*0.084)+$C$8)</f>
        <v>3553.2388451609627</v>
      </c>
      <c r="AB11" s="685">
        <f>AA11*(1+(Assumptions!$C$6*0.084)+$C$8)</f>
        <v>3644.1291364392068</v>
      </c>
      <c r="AC11" s="685">
        <f>AB11*(1+(Assumptions!$C$6*0.02)+$C$8)</f>
        <v>3735.735221196725</v>
      </c>
      <c r="AD11" s="685">
        <f>AC11*(1+(Assumptions!$C$6*0.02)+$C$8)</f>
        <v>3829.6440988714012</v>
      </c>
      <c r="AE11" s="685">
        <f>AD11*(1+(Assumptions!$C$6*0.02)+$C$8)</f>
        <v>3925.9136570504338</v>
      </c>
      <c r="AF11" s="685">
        <f>AE11*(1+(Assumptions!$C$6*0.02)+$C$8)</f>
        <v>4024.6032384986565</v>
      </c>
      <c r="AG11" s="685">
        <f>AF11*(1+(Assumptions!$C$6*0.02)+$C$8)</f>
        <v>4125.7736777387809</v>
      </c>
      <c r="AH11" s="685">
        <f>AG11*(1+(Assumptions!$C$6*0.02)+$C$8)</f>
        <v>4229.487338551191</v>
      </c>
      <c r="AI11" s="685">
        <f>AH11*(1+(Assumptions!$C$6*0.02)+$C$8)</f>
        <v>4335.808152416409</v>
      </c>
      <c r="AJ11" s="685">
        <f>AI11*(1+(Assumptions!$C$6*0.02)+$C$8)</f>
        <v>4444.8016579239275</v>
      </c>
      <c r="AK11" s="685">
        <f>AJ11*(1+(Assumptions!$C$6*0.02)+$C$8)</f>
        <v>4556.5350411717</v>
      </c>
    </row>
    <row r="12" spans="2:37">
      <c r="B12" t="s">
        <v>547</v>
      </c>
      <c r="C12" s="684">
        <f>C11/2</f>
        <v>2.4999999999999994E-2</v>
      </c>
      <c r="G12" s="842"/>
      <c r="H12" s="312" t="s">
        <v>543</v>
      </c>
      <c r="L12" s="330">
        <f>L11/K8-1</f>
        <v>2.5579561419583285E-2</v>
      </c>
      <c r="M12" s="330">
        <f>M11/L11-1</f>
        <v>2.5579561419583285E-2</v>
      </c>
      <c r="N12" s="330">
        <f t="shared" ref="N12:S12" si="4">N11/M11-1</f>
        <v>2.5579561419583285E-2</v>
      </c>
      <c r="O12" s="330">
        <f>O11/N11-1</f>
        <v>2.5579561419583285E-2</v>
      </c>
      <c r="P12" s="330">
        <f t="shared" si="4"/>
        <v>2.5579561419583285E-2</v>
      </c>
      <c r="Q12" s="330">
        <f t="shared" si="4"/>
        <v>2.5579561419583285E-2</v>
      </c>
      <c r="R12" s="330">
        <f t="shared" si="4"/>
        <v>2.5579561419583285E-2</v>
      </c>
      <c r="S12" s="330">
        <f t="shared" si="4"/>
        <v>2.5579561419583285E-2</v>
      </c>
      <c r="T12" s="330">
        <f t="shared" ref="T12" si="5">T11/S11-1</f>
        <v>2.5579561419583285E-2</v>
      </c>
      <c r="U12" s="330">
        <f t="shared" ref="U12" si="6">U11/T11-1</f>
        <v>2.5579561419583285E-2</v>
      </c>
      <c r="V12" s="330">
        <f t="shared" ref="V12" si="7">V11/U11-1</f>
        <v>2.5579561419583285E-2</v>
      </c>
      <c r="W12" s="330">
        <f t="shared" ref="W12" si="8">W11/V11-1</f>
        <v>2.5579561419583285E-2</v>
      </c>
      <c r="X12" s="330">
        <f t="shared" ref="X12" si="9">X11/W11-1</f>
        <v>2.5579561419583285E-2</v>
      </c>
      <c r="Y12" s="330">
        <f t="shared" ref="Y12" si="10">Y11/X11-1</f>
        <v>2.5579561419583285E-2</v>
      </c>
      <c r="Z12" s="330">
        <f t="shared" ref="Z12" si="11">Z11/Y11-1</f>
        <v>2.5579561419583285E-2</v>
      </c>
      <c r="AA12" s="330">
        <f t="shared" ref="AA12" si="12">AA11/Z11-1</f>
        <v>2.5579561419583285E-2</v>
      </c>
      <c r="AB12" s="330">
        <f t="shared" ref="AB12:AC12" si="13">AB11/AA11-1</f>
        <v>2.5579561419583285E-2</v>
      </c>
      <c r="AC12" s="330">
        <f t="shared" si="13"/>
        <v>2.5137990814186439E-2</v>
      </c>
      <c r="AD12" s="330">
        <f t="shared" ref="AD12" si="14">AD11/AC11-1</f>
        <v>2.5137990814186439E-2</v>
      </c>
      <c r="AE12" s="330">
        <f t="shared" ref="AE12" si="15">AE11/AD11-1</f>
        <v>2.5137990814186439E-2</v>
      </c>
      <c r="AF12" s="330">
        <f t="shared" ref="AF12" si="16">AF11/AE11-1</f>
        <v>2.5137990814186439E-2</v>
      </c>
      <c r="AG12" s="330">
        <f t="shared" ref="AG12" si="17">AG11/AF11-1</f>
        <v>2.5137990814186439E-2</v>
      </c>
      <c r="AH12" s="330">
        <f t="shared" ref="AH12" si="18">AH11/AG11-1</f>
        <v>2.5137990814186439E-2</v>
      </c>
      <c r="AI12" s="330">
        <f t="shared" ref="AI12" si="19">AI11/AH11-1</f>
        <v>2.5137990814186439E-2</v>
      </c>
      <c r="AJ12" s="330">
        <f t="shared" ref="AJ12" si="20">AJ11/AI11-1</f>
        <v>2.5137990814186439E-2</v>
      </c>
      <c r="AK12" s="330">
        <f t="shared" ref="AK12" si="21">AK11/AJ11-1</f>
        <v>2.5137990814186439E-2</v>
      </c>
    </row>
    <row r="13" spans="2:37">
      <c r="B13" t="s">
        <v>548</v>
      </c>
      <c r="C13" s="186">
        <v>0.02</v>
      </c>
    </row>
    <row r="14" spans="2:37">
      <c r="C14" s="186"/>
      <c r="H14" s="686" t="s">
        <v>549</v>
      </c>
      <c r="I14" s="330">
        <f>DCF!D7</f>
        <v>0.60889659156556908</v>
      </c>
      <c r="J14" s="330">
        <f>DCF!E7</f>
        <v>0.6547212741751991</v>
      </c>
      <c r="K14" s="330">
        <f>DCF!F7</f>
        <v>0.5950674536256324</v>
      </c>
      <c r="L14" s="712">
        <f>DCF!G7</f>
        <v>0.61956177312213356</v>
      </c>
      <c r="M14" s="713">
        <f>DCF!H7</f>
        <v>0.61956177312213356</v>
      </c>
      <c r="N14" s="713">
        <f>M14</f>
        <v>0.61956177312213356</v>
      </c>
      <c r="O14" s="713">
        <f>N14</f>
        <v>0.61956177312213356</v>
      </c>
      <c r="P14" s="713">
        <v>0.5</v>
      </c>
      <c r="Q14" s="713">
        <v>0.5</v>
      </c>
      <c r="R14" s="713">
        <v>0.5</v>
      </c>
      <c r="S14" s="714">
        <v>0.5</v>
      </c>
      <c r="T14" s="330">
        <v>0.45</v>
      </c>
      <c r="U14" s="330">
        <v>0.45</v>
      </c>
      <c r="V14" s="330">
        <v>0.45</v>
      </c>
      <c r="W14" s="330">
        <v>0.45</v>
      </c>
      <c r="X14" s="330">
        <v>0.45</v>
      </c>
      <c r="Y14" s="330">
        <v>0.35</v>
      </c>
      <c r="Z14" s="330">
        <v>0.35</v>
      </c>
      <c r="AA14" s="330">
        <v>0.35</v>
      </c>
      <c r="AB14" s="330">
        <v>0.35</v>
      </c>
      <c r="AC14" s="330">
        <v>0.27</v>
      </c>
      <c r="AD14" s="330">
        <v>0.27</v>
      </c>
      <c r="AE14" s="330">
        <v>0.27</v>
      </c>
      <c r="AF14" s="330">
        <v>0.27</v>
      </c>
      <c r="AG14" s="330">
        <v>0.27</v>
      </c>
      <c r="AH14" s="330">
        <v>0.27</v>
      </c>
      <c r="AI14" s="330">
        <v>0.27</v>
      </c>
      <c r="AJ14" s="330">
        <v>0.27</v>
      </c>
      <c r="AK14" s="330">
        <v>0.27</v>
      </c>
    </row>
    <row r="15" spans="2:37">
      <c r="H15" s="686" t="s">
        <v>550</v>
      </c>
      <c r="L15" s="1080">
        <f>L14-P14</f>
        <v>0.11956177312213356</v>
      </c>
      <c r="M15" s="1081"/>
      <c r="N15" s="1081"/>
      <c r="O15" s="1081"/>
      <c r="P15" s="1081"/>
      <c r="Q15" s="1081"/>
      <c r="R15" s="1081"/>
      <c r="S15" s="1082"/>
    </row>
    <row r="16" spans="2:37">
      <c r="L16" s="1080">
        <f>L15/4</f>
        <v>2.9890443280533391E-2</v>
      </c>
      <c r="M16" s="1081"/>
      <c r="N16" s="1081"/>
      <c r="O16" s="1081"/>
      <c r="P16" s="1081"/>
      <c r="Q16" s="1081"/>
      <c r="R16" s="1081"/>
      <c r="S16" s="1082"/>
    </row>
    <row r="17" spans="2:37">
      <c r="L17" s="1080">
        <f>L14-AC14</f>
        <v>0.34956177312213355</v>
      </c>
      <c r="M17" s="1081"/>
      <c r="N17" s="1081"/>
      <c r="O17" s="1081"/>
      <c r="P17" s="1081"/>
      <c r="Q17" s="1081"/>
      <c r="R17" s="1081"/>
      <c r="S17" s="1082"/>
    </row>
    <row r="18" spans="2:37" ht="13.5" thickBot="1">
      <c r="B18" t="s">
        <v>551</v>
      </c>
      <c r="C18" s="683">
        <v>0.2697</v>
      </c>
      <c r="L18" s="1083">
        <f>L17/COUNT(L14:AC14)</f>
        <v>1.9420098506785197E-2</v>
      </c>
      <c r="M18" s="1084"/>
      <c r="N18" s="1084"/>
      <c r="O18" s="1084"/>
      <c r="P18" s="1084"/>
      <c r="Q18" s="1084"/>
      <c r="R18" s="1084"/>
      <c r="S18" s="1085"/>
    </row>
    <row r="19" spans="2:37">
      <c r="F19" s="323">
        <v>2017</v>
      </c>
      <c r="G19" s="323">
        <v>2018</v>
      </c>
      <c r="H19" s="323">
        <v>2019</v>
      </c>
      <c r="I19" s="323" t="s">
        <v>435</v>
      </c>
      <c r="J19" s="323" t="s">
        <v>436</v>
      </c>
      <c r="K19" s="324" t="s">
        <v>437</v>
      </c>
    </row>
    <row r="20" spans="2:37">
      <c r="B20" s="11" t="s">
        <v>552</v>
      </c>
      <c r="C20" s="186">
        <f>AVERAGE(F24:K24)</f>
        <v>6.1527274141112122E-2</v>
      </c>
      <c r="E20" s="312" t="s">
        <v>553</v>
      </c>
      <c r="F20" s="680">
        <f>Inputs!AM23</f>
        <v>13185</v>
      </c>
      <c r="G20" s="680">
        <f>Inputs!AL23</f>
        <v>13922</v>
      </c>
      <c r="H20" s="680">
        <f>Inputs!AK23</f>
        <v>13264</v>
      </c>
      <c r="I20" s="680">
        <f>Inputs!AJ23</f>
        <v>13492</v>
      </c>
      <c r="J20" s="680">
        <f>Inputs!AI23</f>
        <v>14562</v>
      </c>
      <c r="K20" s="680">
        <f>Inputs!AH23</f>
        <v>17891</v>
      </c>
    </row>
    <row r="21" spans="2:37" ht="14.25">
      <c r="B21" s="11" t="s">
        <v>554</v>
      </c>
      <c r="C21" s="351">
        <f>AVERAGE(I26:K26)</f>
        <v>7.9095158361658022E-2</v>
      </c>
      <c r="E21" s="312" t="s">
        <v>555</v>
      </c>
      <c r="F21">
        <f>Inputs!AM24</f>
        <v>-4353</v>
      </c>
      <c r="G21">
        <f>Inputs!AL24</f>
        <v>-4974</v>
      </c>
      <c r="H21">
        <f>Inputs!AK24</f>
        <v>-4994</v>
      </c>
      <c r="I21">
        <f>Inputs!AJ24</f>
        <v>-4942</v>
      </c>
      <c r="J21">
        <f>Inputs!AI24</f>
        <v>-5546</v>
      </c>
      <c r="K21" s="22">
        <v>-6280</v>
      </c>
    </row>
    <row r="22" spans="2:37">
      <c r="E22" s="312" t="s">
        <v>556</v>
      </c>
      <c r="F22" s="680">
        <f>F20+F21</f>
        <v>8832</v>
      </c>
      <c r="G22" s="680">
        <f t="shared" ref="G22:K22" si="22">G20+G21</f>
        <v>8948</v>
      </c>
      <c r="H22" s="680">
        <f t="shared" si="22"/>
        <v>8270</v>
      </c>
      <c r="I22" s="680">
        <f t="shared" si="22"/>
        <v>8550</v>
      </c>
      <c r="J22" s="680">
        <f t="shared" si="22"/>
        <v>9016</v>
      </c>
      <c r="K22" s="680">
        <f t="shared" si="22"/>
        <v>11611</v>
      </c>
    </row>
    <row r="23" spans="2:37">
      <c r="B23" s="11" t="s">
        <v>557</v>
      </c>
      <c r="C23" s="351">
        <v>1.7100000000000001E-2</v>
      </c>
      <c r="E23" s="686" t="s">
        <v>558</v>
      </c>
      <c r="F23">
        <f>Inputs!AM26</f>
        <v>-530</v>
      </c>
      <c r="G23">
        <f>Inputs!AL26</f>
        <v>-554</v>
      </c>
      <c r="H23">
        <f>Inputs!AK26</f>
        <v>-551</v>
      </c>
      <c r="I23">
        <f>Inputs!AJ26</f>
        <v>-555</v>
      </c>
      <c r="J23">
        <f>Inputs!AI26</f>
        <v>-540</v>
      </c>
      <c r="K23">
        <f>Inputs!AH26</f>
        <v>-648</v>
      </c>
    </row>
    <row r="24" spans="2:37">
      <c r="B24" s="11" t="s">
        <v>559</v>
      </c>
      <c r="C24" s="186">
        <v>0.3</v>
      </c>
      <c r="E24" s="686" t="s">
        <v>560</v>
      </c>
      <c r="F24" s="683">
        <f>-F23/F22</f>
        <v>6.0009057971014496E-2</v>
      </c>
      <c r="G24" s="683">
        <f t="shared" ref="G24:K24" si="23">-G23/G22</f>
        <v>6.1913276709879304E-2</v>
      </c>
      <c r="H24" s="683">
        <f t="shared" si="23"/>
        <v>6.6626360338573151E-2</v>
      </c>
      <c r="I24" s="683">
        <f t="shared" si="23"/>
        <v>6.491228070175438E-2</v>
      </c>
      <c r="J24" s="683">
        <f t="shared" si="23"/>
        <v>5.9893522626441882E-2</v>
      </c>
      <c r="K24" s="683">
        <f t="shared" si="23"/>
        <v>5.580914649900956E-2</v>
      </c>
    </row>
    <row r="25" spans="2:37">
      <c r="B25" s="11" t="s">
        <v>561</v>
      </c>
      <c r="C25" s="186">
        <f>C24</f>
        <v>0.3</v>
      </c>
      <c r="E25" s="686" t="s">
        <v>562</v>
      </c>
      <c r="I25">
        <v>-16.8</v>
      </c>
      <c r="J25">
        <v>-18.399999999999999</v>
      </c>
      <c r="K25">
        <v>-23.9</v>
      </c>
    </row>
    <row r="26" spans="2:37">
      <c r="E26" s="686" t="s">
        <v>563</v>
      </c>
      <c r="I26" s="330">
        <f>-I25/DCF!D38</f>
        <v>5.3503184713375798E-2</v>
      </c>
      <c r="J26" s="330">
        <f>-J25/DCF!E38</f>
        <v>0.12105263157894736</v>
      </c>
      <c r="K26" s="330">
        <f>-K25/DCF!F38</f>
        <v>6.2729658792650911E-2</v>
      </c>
    </row>
    <row r="27" spans="2:37">
      <c r="D27" s="685"/>
    </row>
    <row r="28" spans="2:37">
      <c r="G28" s="842" t="s">
        <v>564</v>
      </c>
      <c r="H28" s="686" t="s">
        <v>565</v>
      </c>
      <c r="I28">
        <f>DCF!D17</f>
        <v>555.70000000000005</v>
      </c>
      <c r="J28">
        <f>DCF!E17</f>
        <v>655.4</v>
      </c>
      <c r="K28">
        <f>DCF!F17</f>
        <v>616.20000000000005</v>
      </c>
      <c r="L28">
        <f>DCF!G17</f>
        <v>902.56096041877208</v>
      </c>
      <c r="M28">
        <f>DCF!H17</f>
        <v>1150.0527900324514</v>
      </c>
      <c r="N28">
        <f>DCF!I17</f>
        <v>1356.6958182679273</v>
      </c>
      <c r="O28">
        <f>DCF!J17</f>
        <v>1601.9326640613194</v>
      </c>
      <c r="P28">
        <f>DCF!K17</f>
        <v>1863.5291939574658</v>
      </c>
      <c r="Q28">
        <f>DCF!L17</f>
        <v>2084.1240606753727</v>
      </c>
      <c r="R28">
        <f>DCF!M17</f>
        <v>2327.1875782536508</v>
      </c>
      <c r="S28">
        <f>DCF!N17</f>
        <v>2582.2623902747664</v>
      </c>
      <c r="T28">
        <f>DCF!O17</f>
        <v>2714.9384446219419</v>
      </c>
      <c r="U28">
        <f>DCF!P17</f>
        <v>2832.9247811217178</v>
      </c>
      <c r="V28">
        <f>DCF!Q17</f>
        <v>2953.3156563725429</v>
      </c>
      <c r="W28">
        <f>DCF!R17</f>
        <v>3075.9950836785747</v>
      </c>
      <c r="X28">
        <f>DCF!S17</f>
        <v>3191.7106305059924</v>
      </c>
      <c r="Y28">
        <f>DCF!T17</f>
        <v>3227.5711086897818</v>
      </c>
      <c r="Z28">
        <f>DCF!U17</f>
        <v>3250.6660982676663</v>
      </c>
      <c r="AA28">
        <f>DCF!V17</f>
        <v>3271.4777170770394</v>
      </c>
      <c r="AB28">
        <f>DCF!W17</f>
        <v>3290.6236668268657</v>
      </c>
      <c r="AC28">
        <f>DCF!X17</f>
        <v>3301.5639484286939</v>
      </c>
      <c r="AD28">
        <f>DCF!Y17</f>
        <v>2979.0841993204795</v>
      </c>
      <c r="AE28">
        <f>DCF!Z17</f>
        <v>3142.2442121333415</v>
      </c>
      <c r="AF28">
        <f>DCF!AA17</f>
        <v>3332.0878940398352</v>
      </c>
      <c r="AG28">
        <f>DCF!AB17</f>
        <v>3550.7934319448082</v>
      </c>
      <c r="AH28">
        <f>DCF!AC17</f>
        <v>3792.5570073202348</v>
      </c>
      <c r="AI28">
        <f>DCF!AD17</f>
        <v>4062.525529348336</v>
      </c>
      <c r="AJ28">
        <f>DCF!AE17</f>
        <v>4361.2578945119722</v>
      </c>
      <c r="AK28">
        <f>DCF!AF17</f>
        <v>4688.7609844482495</v>
      </c>
    </row>
    <row r="29" spans="2:37">
      <c r="G29" s="842"/>
      <c r="H29" s="686" t="s">
        <v>566</v>
      </c>
      <c r="I29" s="683">
        <f>275/I28</f>
        <v>0.49487133345330209</v>
      </c>
      <c r="J29" s="683">
        <f t="shared" ref="J29:AJ29" si="24">275/J28</f>
        <v>0.41959108941104672</v>
      </c>
      <c r="K29" s="683">
        <f t="shared" si="24"/>
        <v>0.44628367413177539</v>
      </c>
      <c r="L29" s="683">
        <f t="shared" si="24"/>
        <v>0.30468856072880102</v>
      </c>
      <c r="M29" s="683">
        <f t="shared" si="24"/>
        <v>0.23911945815308203</v>
      </c>
      <c r="N29" s="683">
        <f t="shared" si="24"/>
        <v>0.2026983471881621</v>
      </c>
      <c r="O29" s="683">
        <f t="shared" si="24"/>
        <v>0.17166764007595856</v>
      </c>
      <c r="P29" s="683">
        <f t="shared" si="24"/>
        <v>0.14756946169219862</v>
      </c>
      <c r="Q29" s="683">
        <f t="shared" si="24"/>
        <v>0.13194991852398874</v>
      </c>
      <c r="R29" s="683">
        <f t="shared" si="24"/>
        <v>0.11816838598217479</v>
      </c>
      <c r="S29" s="683">
        <f t="shared" si="24"/>
        <v>0.10649576163742931</v>
      </c>
      <c r="T29" s="683">
        <f t="shared" si="24"/>
        <v>0.10129143095113305</v>
      </c>
      <c r="U29" s="683">
        <f t="shared" si="24"/>
        <v>9.7072820934946139E-2</v>
      </c>
      <c r="V29" s="683">
        <f t="shared" si="24"/>
        <v>9.3115681490604063E-2</v>
      </c>
      <c r="W29" s="683">
        <f t="shared" si="24"/>
        <v>8.9401963435886966E-2</v>
      </c>
      <c r="X29" s="683">
        <f t="shared" si="24"/>
        <v>8.6160693068971395E-2</v>
      </c>
      <c r="Y29" s="683">
        <f t="shared" si="24"/>
        <v>8.5203390022794895E-2</v>
      </c>
      <c r="Z29" s="683">
        <f t="shared" si="24"/>
        <v>8.4598045965579807E-2</v>
      </c>
      <c r="AA29" s="683">
        <f t="shared" si="24"/>
        <v>8.4059872565998617E-2</v>
      </c>
      <c r="AB29" s="683">
        <f t="shared" si="24"/>
        <v>8.3570784095521114E-2</v>
      </c>
      <c r="AC29" s="683">
        <f t="shared" si="24"/>
        <v>8.329385839425589E-2</v>
      </c>
      <c r="AD29" s="683">
        <f t="shared" si="24"/>
        <v>9.2310247579684632E-2</v>
      </c>
      <c r="AE29" s="683">
        <f t="shared" si="24"/>
        <v>8.7517067877196028E-2</v>
      </c>
      <c r="AF29" s="683">
        <f t="shared" si="24"/>
        <v>8.2530836143877656E-2</v>
      </c>
      <c r="AG29" s="683">
        <f t="shared" si="24"/>
        <v>7.744747906931311E-2</v>
      </c>
      <c r="AH29" s="683">
        <f t="shared" si="24"/>
        <v>7.2510445978585553E-2</v>
      </c>
      <c r="AI29" s="683">
        <f t="shared" si="24"/>
        <v>6.7691882306549434E-2</v>
      </c>
      <c r="AJ29" s="683">
        <f t="shared" si="24"/>
        <v>6.3055202570352173E-2</v>
      </c>
      <c r="AK29" s="683">
        <f>275/AK28</f>
        <v>5.8650888990102928E-2</v>
      </c>
    </row>
    <row r="30" spans="2:37" ht="13.5" thickBot="1">
      <c r="H30" s="680"/>
      <c r="P30">
        <f>0.2*Inputs!B81/1000</f>
        <v>204</v>
      </c>
    </row>
    <row r="31" spans="2:37" ht="13.5" thickBot="1">
      <c r="E31" s="706" t="s">
        <v>567</v>
      </c>
      <c r="F31" s="707">
        <f>Inputs!G22</f>
        <v>-210</v>
      </c>
      <c r="G31" s="707">
        <f>Inputs!F22</f>
        <v>-467</v>
      </c>
      <c r="H31" s="707">
        <f>Inputs!E22</f>
        <v>-14</v>
      </c>
      <c r="I31" s="707">
        <f>Inputs!D22</f>
        <v>397</v>
      </c>
      <c r="J31" s="707">
        <f>Inputs!C22</f>
        <v>-329.79999999999995</v>
      </c>
      <c r="K31" s="708">
        <f>Inputs!B22</f>
        <v>-1673.1000000000001</v>
      </c>
      <c r="L31" s="683">
        <f>AVERAGE(I33:K33)</f>
        <v>-0.22120215944021379</v>
      </c>
      <c r="M31" s="680"/>
      <c r="N31" s="680"/>
      <c r="P31" s="683">
        <f>P30/P28</f>
        <v>0.1094697097643946</v>
      </c>
    </row>
    <row r="32" spans="2:37">
      <c r="E32" s="686" t="s">
        <v>568</v>
      </c>
      <c r="F32" s="680">
        <f>Inputs!G6</f>
        <v>1827.2</v>
      </c>
      <c r="G32" s="680">
        <f>Inputs!F6</f>
        <v>1696.7</v>
      </c>
      <c r="H32" s="680">
        <f>Inputs!E6</f>
        <v>1824</v>
      </c>
      <c r="I32" s="680">
        <f>I8</f>
        <v>1731</v>
      </c>
      <c r="J32" s="680">
        <f t="shared" ref="J32:K32" si="25">J8</f>
        <v>1758</v>
      </c>
      <c r="K32" s="680">
        <f t="shared" si="25"/>
        <v>2372</v>
      </c>
      <c r="L32" s="680"/>
      <c r="M32" s="680"/>
      <c r="N32" s="680"/>
      <c r="P32" s="683"/>
    </row>
    <row r="33" spans="5:13">
      <c r="E33" s="11" t="s">
        <v>569</v>
      </c>
      <c r="F33" s="683">
        <f>F31/F32</f>
        <v>-0.11492994746059544</v>
      </c>
      <c r="G33" s="683">
        <f t="shared" ref="G33:K33" si="26">G31/G32</f>
        <v>-0.27524017209877999</v>
      </c>
      <c r="H33" s="683">
        <f t="shared" si="26"/>
        <v>-7.6754385964912276E-3</v>
      </c>
      <c r="I33" s="683">
        <f>I31/I32</f>
        <v>0.2293471981513576</v>
      </c>
      <c r="J33" s="683">
        <f t="shared" si="26"/>
        <v>-0.18759954493742886</v>
      </c>
      <c r="K33" s="683">
        <f t="shared" si="26"/>
        <v>-0.70535413153457005</v>
      </c>
    </row>
    <row r="34" spans="5:13">
      <c r="E34" s="686" t="s">
        <v>570</v>
      </c>
      <c r="F34" s="723">
        <f>Inputs!G23</f>
        <v>-984</v>
      </c>
      <c r="G34" s="723">
        <f>Inputs!F23</f>
        <v>-1451</v>
      </c>
      <c r="H34" s="724">
        <f>Inputs!E23</f>
        <v>-1465</v>
      </c>
      <c r="I34" s="724">
        <f>Inputs!D23</f>
        <v>-1068</v>
      </c>
      <c r="J34" s="724">
        <f>Inputs!C23</f>
        <v>-1397.8</v>
      </c>
      <c r="K34" s="724">
        <f>Inputs!B23</f>
        <v>-3070.9</v>
      </c>
    </row>
    <row r="35" spans="5:13">
      <c r="E35" s="686" t="s">
        <v>571</v>
      </c>
      <c r="F35" s="723">
        <f>Inputs!G6-Inputs!H6</f>
        <v>176.40000000000009</v>
      </c>
      <c r="G35" s="724">
        <f>Inputs!F6-Inputs!G6</f>
        <v>-130.5</v>
      </c>
      <c r="H35" s="724">
        <f>Inputs!E6-Inputs!F6</f>
        <v>127.29999999999995</v>
      </c>
      <c r="I35" s="724">
        <f>Inputs!D6-Inputs!E6</f>
        <v>-93</v>
      </c>
      <c r="J35" s="724">
        <f>Inputs!C6-Inputs!D6</f>
        <v>27</v>
      </c>
      <c r="K35" s="724">
        <f>Inputs!B6-Inputs!C6</f>
        <v>614</v>
      </c>
      <c r="M35" s="186">
        <f>AVERAGE(F36:K36)</f>
        <v>-8.5426117965587469</v>
      </c>
    </row>
    <row r="36" spans="5:13">
      <c r="E36" s="686" t="s">
        <v>572</v>
      </c>
      <c r="F36" s="683">
        <f>F34/F35</f>
        <v>-5.5782312925170041</v>
      </c>
      <c r="G36" s="683">
        <f t="shared" ref="G36:K36" si="27">G34/G35</f>
        <v>11.118773946360154</v>
      </c>
      <c r="H36" s="683">
        <f t="shared" si="27"/>
        <v>-11.508248232521607</v>
      </c>
      <c r="I36" s="683">
        <f t="shared" si="27"/>
        <v>11.483870967741936</v>
      </c>
      <c r="J36" s="683">
        <f t="shared" si="27"/>
        <v>-51.770370370370365</v>
      </c>
      <c r="K36" s="683">
        <f t="shared" si="27"/>
        <v>-5.0014657980456025</v>
      </c>
    </row>
    <row r="37" spans="5:13">
      <c r="E37" s="11"/>
    </row>
    <row r="38" spans="5:13">
      <c r="E38" s="686" t="s">
        <v>573</v>
      </c>
      <c r="H38" s="680">
        <f>Inputs!E72</f>
        <v>-41</v>
      </c>
      <c r="I38" s="680">
        <f>Inputs!D72</f>
        <v>-44</v>
      </c>
      <c r="J38" s="680">
        <f>Inputs!C72</f>
        <v>-44</v>
      </c>
      <c r="K38" s="680">
        <f>Inputs!B72</f>
        <v>-55</v>
      </c>
    </row>
    <row r="39" spans="5:13">
      <c r="E39" s="686" t="s">
        <v>574</v>
      </c>
      <c r="H39" s="683">
        <f>-H38/H32</f>
        <v>2.2478070175438597E-2</v>
      </c>
      <c r="I39" s="683">
        <f t="shared" ref="I39:K39" si="28">-I38/I32</f>
        <v>2.5418833044482957E-2</v>
      </c>
      <c r="J39" s="683">
        <f t="shared" si="28"/>
        <v>2.502844141069397E-2</v>
      </c>
      <c r="K39" s="683">
        <f t="shared" si="28"/>
        <v>2.3187183811129847E-2</v>
      </c>
    </row>
    <row r="40" spans="5:13">
      <c r="E40" s="686" t="s">
        <v>575</v>
      </c>
      <c r="F40" s="186">
        <f>AVERAGE(H39:K39)</f>
        <v>2.4028132110436345E-2</v>
      </c>
    </row>
    <row r="42" spans="5:13" ht="13.5" thickBot="1">
      <c r="H42" s="680"/>
    </row>
    <row r="43" spans="5:13">
      <c r="H43" s="699" t="s">
        <v>139</v>
      </c>
      <c r="I43" s="700">
        <f>'Fin. Data'!D69</f>
        <v>-2100</v>
      </c>
      <c r="J43" s="700">
        <f>'Fin. Data'!C69</f>
        <v>-2552</v>
      </c>
      <c r="K43" s="700">
        <f>'Fin. Data'!B69</f>
        <v>-3446</v>
      </c>
      <c r="L43" s="691"/>
    </row>
    <row r="44" spans="5:13" ht="13.5" thickBot="1">
      <c r="H44" s="701">
        <f>20/6</f>
        <v>3.3333333333333335</v>
      </c>
      <c r="I44" s="702"/>
      <c r="J44" s="702"/>
      <c r="K44" s="702"/>
      <c r="L44" s="703"/>
    </row>
    <row r="45" spans="5:13" ht="13.5" thickBot="1"/>
    <row r="46" spans="5:13">
      <c r="F46" t="s">
        <v>576</v>
      </c>
      <c r="G46" s="689">
        <f>'Fin. Data'!B58</f>
        <v>6160</v>
      </c>
      <c r="H46" s="690">
        <f>'Fin. Data'!C58</f>
        <v>4041</v>
      </c>
      <c r="I46" s="690">
        <f>'Fin. Data'!D58</f>
        <v>3947</v>
      </c>
      <c r="J46" s="690">
        <f>'Fin. Data'!E58</f>
        <v>3417</v>
      </c>
      <c r="K46" s="690">
        <f>'Fin. Data'!F58</f>
        <v>3650</v>
      </c>
      <c r="L46" s="691"/>
    </row>
    <row r="47" spans="5:13">
      <c r="F47" t="s">
        <v>577</v>
      </c>
      <c r="G47" s="692">
        <f>'Fin. Data'!B19</f>
        <v>1168.2</v>
      </c>
      <c r="H47" s="680">
        <f>'Fin. Data'!C19</f>
        <v>802.7</v>
      </c>
      <c r="I47" s="680">
        <f>'Fin. Data'!D19</f>
        <v>728.9</v>
      </c>
      <c r="J47" s="680">
        <f>'Fin. Data'!E19</f>
        <v>784.5</v>
      </c>
      <c r="K47" s="680">
        <f>'Fin. Data'!F19</f>
        <v>443.4</v>
      </c>
      <c r="L47" s="693"/>
    </row>
    <row r="48" spans="5:13" ht="13.5" thickBot="1">
      <c r="F48" t="s">
        <v>578</v>
      </c>
      <c r="G48" s="694">
        <f t="shared" ref="G48:J48" si="29">G46/G47</f>
        <v>5.2730696798493408</v>
      </c>
      <c r="H48" s="695">
        <f t="shared" si="29"/>
        <v>5.0342593746106887</v>
      </c>
      <c r="I48" s="695">
        <f t="shared" si="29"/>
        <v>5.4150089175469889</v>
      </c>
      <c r="J48" s="695">
        <f t="shared" si="29"/>
        <v>4.3556405353728493</v>
      </c>
      <c r="K48" s="695">
        <f>K46/K47</f>
        <v>8.2318448353631037</v>
      </c>
      <c r="L48" s="696">
        <f>AVERAGE(G48:K48)</f>
        <v>5.6619646685485945</v>
      </c>
    </row>
    <row r="49" spans="1:21">
      <c r="F49" t="s">
        <v>579</v>
      </c>
      <c r="G49" s="705">
        <f>'Fin. Data'!F60</f>
        <v>3098</v>
      </c>
      <c r="H49" s="705">
        <f>'Fin. Data'!E60</f>
        <v>2835</v>
      </c>
      <c r="I49" s="705">
        <f>'Fin. Data'!D60</f>
        <v>3473</v>
      </c>
      <c r="J49" s="705">
        <f>'Fin. Data'!C60</f>
        <v>3037.2</v>
      </c>
      <c r="K49" s="705">
        <f>'Fin. Data'!B60</f>
        <v>4988.1000000000004</v>
      </c>
      <c r="L49" s="705"/>
    </row>
    <row r="50" spans="1:21">
      <c r="F50" t="s">
        <v>580</v>
      </c>
      <c r="G50" s="705">
        <f>G49/G47</f>
        <v>2.6519431604177366</v>
      </c>
      <c r="H50" s="705">
        <f t="shared" ref="H50:K50" si="30">H49/H47</f>
        <v>3.5318300735019306</v>
      </c>
      <c r="I50" s="705">
        <f t="shared" si="30"/>
        <v>4.7647139525312117</v>
      </c>
      <c r="J50" s="705">
        <f t="shared" si="30"/>
        <v>3.87151051625239</v>
      </c>
      <c r="K50" s="705">
        <f t="shared" si="30"/>
        <v>11.249661705006767</v>
      </c>
      <c r="L50" s="705"/>
    </row>
    <row r="51" spans="1:21">
      <c r="F51" t="s">
        <v>581</v>
      </c>
      <c r="G51" s="705"/>
      <c r="H51" s="705"/>
      <c r="I51" s="705"/>
      <c r="J51" s="705"/>
      <c r="K51" s="705"/>
      <c r="L51" s="705"/>
      <c r="M51">
        <v>2.75</v>
      </c>
      <c r="N51">
        <v>2.5</v>
      </c>
      <c r="O51">
        <v>2.25</v>
      </c>
      <c r="P51">
        <v>2.1</v>
      </c>
    </row>
    <row r="52" spans="1:21">
      <c r="G52" s="705"/>
      <c r="H52" s="705"/>
      <c r="I52" s="705"/>
      <c r="J52" s="705"/>
      <c r="K52" s="705"/>
      <c r="L52" s="705"/>
    </row>
    <row r="53" spans="1:21">
      <c r="G53" s="705"/>
      <c r="H53" s="705"/>
      <c r="I53" s="705"/>
      <c r="J53" s="705"/>
      <c r="K53" s="705"/>
      <c r="L53" s="705"/>
    </row>
    <row r="54" spans="1:21">
      <c r="E54" t="s">
        <v>582</v>
      </c>
      <c r="G54" s="705"/>
      <c r="H54" s="705"/>
      <c r="I54" s="705"/>
      <c r="J54" s="705"/>
      <c r="K54" s="705"/>
      <c r="L54" s="705"/>
    </row>
    <row r="55" spans="1:21">
      <c r="E55" t="s">
        <v>583</v>
      </c>
      <c r="G55" s="705"/>
      <c r="H55" s="705"/>
      <c r="I55" s="705"/>
      <c r="J55" s="705"/>
      <c r="K55" s="705"/>
      <c r="L55" s="705"/>
    </row>
    <row r="58" spans="1:21" ht="20.25">
      <c r="A58" s="698"/>
      <c r="B58" s="698"/>
      <c r="C58" s="698" t="s">
        <v>584</v>
      </c>
      <c r="D58" s="698"/>
      <c r="E58" s="698"/>
      <c r="F58" s="698"/>
      <c r="G58" s="698"/>
    </row>
    <row r="61" spans="1:21" ht="13.5" thickBot="1"/>
    <row r="62" spans="1:21" ht="16.5" thickTop="1" thickBot="1">
      <c r="A62" s="697"/>
      <c r="B62" s="697"/>
      <c r="C62" s="697"/>
      <c r="D62" s="697"/>
      <c r="E62" s="697"/>
      <c r="F62" s="697"/>
      <c r="G62" s="697"/>
      <c r="H62" s="697"/>
      <c r="I62" s="697"/>
      <c r="J62" s="697"/>
      <c r="K62" s="697"/>
      <c r="L62" s="697"/>
      <c r="M62" s="697"/>
      <c r="N62" s="697"/>
      <c r="O62" s="697"/>
      <c r="P62" s="697"/>
      <c r="Q62" s="697"/>
      <c r="R62" s="697"/>
      <c r="S62" s="697"/>
      <c r="T62" s="697"/>
      <c r="U62" s="697"/>
    </row>
    <row r="63" spans="1:21" ht="13.5" thickTop="1"/>
    <row r="159" spans="10:12">
      <c r="J159" s="11" t="s">
        <v>585</v>
      </c>
      <c r="K159" s="11" t="s">
        <v>586</v>
      </c>
      <c r="L159" s="11" t="s">
        <v>587</v>
      </c>
    </row>
  </sheetData>
  <mergeCells count="7">
    <mergeCell ref="G8:G9"/>
    <mergeCell ref="G11:G12"/>
    <mergeCell ref="G28:G29"/>
    <mergeCell ref="L16:S16"/>
    <mergeCell ref="L15:S15"/>
    <mergeCell ref="L17:S17"/>
    <mergeCell ref="L18:S18"/>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A3883-DD98-4992-AC33-2C1B89D086E1}">
  <sheetPr>
    <tabColor rgb="FFFFFF00"/>
  </sheetPr>
  <dimension ref="A1:IA99"/>
  <sheetViews>
    <sheetView zoomScale="85" workbookViewId="0">
      <selection activeCell="C18" sqref="C18"/>
    </sheetView>
  </sheetViews>
  <sheetFormatPr defaultColWidth="11.42578125" defaultRowHeight="12.75"/>
  <cols>
    <col min="1" max="1" width="36.140625" style="11" customWidth="1"/>
    <col min="2" max="10" width="12.42578125" style="44" customWidth="1"/>
    <col min="11" max="12" width="12.42578125" style="52" customWidth="1"/>
    <col min="13" max="13" width="12.140625" style="52" bestFit="1" customWidth="1"/>
    <col min="14" max="16384" width="11.42578125" style="43"/>
  </cols>
  <sheetData>
    <row r="1" spans="1:25" ht="15.75">
      <c r="A1" s="1087" t="e" vm="1">
        <f>Inputs!H3</f>
        <v>#VALUE!</v>
      </c>
      <c r="B1" s="1087"/>
      <c r="C1" s="1087"/>
      <c r="D1" s="1087"/>
      <c r="E1" s="1087"/>
      <c r="F1" s="1087"/>
      <c r="G1" s="1087"/>
      <c r="H1" s="1087"/>
      <c r="I1" s="1087"/>
      <c r="J1" s="1087"/>
      <c r="K1" s="1087"/>
      <c r="L1" s="1087"/>
      <c r="M1" s="1087"/>
    </row>
    <row r="2" spans="1:25" ht="12">
      <c r="A2" s="1088" t="str">
        <f>Inputs!G2</f>
        <v>Figures in Millions of USD</v>
      </c>
      <c r="B2" s="1088"/>
      <c r="C2" s="1088"/>
      <c r="D2" s="1088"/>
      <c r="E2" s="1088"/>
      <c r="F2" s="1088"/>
      <c r="G2" s="1088"/>
      <c r="H2" s="1088"/>
      <c r="I2" s="1088"/>
      <c r="J2" s="1088"/>
      <c r="K2" s="1088"/>
      <c r="L2" s="1088"/>
      <c r="M2" s="1088"/>
    </row>
    <row r="3" spans="1:25" ht="20.25">
      <c r="A3" s="1086" t="s">
        <v>588</v>
      </c>
      <c r="B3" s="1086"/>
      <c r="C3" s="1086"/>
      <c r="D3" s="1086"/>
      <c r="E3" s="1086"/>
      <c r="F3" s="1086"/>
      <c r="G3" s="1086"/>
      <c r="H3" s="1086"/>
      <c r="I3" s="1086"/>
      <c r="J3" s="1086"/>
      <c r="K3" s="1086"/>
      <c r="L3" s="1086"/>
      <c r="M3" s="1086"/>
    </row>
    <row r="4" spans="1:25">
      <c r="A4" s="133"/>
      <c r="B4" s="55">
        <f>OP!J19</f>
        <v>2022</v>
      </c>
      <c r="C4" s="45">
        <f>B4-1</f>
        <v>2021</v>
      </c>
      <c r="D4" s="45">
        <f t="shared" ref="D4:M4" si="0">C4-1</f>
        <v>2020</v>
      </c>
      <c r="E4" s="45">
        <f t="shared" si="0"/>
        <v>2019</v>
      </c>
      <c r="F4" s="45">
        <f t="shared" si="0"/>
        <v>2018</v>
      </c>
      <c r="G4" s="45">
        <f t="shared" si="0"/>
        <v>2017</v>
      </c>
      <c r="H4" s="45">
        <f t="shared" si="0"/>
        <v>2016</v>
      </c>
      <c r="I4" s="45">
        <f t="shared" si="0"/>
        <v>2015</v>
      </c>
      <c r="J4" s="45">
        <f>I4-1</f>
        <v>2014</v>
      </c>
      <c r="K4" s="45">
        <f t="shared" si="0"/>
        <v>2013</v>
      </c>
      <c r="L4" s="45">
        <f t="shared" si="0"/>
        <v>2012</v>
      </c>
      <c r="M4" s="45">
        <f t="shared" si="0"/>
        <v>2011</v>
      </c>
    </row>
    <row r="5" spans="1:25">
      <c r="A5" s="134" t="s">
        <v>131</v>
      </c>
      <c r="B5" s="57">
        <f>_xlfn.XLOOKUP($A5,Inputs!$A:$A,Inputs!B:B,,0)</f>
        <v>2372</v>
      </c>
      <c r="C5" s="57">
        <f>_xlfn.XLOOKUP($A5,Inputs!$A:$A,Inputs!C:C,,0)</f>
        <v>1758</v>
      </c>
      <c r="D5" s="57">
        <f>_xlfn.XLOOKUP($A5,Inputs!$A:$A,Inputs!D:D,,0)</f>
        <v>1731</v>
      </c>
      <c r="E5" s="57">
        <f>_xlfn.XLOOKUP($A5,Inputs!$A:$A,Inputs!E:E,,0)</f>
        <v>1824</v>
      </c>
      <c r="F5" s="57">
        <f>_xlfn.XLOOKUP($A5,Inputs!$A:$A,Inputs!F:F,,0)</f>
        <v>1696.7</v>
      </c>
      <c r="G5" s="57">
        <f>_xlfn.XLOOKUP($A5,Inputs!$A:$A,Inputs!G:G,,0)</f>
        <v>1827.2</v>
      </c>
      <c r="H5" s="57">
        <f>_xlfn.XLOOKUP($A5,Inputs!$A:$A,Inputs!H:H,,0)</f>
        <v>1650.8</v>
      </c>
      <c r="I5" s="57">
        <f>_xlfn.XLOOKUP($A5,Inputs!$A:$A,Inputs!I:I,,0)</f>
        <v>1547</v>
      </c>
      <c r="J5" s="57">
        <f>_xlfn.XLOOKUP($A5,Inputs!$A:$A,Inputs!J:J,,0)</f>
        <v>1276.7</v>
      </c>
      <c r="K5" s="57">
        <f>_xlfn.XLOOKUP($A5,Inputs!$A:$A,Inputs!K:K,,0)</f>
        <v>1316.3</v>
      </c>
      <c r="L5" s="57">
        <f>_xlfn.XLOOKUP($A5,Inputs!$A:$A,Inputs!L:L,,0)</f>
        <v>1285.0999999999999</v>
      </c>
      <c r="M5" s="58">
        <f>_xlfn.XLOOKUP($A5,Inputs!$A:$A,Inputs!M:M,,0)</f>
        <v>1068.8</v>
      </c>
    </row>
    <row r="6" spans="1:25">
      <c r="A6" s="135" t="s">
        <v>589</v>
      </c>
      <c r="B6" s="744">
        <f>IFERROR(B5/C5-1,"-")</f>
        <v>0.34926052332195678</v>
      </c>
      <c r="C6" s="60">
        <f t="shared" ref="C6:L6" si="1">IFERROR(C5/D5-1,"-")</f>
        <v>1.5597920277296451E-2</v>
      </c>
      <c r="D6" s="60">
        <f t="shared" si="1"/>
        <v>-5.0986842105263164E-2</v>
      </c>
      <c r="E6" s="60">
        <f t="shared" si="1"/>
        <v>7.5027995520716706E-2</v>
      </c>
      <c r="F6" s="60">
        <f t="shared" si="1"/>
        <v>-7.1420753064798559E-2</v>
      </c>
      <c r="G6" s="60">
        <f t="shared" si="1"/>
        <v>0.10685728131814876</v>
      </c>
      <c r="H6" s="60">
        <f t="shared" si="1"/>
        <v>6.7097608274078846E-2</v>
      </c>
      <c r="I6" s="60">
        <f t="shared" si="1"/>
        <v>0.21171770972037285</v>
      </c>
      <c r="J6" s="60">
        <f t="shared" si="1"/>
        <v>-3.0084327281014844E-2</v>
      </c>
      <c r="K6" s="60">
        <f t="shared" si="1"/>
        <v>2.4278266282779626E-2</v>
      </c>
      <c r="L6" s="60">
        <f t="shared" si="1"/>
        <v>0.20237649700598803</v>
      </c>
      <c r="M6" s="61" t="str">
        <f>IFERROR(M5/#REF!-1,"-")</f>
        <v>-</v>
      </c>
      <c r="N6" s="533"/>
    </row>
    <row r="7" spans="1:25">
      <c r="A7" s="134" t="s">
        <v>590</v>
      </c>
      <c r="B7" s="57">
        <f>_xlfn.XLOOKUP($A7,Inputs!$A:$A,Inputs!B:B,,0)</f>
        <v>1971</v>
      </c>
      <c r="C7" s="57">
        <f>_xlfn.XLOOKUP($A7,Inputs!$A:$A,Inputs!C:C,,0)</f>
        <v>1451</v>
      </c>
      <c r="D7" s="57">
        <f>_xlfn.XLOOKUP($A7,Inputs!$A:$A,Inputs!D:D,,0)</f>
        <v>1655</v>
      </c>
      <c r="E7" s="57">
        <f>_xlfn.XLOOKUP($A7,Inputs!$A:$A,Inputs!E:E,,0)</f>
        <v>1651</v>
      </c>
      <c r="F7" s="57">
        <f>_xlfn.XLOOKUP($A7,Inputs!$A:$A,Inputs!F:F,,0)</f>
        <v>1300</v>
      </c>
      <c r="G7" s="57">
        <f>_xlfn.XLOOKUP($A7,Inputs!$A:$A,Inputs!G:G,,0)</f>
        <v>1366</v>
      </c>
      <c r="H7" s="57">
        <f>_xlfn.XLOOKUP($A7,Inputs!$A:$A,Inputs!H:H,,0)</f>
        <v>1171</v>
      </c>
      <c r="I7" s="57">
        <f>_xlfn.XLOOKUP($A7,Inputs!$A:$A,Inputs!I:I,,0)</f>
        <v>1142</v>
      </c>
      <c r="J7" s="57">
        <f>_xlfn.XLOOKUP($A7,Inputs!$A:$A,Inputs!J:J,,0)</f>
        <v>903</v>
      </c>
      <c r="K7" s="57">
        <f>_xlfn.XLOOKUP($A7,Inputs!$A:$A,Inputs!K:K,,0)</f>
        <v>921</v>
      </c>
      <c r="L7" s="57">
        <f>_xlfn.XLOOKUP($A7,Inputs!$A:$A,Inputs!L:L,,0)</f>
        <v>938</v>
      </c>
      <c r="M7" s="58">
        <f>_xlfn.XLOOKUP($A7,Inputs!$A:$A,Inputs!M:M,,0)</f>
        <v>801</v>
      </c>
    </row>
    <row r="8" spans="1:25">
      <c r="A8" s="135" t="s">
        <v>591</v>
      </c>
      <c r="B8" s="743">
        <f>IFERROR(B7/B$5,"-")</f>
        <v>0.83094435075885331</v>
      </c>
      <c r="C8" s="743">
        <f t="shared" ref="C8:M8" si="2">IFERROR(C7/C$5,"-")</f>
        <v>0.82536973833902161</v>
      </c>
      <c r="D8" s="744">
        <f t="shared" si="2"/>
        <v>0.95609474292316576</v>
      </c>
      <c r="E8" s="744">
        <f t="shared" si="2"/>
        <v>0.90515350877192979</v>
      </c>
      <c r="F8" s="60">
        <f t="shared" si="2"/>
        <v>0.76619319856191426</v>
      </c>
      <c r="G8" s="60">
        <f t="shared" si="2"/>
        <v>0.74759194395796846</v>
      </c>
      <c r="H8" s="60">
        <f t="shared" si="2"/>
        <v>0.70935304094984253</v>
      </c>
      <c r="I8" s="60">
        <f t="shared" si="2"/>
        <v>0.73820297349709119</v>
      </c>
      <c r="J8" s="60">
        <f t="shared" si="2"/>
        <v>0.70729223780057959</v>
      </c>
      <c r="K8" s="60">
        <f t="shared" si="2"/>
        <v>0.69968852085390876</v>
      </c>
      <c r="L8" s="60">
        <f t="shared" si="2"/>
        <v>0.72990428760407755</v>
      </c>
      <c r="M8" s="61">
        <f t="shared" si="2"/>
        <v>0.74943862275449102</v>
      </c>
    </row>
    <row r="9" spans="1:25">
      <c r="A9" s="134" t="s">
        <v>592</v>
      </c>
      <c r="B9" s="57">
        <f t="shared" ref="B9:M9" si="3">B5-B11</f>
        <v>960.5</v>
      </c>
      <c r="C9" s="57">
        <f t="shared" si="3"/>
        <v>607</v>
      </c>
      <c r="D9" s="57">
        <f t="shared" si="3"/>
        <v>677</v>
      </c>
      <c r="E9" s="57">
        <f t="shared" si="3"/>
        <v>769</v>
      </c>
      <c r="F9" s="57">
        <f t="shared" si="3"/>
        <v>942.7</v>
      </c>
      <c r="G9" s="57">
        <f t="shared" si="3"/>
        <v>1024.2</v>
      </c>
      <c r="H9" s="57">
        <f t="shared" si="3"/>
        <v>1086.8</v>
      </c>
      <c r="I9" s="57">
        <f t="shared" si="3"/>
        <v>969</v>
      </c>
      <c r="J9" s="57">
        <f t="shared" si="3"/>
        <v>854.7</v>
      </c>
      <c r="K9" s="57">
        <f t="shared" si="3"/>
        <v>843.3</v>
      </c>
      <c r="L9" s="57">
        <f t="shared" si="3"/>
        <v>835.09999999999991</v>
      </c>
      <c r="M9" s="58">
        <f t="shared" si="3"/>
        <v>721.8</v>
      </c>
    </row>
    <row r="10" spans="1:25">
      <c r="A10" s="135" t="s">
        <v>591</v>
      </c>
      <c r="B10" s="743">
        <f>IFERROR(B9/B$5,"-")</f>
        <v>0.4049325463743676</v>
      </c>
      <c r="C10" s="744">
        <f t="shared" ref="C10:M10" si="4">IFERROR(C9/C$5,"-")</f>
        <v>0.3452787258248009</v>
      </c>
      <c r="D10" s="744">
        <f t="shared" si="4"/>
        <v>0.39110340843443098</v>
      </c>
      <c r="E10" s="60">
        <f t="shared" si="4"/>
        <v>0.42160087719298245</v>
      </c>
      <c r="F10" s="60">
        <f t="shared" si="4"/>
        <v>0.55560794483408971</v>
      </c>
      <c r="G10" s="60">
        <f t="shared" si="4"/>
        <v>0.56052977232924694</v>
      </c>
      <c r="H10" s="60">
        <f t="shared" si="4"/>
        <v>0.65834746789435428</v>
      </c>
      <c r="I10" s="60">
        <f t="shared" si="4"/>
        <v>0.62637362637362637</v>
      </c>
      <c r="J10" s="60">
        <f t="shared" si="4"/>
        <v>0.66946032740659511</v>
      </c>
      <c r="K10" s="60">
        <f t="shared" si="4"/>
        <v>0.64065942414343235</v>
      </c>
      <c r="L10" s="60">
        <f t="shared" si="4"/>
        <v>0.64983269784452569</v>
      </c>
      <c r="M10" s="61">
        <f t="shared" si="4"/>
        <v>0.67533682634730541</v>
      </c>
    </row>
    <row r="11" spans="1:25">
      <c r="A11" s="134" t="s">
        <v>297</v>
      </c>
      <c r="B11" s="57">
        <f>_xlfn.XLOOKUP($A11,Inputs!$A:$A,Inputs!B:B,,0)</f>
        <v>1411.5</v>
      </c>
      <c r="C11" s="57">
        <f>_xlfn.XLOOKUP($A11,Inputs!$A:$A,Inputs!C:C,,0)</f>
        <v>1151</v>
      </c>
      <c r="D11" s="57">
        <f>_xlfn.XLOOKUP($A11,Inputs!$A:$A,Inputs!D:D,,0)</f>
        <v>1054</v>
      </c>
      <c r="E11" s="57">
        <f>_xlfn.XLOOKUP($A11,Inputs!$A:$A,Inputs!E:E,,0)</f>
        <v>1055</v>
      </c>
      <c r="F11" s="57">
        <f>_xlfn.XLOOKUP($A11,Inputs!$A:$A,Inputs!F:F,,0)</f>
        <v>754</v>
      </c>
      <c r="G11" s="57">
        <f>_xlfn.XLOOKUP($A11,Inputs!$A:$A,Inputs!G:G,,0)</f>
        <v>803</v>
      </c>
      <c r="H11" s="57">
        <f>_xlfn.XLOOKUP($A11,Inputs!$A:$A,Inputs!H:H,,0)</f>
        <v>564</v>
      </c>
      <c r="I11" s="57">
        <f>_xlfn.XLOOKUP($A11,Inputs!$A:$A,Inputs!I:I,,0)</f>
        <v>578</v>
      </c>
      <c r="J11" s="57">
        <f>_xlfn.XLOOKUP($A11,Inputs!$A:$A,Inputs!J:J,,0)</f>
        <v>422</v>
      </c>
      <c r="K11" s="57">
        <f>_xlfn.XLOOKUP($A11,Inputs!$A:$A,Inputs!K:K,,0)</f>
        <v>473</v>
      </c>
      <c r="L11" s="57">
        <f>_xlfn.XLOOKUP($A11,Inputs!$A:$A,Inputs!L:L,,0)</f>
        <v>450</v>
      </c>
      <c r="M11" s="58">
        <f>_xlfn.XLOOKUP($A11,Inputs!$A:$A,Inputs!M:M,,0)</f>
        <v>347</v>
      </c>
    </row>
    <row r="12" spans="1:25">
      <c r="A12" s="135" t="s">
        <v>132</v>
      </c>
      <c r="B12" s="743">
        <f>IFERROR(B11/B$5,"-")</f>
        <v>0.5950674536256324</v>
      </c>
      <c r="C12" s="742">
        <f t="shared" ref="C12:M12" si="5">IFERROR(C11/C$5,"-")</f>
        <v>0.6547212741751991</v>
      </c>
      <c r="D12" s="742">
        <f t="shared" si="5"/>
        <v>0.60889659156556908</v>
      </c>
      <c r="E12" s="742">
        <f t="shared" si="5"/>
        <v>0.57839912280701755</v>
      </c>
      <c r="F12" s="742">
        <f t="shared" si="5"/>
        <v>0.44439205516591029</v>
      </c>
      <c r="G12" s="742">
        <f t="shared" si="5"/>
        <v>0.43947022767075306</v>
      </c>
      <c r="H12" s="742">
        <f t="shared" si="5"/>
        <v>0.34165253210564578</v>
      </c>
      <c r="I12" s="60">
        <f t="shared" si="5"/>
        <v>0.37362637362637363</v>
      </c>
      <c r="J12" s="60">
        <f t="shared" si="5"/>
        <v>0.33053967259340489</v>
      </c>
      <c r="K12" s="60">
        <f t="shared" si="5"/>
        <v>0.35934057585656765</v>
      </c>
      <c r="L12" s="60">
        <f t="shared" si="5"/>
        <v>0.35016730215547431</v>
      </c>
      <c r="M12" s="61">
        <f t="shared" si="5"/>
        <v>0.32466317365269465</v>
      </c>
    </row>
    <row r="13" spans="1:25">
      <c r="A13" s="134" t="s">
        <v>593</v>
      </c>
      <c r="B13" s="60">
        <f t="shared" ref="B13" si="6">IFERROR(B12/C12-1,"-")</f>
        <v>-9.1113307146948985E-2</v>
      </c>
      <c r="C13" s="60">
        <f t="shared" ref="C13" si="7">IFERROR(C12/D12-1,"-")</f>
        <v>7.5258563185265137E-2</v>
      </c>
      <c r="D13" s="60">
        <f t="shared" ref="D13" si="8">IFERROR(D12/E12-1,"-")</f>
        <v>5.2727377265969544E-2</v>
      </c>
      <c r="E13" s="60">
        <f t="shared" ref="E13" si="9">IFERROR(E12/F12-1,"-")</f>
        <v>0.30155144783377552</v>
      </c>
      <c r="F13" s="60">
        <f t="shared" ref="F13" si="10">IFERROR(F12/G12-1,"-")</f>
        <v>1.1199456038793576E-2</v>
      </c>
      <c r="G13" s="60">
        <f t="shared" ref="G13" si="11">IFERROR(G12/H12-1,"-")</f>
        <v>0.2863075387214169</v>
      </c>
      <c r="H13" s="60">
        <f t="shared" ref="H13" si="12">IFERROR(H12/I12-1,"-")</f>
        <v>-8.5577046423124581E-2</v>
      </c>
      <c r="I13" s="60">
        <f t="shared" ref="I13" si="13">IFERROR(I12/J12-1,"-")</f>
        <v>0.13035258580282272</v>
      </c>
      <c r="J13" s="60">
        <f t="shared" ref="J13" si="14">IFERROR(J12/K12-1,"-")</f>
        <v>-8.014932127970642E-2</v>
      </c>
      <c r="K13" s="60">
        <f t="shared" ref="K13" si="15">IFERROR(K12/L12-1,"-")</f>
        <v>2.6196831185055558E-2</v>
      </c>
      <c r="L13" s="60">
        <f t="shared" ref="L13" si="16">IFERROR(L12/M12-1,"-")</f>
        <v>7.8555655745737418E-2</v>
      </c>
      <c r="M13" s="61" t="str">
        <f>IFERROR(M12/#REF!-1,"-")</f>
        <v>-</v>
      </c>
    </row>
    <row r="14" spans="1:25">
      <c r="A14" s="136" t="s">
        <v>298</v>
      </c>
      <c r="B14" s="57">
        <f>_xlfn.XLOOKUP($A14,Inputs!$A:$A,Inputs!B:B,,0)</f>
        <v>-180.1</v>
      </c>
      <c r="C14" s="57">
        <f>_xlfn.XLOOKUP($A14,Inputs!$A:$A,Inputs!C:C,,0)</f>
        <v>-131</v>
      </c>
      <c r="D14" s="57">
        <f>_xlfn.XLOOKUP($A14,Inputs!$A:$A,Inputs!D:D,,0)</f>
        <v>-124</v>
      </c>
      <c r="E14" s="57">
        <f>_xlfn.XLOOKUP($A14,Inputs!$A:$A,Inputs!E:E,,0)</f>
        <v>-174</v>
      </c>
      <c r="F14" s="57">
        <f>_xlfn.XLOOKUP($A14,Inputs!$A:$A,Inputs!F:F,,0)</f>
        <v>-133</v>
      </c>
      <c r="G14" s="57">
        <f>_xlfn.XLOOKUP($A14,Inputs!$A:$A,Inputs!G:G,,0)</f>
        <v>-144</v>
      </c>
      <c r="H14" s="57">
        <f>_xlfn.XLOOKUP($A14,Inputs!$A:$A,Inputs!H:H,,0)</f>
        <v>-159</v>
      </c>
      <c r="I14" s="57">
        <f>_xlfn.XLOOKUP($A14,Inputs!$A:$A,Inputs!I:I,,0)</f>
        <v>-145</v>
      </c>
      <c r="J14" s="57">
        <f>_xlfn.XLOOKUP($A14,Inputs!$A:$A,Inputs!J:J,,0)</f>
        <v>-154</v>
      </c>
      <c r="K14" s="57">
        <f>_xlfn.XLOOKUP($A14,Inputs!$A:$A,Inputs!K:K,,0)</f>
        <v>-161</v>
      </c>
      <c r="L14" s="57">
        <f>_xlfn.XLOOKUP($A14,Inputs!$A:$A,Inputs!L:L,,0)</f>
        <v>-220</v>
      </c>
      <c r="M14" s="58">
        <f>_xlfn.XLOOKUP($A14,Inputs!$A:$A,Inputs!M:M,,0)</f>
        <v>-210</v>
      </c>
    </row>
    <row r="15" spans="1:25">
      <c r="A15" s="134" t="s">
        <v>594</v>
      </c>
      <c r="B15" s="57">
        <f>_xlfn.XLOOKUP($A15,Inputs!$A:$A,Inputs!B:B,,0)</f>
        <v>-473</v>
      </c>
      <c r="C15" s="57">
        <f>_xlfn.XLOOKUP($A15,Inputs!$A:$A,Inputs!C:C,,0)</f>
        <v>-275</v>
      </c>
      <c r="D15" s="57">
        <f>_xlfn.XLOOKUP($A15,Inputs!$A:$A,Inputs!D:D,,0)</f>
        <v>-291</v>
      </c>
      <c r="E15" s="57">
        <f>_xlfn.XLOOKUP($A15,Inputs!$A:$A,Inputs!E:E,,0)</f>
        <v>-323</v>
      </c>
      <c r="F15" s="57">
        <f>_xlfn.XLOOKUP($A15,Inputs!$A:$A,Inputs!F:F,,0)</f>
        <v>-244.6</v>
      </c>
      <c r="G15" s="57">
        <f>_xlfn.XLOOKUP($A15,Inputs!$A:$A,Inputs!G:G,,0)</f>
        <v>-335</v>
      </c>
      <c r="H15" s="57">
        <f>_xlfn.XLOOKUP($A15,Inputs!$A:$A,Inputs!H:H,,0)</f>
        <v>-311</v>
      </c>
      <c r="I15" s="57">
        <f>_xlfn.XLOOKUP($A15,Inputs!$A:$A,Inputs!I:I,,0)</f>
        <v>-221</v>
      </c>
      <c r="J15" s="57">
        <f>_xlfn.XLOOKUP($A15,Inputs!$A:$A,Inputs!J:J,,0)</f>
        <v>-126</v>
      </c>
      <c r="K15" s="57">
        <f>_xlfn.XLOOKUP($A15,Inputs!$A:$A,Inputs!K:K,,0)</f>
        <v>-120</v>
      </c>
      <c r="L15" s="57">
        <f>_xlfn.XLOOKUP($A15,Inputs!$A:$A,Inputs!L:L,,0)</f>
        <v>-58</v>
      </c>
      <c r="M15" s="58">
        <f>_xlfn.XLOOKUP($A15,Inputs!$A:$A,Inputs!M:M,,0)</f>
        <v>-20</v>
      </c>
    </row>
    <row r="16" spans="1:25">
      <c r="A16" s="136" t="s">
        <v>69</v>
      </c>
      <c r="B16" s="57">
        <f>B11-B15</f>
        <v>1884.5</v>
      </c>
      <c r="C16" s="57">
        <f t="shared" ref="C16:M16" si="17">C11-C15</f>
        <v>1426</v>
      </c>
      <c r="D16" s="57">
        <f t="shared" si="17"/>
        <v>1345</v>
      </c>
      <c r="E16" s="57">
        <f t="shared" si="17"/>
        <v>1378</v>
      </c>
      <c r="F16" s="57">
        <f t="shared" si="17"/>
        <v>998.6</v>
      </c>
      <c r="G16" s="57">
        <f t="shared" si="17"/>
        <v>1138</v>
      </c>
      <c r="H16" s="57">
        <f t="shared" si="17"/>
        <v>875</v>
      </c>
      <c r="I16" s="57">
        <f t="shared" si="17"/>
        <v>799</v>
      </c>
      <c r="J16" s="57">
        <f t="shared" si="17"/>
        <v>548</v>
      </c>
      <c r="K16" s="57">
        <f t="shared" si="17"/>
        <v>593</v>
      </c>
      <c r="L16" s="57">
        <f t="shared" si="17"/>
        <v>508</v>
      </c>
      <c r="M16" s="58">
        <f t="shared" si="17"/>
        <v>367</v>
      </c>
      <c r="N16" s="54"/>
      <c r="O16" s="54"/>
      <c r="P16" s="54"/>
      <c r="Q16" s="54"/>
      <c r="R16" s="54"/>
      <c r="S16" s="54"/>
      <c r="T16" s="54"/>
      <c r="U16" s="54"/>
      <c r="V16" s="54"/>
      <c r="W16" s="54"/>
      <c r="X16" s="54"/>
      <c r="Y16" s="54"/>
    </row>
    <row r="17" spans="1:18">
      <c r="A17" s="134" t="s">
        <v>64</v>
      </c>
      <c r="B17" s="57">
        <f>_xlfn.XLOOKUP($A17,Inputs!$A:$A,Inputs!B:B,,0)</f>
        <v>716.3</v>
      </c>
      <c r="C17" s="57">
        <f>_xlfn.XLOOKUP($A17,Inputs!$A:$A,Inputs!C:C,,0)</f>
        <v>623.29999999999995</v>
      </c>
      <c r="D17" s="57">
        <f>_xlfn.XLOOKUP($A17,Inputs!$A:$A,Inputs!D:D,,0)</f>
        <v>616.1</v>
      </c>
      <c r="E17" s="57">
        <f>_xlfn.XLOOKUP($A17,Inputs!$A:$A,Inputs!E:E,,0)</f>
        <v>593.5</v>
      </c>
      <c r="F17" s="57">
        <f>_xlfn.XLOOKUP($A17,Inputs!$A:$A,Inputs!F:F,,0)</f>
        <v>555.20000000000005</v>
      </c>
      <c r="G17" s="57">
        <f>_xlfn.XLOOKUP($A17,Inputs!$A:$A,Inputs!G:G,,0)</f>
        <v>532.6</v>
      </c>
      <c r="H17" s="57">
        <f>_xlfn.XLOOKUP($A17,Inputs!$A:$A,Inputs!H:H,,0)</f>
        <v>621.1</v>
      </c>
      <c r="I17" s="57">
        <f>_xlfn.XLOOKUP($A17,Inputs!$A:$A,Inputs!I:I,,0)</f>
        <v>565.79999999999995</v>
      </c>
      <c r="J17" s="57">
        <f>_xlfn.XLOOKUP($A17,Inputs!$A:$A,Inputs!J:J,,0)</f>
        <v>472.5</v>
      </c>
      <c r="K17" s="57">
        <f>_xlfn.XLOOKUP($A17,Inputs!$A:$A,Inputs!K:K,,0)</f>
        <v>452.5</v>
      </c>
      <c r="L17" s="57">
        <f>_xlfn.XLOOKUP($A17,Inputs!$A:$A,Inputs!L:L,,0)</f>
        <v>502.8</v>
      </c>
      <c r="M17" s="58">
        <f>_xlfn.XLOOKUP($A17,Inputs!$A:$A,Inputs!M:M,,0)</f>
        <v>433</v>
      </c>
      <c r="N17" s="342"/>
    </row>
    <row r="18" spans="1:18">
      <c r="A18" s="136" t="s">
        <v>595</v>
      </c>
      <c r="B18" s="57">
        <f>_xlfn.XLOOKUP($A18,Inputs!$A:$A,Inputs!B:B,,0)</f>
        <v>-1673.1000000000001</v>
      </c>
      <c r="C18" s="57">
        <f>_xlfn.XLOOKUP($A18,Inputs!$A:$A,Inputs!C:C,,0)</f>
        <v>-329.79999999999995</v>
      </c>
      <c r="D18" s="57">
        <f>_xlfn.XLOOKUP($A18,Inputs!$A:$A,Inputs!D:D,,0)</f>
        <v>397</v>
      </c>
      <c r="E18" s="57">
        <f>_xlfn.XLOOKUP($A18,Inputs!$A:$A,Inputs!E:E,,0)</f>
        <v>-14</v>
      </c>
      <c r="F18" s="57">
        <f>_xlfn.XLOOKUP($A18,Inputs!$A:$A,Inputs!F:F,,0)</f>
        <v>-467</v>
      </c>
      <c r="G18" s="57">
        <f>_xlfn.XLOOKUP($A18,Inputs!$A:$A,Inputs!G:G,,0)</f>
        <v>-210</v>
      </c>
      <c r="H18" s="57">
        <f>_xlfn.XLOOKUP($A18,Inputs!$A:$A,Inputs!H:H,,0)</f>
        <v>139</v>
      </c>
      <c r="I18" s="57">
        <f>_xlfn.XLOOKUP($A18,Inputs!$A:$A,Inputs!I:I,,0)</f>
        <v>-314</v>
      </c>
      <c r="J18" s="57">
        <f>_xlfn.XLOOKUP($A18,Inputs!$A:$A,Inputs!J:J,,0)</f>
        <v>-253</v>
      </c>
      <c r="K18" s="57">
        <f>_xlfn.XLOOKUP($A18,Inputs!$A:$A,Inputs!K:K,,0)</f>
        <v>100</v>
      </c>
      <c r="L18" s="57">
        <f>_xlfn.XLOOKUP($A18,Inputs!$A:$A,Inputs!L:L,,0)</f>
        <v>-34</v>
      </c>
      <c r="M18" s="58">
        <f>_xlfn.XLOOKUP($A18,Inputs!$A:$A,Inputs!M:M,,0)</f>
        <v>-412</v>
      </c>
    </row>
    <row r="19" spans="1:18">
      <c r="A19" s="134" t="s">
        <v>59</v>
      </c>
      <c r="B19" s="57">
        <f>B11-B15-B17</f>
        <v>1168.2</v>
      </c>
      <c r="C19" s="57">
        <f>C11-C15-C17</f>
        <v>802.7</v>
      </c>
      <c r="D19" s="57">
        <f t="shared" ref="D19:M19" si="18">D11-D15-D17</f>
        <v>728.9</v>
      </c>
      <c r="E19" s="57">
        <f t="shared" si="18"/>
        <v>784.5</v>
      </c>
      <c r="F19" s="57">
        <f t="shared" si="18"/>
        <v>443.4</v>
      </c>
      <c r="G19" s="57">
        <f t="shared" si="18"/>
        <v>605.4</v>
      </c>
      <c r="H19" s="57">
        <f t="shared" si="18"/>
        <v>253.89999999999998</v>
      </c>
      <c r="I19" s="57">
        <f t="shared" si="18"/>
        <v>233.20000000000005</v>
      </c>
      <c r="J19" s="57">
        <f t="shared" si="18"/>
        <v>75.5</v>
      </c>
      <c r="K19" s="57">
        <f t="shared" si="18"/>
        <v>140.5</v>
      </c>
      <c r="L19" s="57">
        <f t="shared" si="18"/>
        <v>5.1999999999999886</v>
      </c>
      <c r="M19" s="57">
        <f t="shared" si="18"/>
        <v>-66</v>
      </c>
    </row>
    <row r="20" spans="1:18">
      <c r="A20" s="135" t="s">
        <v>596</v>
      </c>
      <c r="B20" s="60">
        <f t="shared" ref="B20" si="19">IFERROR(B19/B$5,"-")</f>
        <v>0.49249578414839801</v>
      </c>
      <c r="C20" s="60">
        <f t="shared" ref="C20" si="20">IFERROR(C19/C$5,"-")</f>
        <v>0.45659840728100115</v>
      </c>
      <c r="D20" s="60">
        <f t="shared" ref="D20" si="21">IFERROR(D19/D$5,"-")</f>
        <v>0.42108607741190063</v>
      </c>
      <c r="E20" s="60">
        <f t="shared" ref="E20" si="22">IFERROR(E19/E$5,"-")</f>
        <v>0.43009868421052633</v>
      </c>
      <c r="F20" s="60">
        <f t="shared" ref="F20" si="23">IFERROR(F19/F$5,"-")</f>
        <v>0.26133081864796365</v>
      </c>
      <c r="G20" s="60">
        <f t="shared" ref="G20" si="24">IFERROR(G19/G$5,"-")</f>
        <v>0.3313266199649737</v>
      </c>
      <c r="H20" s="60">
        <f t="shared" ref="H20" si="25">IFERROR(H19/H$5,"-")</f>
        <v>0.15380421613763023</v>
      </c>
      <c r="I20" s="60">
        <f t="shared" ref="I20" si="26">IFERROR(I19/I$5,"-")</f>
        <v>0.15074337427278606</v>
      </c>
      <c r="J20" s="60">
        <f t="shared" ref="J20" si="27">IFERROR(J19/J$5,"-")</f>
        <v>5.913683715829874E-2</v>
      </c>
      <c r="K20" s="60">
        <f t="shared" ref="K20" si="28">IFERROR(K19/K$5,"-")</f>
        <v>0.1067385854288536</v>
      </c>
      <c r="L20" s="60">
        <f t="shared" ref="L20" si="29">IFERROR(L19/L$5,"-")</f>
        <v>4.0463777137965829E-3</v>
      </c>
      <c r="M20" s="61">
        <f t="shared" ref="M20" si="30">IFERROR(M19/M$5,"-")</f>
        <v>-6.1751497005988025E-2</v>
      </c>
      <c r="P20" s="342"/>
      <c r="Q20" s="342"/>
      <c r="R20" s="342"/>
    </row>
    <row r="21" spans="1:18">
      <c r="A21" s="134" t="s">
        <v>299</v>
      </c>
      <c r="B21" s="57">
        <f>_xlfn.XLOOKUP($A21,Inputs!$A:$A,Inputs!B:B,,0)</f>
        <v>-142.19999999999999</v>
      </c>
      <c r="C21" s="57">
        <f>_xlfn.XLOOKUP($A21,Inputs!$A:$A,Inputs!C:C,,0)</f>
        <v>-90</v>
      </c>
      <c r="D21" s="57">
        <f>_xlfn.XLOOKUP($A21,Inputs!$A:$A,Inputs!D:D,,0)</f>
        <v>-83</v>
      </c>
      <c r="E21" s="57">
        <f>_xlfn.XLOOKUP($A21,Inputs!$A:$A,Inputs!E:E,,0)</f>
        <v>-83</v>
      </c>
      <c r="F21" s="57">
        <f>_xlfn.XLOOKUP($A21,Inputs!$A:$A,Inputs!F:F,,0)</f>
        <v>-63</v>
      </c>
      <c r="G21" s="57">
        <f>_xlfn.XLOOKUP($A21,Inputs!$A:$A,Inputs!G:G,,0)</f>
        <v>-48</v>
      </c>
      <c r="H21" s="57">
        <f>_xlfn.XLOOKUP($A21,Inputs!$A:$A,Inputs!H:H,,0)</f>
        <v>-38</v>
      </c>
      <c r="I21" s="57">
        <f>_xlfn.XLOOKUP($A21,Inputs!$A:$A,Inputs!I:I,,0)</f>
        <v>-45</v>
      </c>
      <c r="J21" s="57">
        <f>_xlfn.XLOOKUP($A21,Inputs!$A:$A,Inputs!J:J,,0)</f>
        <v>-16</v>
      </c>
      <c r="K21" s="57">
        <f>_xlfn.XLOOKUP($A21,Inputs!$A:$A,Inputs!K:K,,0)</f>
        <v>-57</v>
      </c>
      <c r="L21" s="57">
        <f>_xlfn.XLOOKUP($A21,Inputs!$A:$A,Inputs!L:L,,0)</f>
        <v>-46</v>
      </c>
      <c r="M21" s="58">
        <f>_xlfn.XLOOKUP($A21,Inputs!$A:$A,Inputs!M:M,,0)</f>
        <v>-28</v>
      </c>
    </row>
    <row r="22" spans="1:18">
      <c r="A22" s="135" t="s">
        <v>597</v>
      </c>
      <c r="B22" s="60">
        <f t="shared" ref="B22" si="31">IFERROR(B21/B$5,"-")</f>
        <v>-5.994940978077571E-2</v>
      </c>
      <c r="C22" s="60">
        <f t="shared" ref="C22" si="32">IFERROR(C21/C$5,"-")</f>
        <v>-5.1194539249146756E-2</v>
      </c>
      <c r="D22" s="60">
        <f t="shared" ref="D22" si="33">IFERROR(D21/D$5,"-")</f>
        <v>-4.7949162333911034E-2</v>
      </c>
      <c r="E22" s="60">
        <f t="shared" ref="E22" si="34">IFERROR(E21/E$5,"-")</f>
        <v>-4.5504385964912283E-2</v>
      </c>
      <c r="F22" s="60">
        <f t="shared" ref="F22" si="35">IFERROR(F21/F$5,"-")</f>
        <v>-3.7130901161077381E-2</v>
      </c>
      <c r="G22" s="60">
        <f t="shared" ref="G22" si="36">IFERROR(G21/G$5,"-")</f>
        <v>-2.6269702276707531E-2</v>
      </c>
      <c r="H22" s="60">
        <f t="shared" ref="H22" si="37">IFERROR(H21/H$5,"-")</f>
        <v>-2.301914223406833E-2</v>
      </c>
      <c r="I22" s="60">
        <f t="shared" ref="I22" si="38">IFERROR(I21/I$5,"-")</f>
        <v>-2.9088558500323207E-2</v>
      </c>
      <c r="J22" s="60">
        <f t="shared" ref="J22" si="39">IFERROR(J21/J$5,"-")</f>
        <v>-1.2532309861361321E-2</v>
      </c>
      <c r="K22" s="60">
        <f t="shared" ref="K22" si="40">IFERROR(K21/K$5,"-")</f>
        <v>-4.3303198359036697E-2</v>
      </c>
      <c r="L22" s="60">
        <f t="shared" ref="L22" si="41">IFERROR(L21/L$5,"-")</f>
        <v>-3.5794879775892928E-2</v>
      </c>
      <c r="M22" s="61">
        <f t="shared" ref="M22" si="42">IFERROR(M21/M$5,"-")</f>
        <v>-2.6197604790419163E-2</v>
      </c>
    </row>
    <row r="23" spans="1:18">
      <c r="A23" s="134" t="s">
        <v>74</v>
      </c>
      <c r="B23" s="57">
        <f>_xlfn.XLOOKUP($A23,Inputs!$A:$A,Inputs!B:B,,0)</f>
        <v>616.20000000000005</v>
      </c>
      <c r="C23" s="57">
        <f>_xlfn.XLOOKUP($A23,Inputs!$A:$A,Inputs!C:C,,0)</f>
        <v>655.4</v>
      </c>
      <c r="D23" s="57">
        <f>_xlfn.XLOOKUP($A23,Inputs!$A:$A,Inputs!D:D,,0)</f>
        <v>555.70000000000005</v>
      </c>
      <c r="E23" s="57">
        <f>_xlfn.XLOOKUP($A23,Inputs!$A:$A,Inputs!E:E,,0)</f>
        <v>475.1</v>
      </c>
      <c r="F23" s="57">
        <f>_xlfn.XLOOKUP($A23,Inputs!$A:$A,Inputs!F:F,,0)</f>
        <v>313.39999999999998</v>
      </c>
      <c r="G23" s="57">
        <f>_xlfn.XLOOKUP($A23,Inputs!$A:$A,Inputs!G:G,,0)</f>
        <v>275.89999999999998</v>
      </c>
      <c r="H23" s="57">
        <f>_xlfn.XLOOKUP($A23,Inputs!$A:$A,Inputs!H:H,,0)</f>
        <v>56.3</v>
      </c>
      <c r="I23" s="57">
        <f>_xlfn.XLOOKUP($A23,Inputs!$A:$A,Inputs!I:I,,0)</f>
        <v>166.6</v>
      </c>
      <c r="J23" s="57">
        <f>_xlfn.XLOOKUP($A23,Inputs!$A:$A,Inputs!J:J,,0)</f>
        <v>126</v>
      </c>
      <c r="K23" s="57">
        <f>_xlfn.XLOOKUP($A23,Inputs!$A:$A,Inputs!K:K,,0)</f>
        <v>135.1</v>
      </c>
      <c r="L23" s="57">
        <f>_xlfn.XLOOKUP($A23,Inputs!$A:$A,Inputs!L:L,,0)</f>
        <v>126.3</v>
      </c>
      <c r="M23" s="58">
        <f>_xlfn.XLOOKUP($A23,Inputs!$A:$A,Inputs!M:M,,0)</f>
        <v>88.6</v>
      </c>
    </row>
    <row r="24" spans="1:18">
      <c r="A24" s="135" t="s">
        <v>263</v>
      </c>
      <c r="B24" s="60">
        <f t="shared" ref="B24" si="43">IFERROR(B23/B$5,"-")</f>
        <v>0.25978077571669478</v>
      </c>
      <c r="C24" s="60">
        <f t="shared" ref="C24" si="44">IFERROR(C23/C$5,"-")</f>
        <v>0.37281001137656428</v>
      </c>
      <c r="D24" s="60">
        <f t="shared" ref="D24" si="45">IFERROR(D23/D$5,"-")</f>
        <v>0.32102830733679955</v>
      </c>
      <c r="E24" s="60">
        <f t="shared" ref="E24" si="46">IFERROR(E23/E$5,"-")</f>
        <v>0.26047149122807017</v>
      </c>
      <c r="F24" s="60">
        <f t="shared" ref="F24" si="47">IFERROR(F23/F$5,"-")</f>
        <v>0.18471149879177223</v>
      </c>
      <c r="G24" s="60">
        <f t="shared" ref="G24" si="48">IFERROR(G23/G$5,"-")</f>
        <v>0.15099605954465847</v>
      </c>
      <c r="H24" s="60">
        <f t="shared" ref="H24" si="49">IFERROR(H23/H$5,"-")</f>
        <v>3.4104676520474921E-2</v>
      </c>
      <c r="I24" s="60">
        <f t="shared" ref="I24" si="50">IFERROR(I23/I$5,"-")</f>
        <v>0.10769230769230768</v>
      </c>
      <c r="J24" s="60">
        <f t="shared" ref="J24" si="51">IFERROR(J23/J$5,"-")</f>
        <v>9.8691940158220415E-2</v>
      </c>
      <c r="K24" s="60">
        <f t="shared" ref="K24" si="52">IFERROR(K23/K$5,"-")</f>
        <v>0.10263617716326065</v>
      </c>
      <c r="L24" s="60">
        <f t="shared" ref="L24" si="53">IFERROR(L23/L$5,"-")</f>
        <v>9.8280289471636459E-2</v>
      </c>
      <c r="M24" s="61">
        <f t="shared" ref="M24" si="54">IFERROR(M23/M$5,"-")</f>
        <v>8.2896706586826352E-2</v>
      </c>
    </row>
    <row r="25" spans="1:18">
      <c r="A25" s="134" t="s">
        <v>589</v>
      </c>
      <c r="B25" s="743">
        <f t="shared" ref="B25" si="55">IFERROR(B24/C24-1,"-")</f>
        <v>-0.30318186800434932</v>
      </c>
      <c r="C25" s="60">
        <f t="shared" ref="C25" si="56">IFERROR(C24/D24-1,"-")</f>
        <v>0.16129949557824852</v>
      </c>
      <c r="D25" s="60">
        <f t="shared" ref="D25" si="57">IFERROR(D24/E24-1,"-")</f>
        <v>0.23248922875672995</v>
      </c>
      <c r="E25" s="744">
        <f>IFERROR(E24/F24-1,"-")</f>
        <v>0.41015309242714348</v>
      </c>
      <c r="F25" s="60">
        <f t="shared" ref="F25" si="58">IFERROR(F24/G24-1,"-")</f>
        <v>0.22328688145098319</v>
      </c>
      <c r="G25" s="744">
        <f t="shared" ref="G25" si="59">IFERROR(G24/H24-1,"-")</f>
        <v>3.4274297530430236</v>
      </c>
      <c r="H25" s="743">
        <f t="shared" ref="H25" si="60">IFERROR(H24/I24-1,"-")</f>
        <v>-0.68331371802416141</v>
      </c>
      <c r="I25" s="60">
        <f t="shared" ref="I25" si="61">IFERROR(I24/J24-1,"-")</f>
        <v>9.1196581196581139E-2</v>
      </c>
      <c r="J25" s="60">
        <f t="shared" ref="J25" si="62">IFERROR(J24/K24-1,"-")</f>
        <v>-3.8429305475458642E-2</v>
      </c>
      <c r="K25" s="60">
        <f t="shared" ref="K25" si="63">IFERROR(K24/L24-1,"-")</f>
        <v>4.4321071041221183E-2</v>
      </c>
      <c r="L25" s="60">
        <f t="shared" ref="L25" si="64">IFERROR(L24/M24-1,"-")</f>
        <v>0.18557532039825109</v>
      </c>
      <c r="M25" s="61" t="str">
        <f>IFERROR(M24/#REF!-1,"-")</f>
        <v>-</v>
      </c>
    </row>
    <row r="26" spans="1:18">
      <c r="A26" s="135" t="s">
        <v>598</v>
      </c>
      <c r="B26" s="63">
        <f>B39-C39</f>
        <v>168.10000000000014</v>
      </c>
      <c r="C26" s="63">
        <f t="shared" ref="C26:M26" si="65">C39-D39</f>
        <v>529.79999999999995</v>
      </c>
      <c r="D26" s="63">
        <f t="shared" si="65"/>
        <v>-108</v>
      </c>
      <c r="E26" s="63">
        <f t="shared" si="65"/>
        <v>30</v>
      </c>
      <c r="F26" s="63">
        <f t="shared" si="65"/>
        <v>164</v>
      </c>
      <c r="G26" s="63">
        <f t="shared" si="65"/>
        <v>-215</v>
      </c>
      <c r="H26" s="63">
        <f t="shared" si="65"/>
        <v>166</v>
      </c>
      <c r="I26" s="63">
        <f t="shared" si="65"/>
        <v>68</v>
      </c>
      <c r="J26" s="63">
        <f t="shared" si="65"/>
        <v>114</v>
      </c>
      <c r="K26" s="63">
        <f t="shared" si="65"/>
        <v>9</v>
      </c>
      <c r="L26" s="63">
        <f t="shared" si="65"/>
        <v>26</v>
      </c>
      <c r="M26" s="58">
        <f t="shared" si="65"/>
        <v>220</v>
      </c>
    </row>
    <row r="27" spans="1:18">
      <c r="A27" s="134" t="s">
        <v>142</v>
      </c>
      <c r="B27" s="57">
        <f>_xlfn.XLOOKUP($A27,Inputs!$A:$A,Inputs!B:B,,0)</f>
        <v>-155</v>
      </c>
      <c r="C27" s="57">
        <f>_xlfn.XLOOKUP($A27,Inputs!$A:$A,Inputs!C:C,,0)</f>
        <v>-114</v>
      </c>
      <c r="D27" s="57">
        <f>_xlfn.XLOOKUP($A27,Inputs!$A:$A,Inputs!D:D,,0)</f>
        <v>-107</v>
      </c>
      <c r="E27" s="57">
        <f>_xlfn.XLOOKUP($A27,Inputs!$A:$A,Inputs!E:E,,0)</f>
        <v>-99</v>
      </c>
      <c r="F27" s="57">
        <f>_xlfn.XLOOKUP($A27,Inputs!$A:$A,Inputs!F:F,,0)</f>
        <v>-113</v>
      </c>
      <c r="G27" s="57">
        <f>_xlfn.XLOOKUP($A27,Inputs!$A:$A,Inputs!G:G,,0)</f>
        <v>-92</v>
      </c>
      <c r="H27" s="57">
        <f>_xlfn.XLOOKUP($A27,Inputs!$A:$A,Inputs!H:H,,0)</f>
        <v>-85</v>
      </c>
      <c r="I27" s="57">
        <f>_xlfn.XLOOKUP($A27,Inputs!$A:$A,Inputs!I:I,,0)</f>
        <v>-78</v>
      </c>
      <c r="J27" s="57">
        <f>_xlfn.XLOOKUP($A27,Inputs!$A:$A,Inputs!J:J,,0)</f>
        <v>-68</v>
      </c>
      <c r="K27" s="57">
        <f>_xlfn.XLOOKUP($A27,Inputs!$A:$A,Inputs!K:K,,0)</f>
        <v>-52</v>
      </c>
      <c r="L27" s="57">
        <f>_xlfn.XLOOKUP($A27,Inputs!$A:$A,Inputs!L:L,,0)</f>
        <v>-5</v>
      </c>
      <c r="M27" s="58">
        <f>_xlfn.XLOOKUP($A27,Inputs!$A:$A,Inputs!M:M,,0)</f>
        <v>-7</v>
      </c>
    </row>
    <row r="28" spans="1:18">
      <c r="A28" s="136" t="s">
        <v>599</v>
      </c>
      <c r="B28" s="57">
        <f>_xlfn.XLOOKUP($A28,Inputs!$A:$A,Inputs!B:B,,0)</f>
        <v>0</v>
      </c>
      <c r="C28" s="57">
        <f>_xlfn.XLOOKUP($A28,Inputs!$A:$A,Inputs!C:C,,0)</f>
        <v>0</v>
      </c>
      <c r="D28" s="57">
        <f>_xlfn.XLOOKUP($A28,Inputs!$A:$A,Inputs!D:D,,0)</f>
        <v>0</v>
      </c>
      <c r="E28" s="57">
        <f>_xlfn.XLOOKUP($A28,Inputs!$A:$A,Inputs!E:E,,0)</f>
        <v>0</v>
      </c>
      <c r="F28" s="57">
        <f>_xlfn.XLOOKUP($A28,Inputs!$A:$A,Inputs!F:F,,0)</f>
        <v>0</v>
      </c>
      <c r="G28" s="57">
        <f>_xlfn.XLOOKUP($A28,Inputs!$A:$A,Inputs!G:G,,0)</f>
        <v>0</v>
      </c>
      <c r="H28" s="57">
        <f>_xlfn.XLOOKUP($A28,Inputs!$A:$A,Inputs!H:H,,0)</f>
        <v>0</v>
      </c>
      <c r="I28" s="57">
        <f>_xlfn.XLOOKUP($A28,Inputs!$A:$A,Inputs!I:I,,0)</f>
        <v>0</v>
      </c>
      <c r="J28" s="57">
        <f>_xlfn.XLOOKUP($A28,Inputs!$A:$A,Inputs!J:J,,0)</f>
        <v>0</v>
      </c>
      <c r="K28" s="57">
        <f>_xlfn.XLOOKUP($A28,Inputs!$A:$A,Inputs!K:K,,0)</f>
        <v>0</v>
      </c>
      <c r="L28" s="57">
        <f>_xlfn.XLOOKUP($A28,Inputs!$A:$A,Inputs!L:L,,0)</f>
        <v>0</v>
      </c>
      <c r="M28" s="58">
        <f>_xlfn.XLOOKUP($A28,Inputs!$A:$A,Inputs!M:M,,0)</f>
        <v>0</v>
      </c>
    </row>
    <row r="29" spans="1:18">
      <c r="A29" s="134" t="s">
        <v>134</v>
      </c>
      <c r="B29" s="63">
        <f>SUM(B26:B28)</f>
        <v>13.100000000000136</v>
      </c>
      <c r="C29" s="63">
        <f t="shared" ref="C29:M29" si="66">SUM(C26:C28)</f>
        <v>415.79999999999995</v>
      </c>
      <c r="D29" s="63">
        <f t="shared" si="66"/>
        <v>-215</v>
      </c>
      <c r="E29" s="63">
        <f t="shared" si="66"/>
        <v>-69</v>
      </c>
      <c r="F29" s="63">
        <f t="shared" si="66"/>
        <v>51</v>
      </c>
      <c r="G29" s="63">
        <f t="shared" si="66"/>
        <v>-307</v>
      </c>
      <c r="H29" s="63">
        <f t="shared" si="66"/>
        <v>81</v>
      </c>
      <c r="I29" s="63">
        <f t="shared" si="66"/>
        <v>-10</v>
      </c>
      <c r="J29" s="63">
        <f t="shared" si="66"/>
        <v>46</v>
      </c>
      <c r="K29" s="63">
        <f t="shared" si="66"/>
        <v>-43</v>
      </c>
      <c r="L29" s="63">
        <f t="shared" si="66"/>
        <v>21</v>
      </c>
      <c r="M29" s="58">
        <f t="shared" si="66"/>
        <v>213</v>
      </c>
    </row>
    <row r="30" spans="1:18">
      <c r="A30" s="136" t="s">
        <v>600</v>
      </c>
      <c r="B30" s="63">
        <f>+B29-(B58-C29)</f>
        <v>-5731.0999999999995</v>
      </c>
      <c r="C30" s="63">
        <f t="shared" ref="C30:M30" si="67">+C29-(C58-D29)</f>
        <v>-3840.2</v>
      </c>
      <c r="D30" s="63">
        <f t="shared" si="67"/>
        <v>-4231</v>
      </c>
      <c r="E30" s="63">
        <f t="shared" si="67"/>
        <v>-3435</v>
      </c>
      <c r="F30" s="63">
        <f t="shared" si="67"/>
        <v>-3906</v>
      </c>
      <c r="G30" s="63">
        <f t="shared" si="67"/>
        <v>-3463</v>
      </c>
      <c r="H30" s="63">
        <f t="shared" si="67"/>
        <v>-3335</v>
      </c>
      <c r="I30" s="63">
        <f t="shared" si="67"/>
        <v>-4184</v>
      </c>
      <c r="J30" s="63">
        <f t="shared" si="67"/>
        <v>-3898</v>
      </c>
      <c r="K30" s="63">
        <f t="shared" si="67"/>
        <v>-2688</v>
      </c>
      <c r="L30" s="63">
        <f t="shared" si="67"/>
        <v>-3640</v>
      </c>
      <c r="M30" s="58">
        <f t="shared" si="67"/>
        <v>-3613</v>
      </c>
    </row>
    <row r="31" spans="1:18">
      <c r="A31" s="134" t="s">
        <v>601</v>
      </c>
      <c r="B31" s="63">
        <f>+B30+B33</f>
        <v>-6901.0999999999995</v>
      </c>
      <c r="C31" s="63">
        <f t="shared" ref="C31:L31" si="68">+C30+C33</f>
        <v>-3928.2</v>
      </c>
      <c r="D31" s="63">
        <f t="shared" si="68"/>
        <v>-4811</v>
      </c>
      <c r="E31" s="63">
        <f t="shared" si="68"/>
        <v>-3448</v>
      </c>
      <c r="F31" s="63">
        <f t="shared" si="68"/>
        <v>-3906</v>
      </c>
      <c r="G31" s="63">
        <f t="shared" si="68"/>
        <v>-3475</v>
      </c>
      <c r="H31" s="63">
        <f t="shared" si="68"/>
        <v>-3388</v>
      </c>
      <c r="I31" s="63">
        <f t="shared" si="68"/>
        <v>-4343</v>
      </c>
      <c r="J31" s="63">
        <f t="shared" si="68"/>
        <v>-3918</v>
      </c>
      <c r="K31" s="63">
        <f t="shared" si="68"/>
        <v>-2735</v>
      </c>
      <c r="L31" s="63">
        <f t="shared" si="68"/>
        <v>-3669</v>
      </c>
      <c r="M31" s="58">
        <f t="shared" ref="M31" si="69">+M30+M33</f>
        <v>-3876</v>
      </c>
    </row>
    <row r="32" spans="1:18">
      <c r="A32" s="136" t="s">
        <v>139</v>
      </c>
      <c r="B32" s="57">
        <f>_xlfn.XLOOKUP($A32,Inputs!$A:$A,Inputs!B:B,,0)</f>
        <v>-3446</v>
      </c>
      <c r="C32" s="57">
        <f>_xlfn.XLOOKUP($A32,Inputs!$A:$A,Inputs!C:C,,0)</f>
        <v>-2552</v>
      </c>
      <c r="D32" s="57">
        <f>_xlfn.XLOOKUP($A32,Inputs!$A:$A,Inputs!D:D,,0)</f>
        <v>-2100</v>
      </c>
      <c r="E32" s="57">
        <f>_xlfn.XLOOKUP($A32,Inputs!$A:$A,Inputs!E:E,,0)</f>
        <v>-1109</v>
      </c>
      <c r="F32" s="57">
        <f>_xlfn.XLOOKUP($A32,Inputs!$A:$A,Inputs!F:F,,0)</f>
        <v>-1275</v>
      </c>
      <c r="G32" s="57">
        <f>_xlfn.XLOOKUP($A32,Inputs!$A:$A,Inputs!G:G,,0)</f>
        <v>-1007.25</v>
      </c>
      <c r="H32" s="57">
        <f>_xlfn.XLOOKUP($A32,Inputs!$A:$A,Inputs!H:H,,0)</f>
        <v>-1029</v>
      </c>
      <c r="I32" s="57">
        <f>_xlfn.XLOOKUP($A32,Inputs!$A:$A,Inputs!I:I,,0)</f>
        <v>-884.93999999999994</v>
      </c>
      <c r="J32" s="57">
        <f>_xlfn.XLOOKUP($A32,Inputs!$A:$A,Inputs!J:J,,0)</f>
        <v>-538</v>
      </c>
      <c r="K32" s="57">
        <f>_xlfn.XLOOKUP($A32,Inputs!$A:$A,Inputs!K:K,,0)</f>
        <v>-433</v>
      </c>
      <c r="L32" s="57">
        <f>_xlfn.XLOOKUP($A32,Inputs!$A:$A,Inputs!L:L,,0)</f>
        <v>-612</v>
      </c>
      <c r="M32" s="58">
        <f>_xlfn.XLOOKUP($A32,Inputs!$A:$A,Inputs!M:M,,0)</f>
        <v>-771.12</v>
      </c>
    </row>
    <row r="33" spans="1:13">
      <c r="A33" s="134" t="s">
        <v>140</v>
      </c>
      <c r="B33" s="57">
        <f>_xlfn.XLOOKUP($A33,Inputs!$A:$A,Inputs!B:B,,0)</f>
        <v>-1170</v>
      </c>
      <c r="C33" s="57">
        <f>_xlfn.XLOOKUP($A33,Inputs!$A:$A,Inputs!C:C,,0)</f>
        <v>-88</v>
      </c>
      <c r="D33" s="57">
        <f>_xlfn.XLOOKUP($A33,Inputs!$A:$A,Inputs!D:D,,0)</f>
        <v>-580</v>
      </c>
      <c r="E33" s="57">
        <f>_xlfn.XLOOKUP($A33,Inputs!$A:$A,Inputs!E:E,,0)</f>
        <v>-13</v>
      </c>
      <c r="F33" s="57">
        <f>_xlfn.XLOOKUP($A33,Inputs!$A:$A,Inputs!F:F,,0)</f>
        <v>0</v>
      </c>
      <c r="G33" s="57">
        <f>_xlfn.XLOOKUP($A33,Inputs!$A:$A,Inputs!G:G,,0)</f>
        <v>-12</v>
      </c>
      <c r="H33" s="57">
        <f>_xlfn.XLOOKUP($A33,Inputs!$A:$A,Inputs!H:H,,0)</f>
        <v>-53</v>
      </c>
      <c r="I33" s="57">
        <f>_xlfn.XLOOKUP($A33,Inputs!$A:$A,Inputs!I:I,,0)</f>
        <v>-159</v>
      </c>
      <c r="J33" s="57">
        <f>_xlfn.XLOOKUP($A33,Inputs!$A:$A,Inputs!J:J,,0)</f>
        <v>-20</v>
      </c>
      <c r="K33" s="57">
        <f>_xlfn.XLOOKUP($A33,Inputs!$A:$A,Inputs!K:K,,0)</f>
        <v>-47</v>
      </c>
      <c r="L33" s="57">
        <f>_xlfn.XLOOKUP($A33,Inputs!$A:$A,Inputs!L:L,,0)</f>
        <v>-29</v>
      </c>
      <c r="M33" s="58">
        <f>_xlfn.XLOOKUP($A33,Inputs!$A:$A,Inputs!M:M,,0)</f>
        <v>-263</v>
      </c>
    </row>
    <row r="34" spans="1:13">
      <c r="A34" s="135" t="s">
        <v>135</v>
      </c>
      <c r="B34" s="745">
        <f t="shared" ref="B34:M34" si="70">+B32+B33</f>
        <v>-4616</v>
      </c>
      <c r="C34" s="745">
        <f t="shared" si="70"/>
        <v>-2640</v>
      </c>
      <c r="D34" s="63">
        <f t="shared" si="70"/>
        <v>-2680</v>
      </c>
      <c r="E34" s="63">
        <f t="shared" si="70"/>
        <v>-1122</v>
      </c>
      <c r="F34" s="63">
        <f t="shared" si="70"/>
        <v>-1275</v>
      </c>
      <c r="G34" s="63">
        <f t="shared" si="70"/>
        <v>-1019.25</v>
      </c>
      <c r="H34" s="63">
        <f t="shared" si="70"/>
        <v>-1082</v>
      </c>
      <c r="I34" s="63">
        <f t="shared" si="70"/>
        <v>-1043.94</v>
      </c>
      <c r="J34" s="63">
        <f t="shared" si="70"/>
        <v>-558</v>
      </c>
      <c r="K34" s="63">
        <f t="shared" si="70"/>
        <v>-480</v>
      </c>
      <c r="L34" s="63">
        <f t="shared" si="70"/>
        <v>-641</v>
      </c>
      <c r="M34" s="64">
        <f t="shared" si="70"/>
        <v>-1034.1199999999999</v>
      </c>
    </row>
    <row r="35" spans="1:13">
      <c r="A35" s="134" t="s">
        <v>133</v>
      </c>
      <c r="B35" s="63">
        <f t="shared" ref="B35:M35" si="71">+B27+B28</f>
        <v>-155</v>
      </c>
      <c r="C35" s="63">
        <f t="shared" si="71"/>
        <v>-114</v>
      </c>
      <c r="D35" s="63">
        <f t="shared" si="71"/>
        <v>-107</v>
      </c>
      <c r="E35" s="63">
        <f t="shared" si="71"/>
        <v>-99</v>
      </c>
      <c r="F35" s="63">
        <f t="shared" si="71"/>
        <v>-113</v>
      </c>
      <c r="G35" s="63">
        <f t="shared" si="71"/>
        <v>-92</v>
      </c>
      <c r="H35" s="63">
        <f t="shared" si="71"/>
        <v>-85</v>
      </c>
      <c r="I35" s="63">
        <f t="shared" si="71"/>
        <v>-78</v>
      </c>
      <c r="J35" s="63">
        <f t="shared" si="71"/>
        <v>-68</v>
      </c>
      <c r="K35" s="63">
        <f t="shared" si="71"/>
        <v>-52</v>
      </c>
      <c r="L35" s="63">
        <f t="shared" si="71"/>
        <v>-5</v>
      </c>
      <c r="M35" s="64">
        <f t="shared" si="71"/>
        <v>-7</v>
      </c>
    </row>
    <row r="36" spans="1:13">
      <c r="A36" s="136" t="s">
        <v>602</v>
      </c>
      <c r="B36" s="744">
        <f>IFERROR(B35/B23,"-")</f>
        <v>-0.25154170723790975</v>
      </c>
      <c r="C36" s="60">
        <f t="shared" ref="C36:M36" si="72">IFERROR(C35/C23,"-")</f>
        <v>-0.17393957888312481</v>
      </c>
      <c r="D36" s="60">
        <f t="shared" si="72"/>
        <v>-0.19254993701637574</v>
      </c>
      <c r="E36" s="60">
        <f t="shared" si="72"/>
        <v>-0.20837718375078929</v>
      </c>
      <c r="F36" s="60">
        <f t="shared" si="72"/>
        <v>-0.36056158264199112</v>
      </c>
      <c r="G36" s="60">
        <f t="shared" si="72"/>
        <v>-0.33345415005436757</v>
      </c>
      <c r="H36" s="60">
        <f t="shared" si="72"/>
        <v>-1.5097690941385435</v>
      </c>
      <c r="I36" s="60">
        <f t="shared" si="72"/>
        <v>-0.46818727490996398</v>
      </c>
      <c r="J36" s="60">
        <f t="shared" si="72"/>
        <v>-0.53968253968253965</v>
      </c>
      <c r="K36" s="60">
        <f t="shared" si="72"/>
        <v>-0.38490007401924503</v>
      </c>
      <c r="L36" s="60">
        <f t="shared" si="72"/>
        <v>-3.9588281868566902E-2</v>
      </c>
      <c r="M36" s="61">
        <f t="shared" si="72"/>
        <v>-7.900677200902935E-2</v>
      </c>
    </row>
    <row r="37" spans="1:13">
      <c r="A37" s="7"/>
      <c r="B37" s="48"/>
      <c r="C37" s="48"/>
      <c r="D37" s="48"/>
      <c r="E37" s="48"/>
      <c r="F37" s="48"/>
      <c r="G37" s="48"/>
      <c r="H37" s="48"/>
      <c r="I37" s="48"/>
      <c r="J37" s="48"/>
      <c r="K37" s="48"/>
      <c r="L37" s="48"/>
      <c r="M37" s="48"/>
    </row>
    <row r="38" spans="1:13" ht="20.25">
      <c r="A38" s="1086" t="s">
        <v>603</v>
      </c>
      <c r="B38" s="1086"/>
      <c r="C38" s="1086"/>
      <c r="D38" s="1086"/>
      <c r="E38" s="1086"/>
      <c r="F38" s="1086"/>
      <c r="G38" s="1086"/>
      <c r="H38" s="1086"/>
      <c r="I38" s="1086"/>
      <c r="J38" s="1086"/>
      <c r="K38" s="1086"/>
      <c r="L38" s="1086"/>
      <c r="M38" s="1086"/>
    </row>
    <row r="39" spans="1:13">
      <c r="A39" s="137" t="s">
        <v>301</v>
      </c>
      <c r="B39" s="746">
        <f>_xlfn.XLOOKUP($A39,Inputs!$A:$A,Inputs!B:B,,0)</f>
        <v>1171.9000000000001</v>
      </c>
      <c r="C39" s="746">
        <f>_xlfn.XLOOKUP($A39,Inputs!$A:$A,Inputs!C:C,,0)</f>
        <v>1003.8</v>
      </c>
      <c r="D39" s="57">
        <f>_xlfn.XLOOKUP($A39,Inputs!$A:$A,Inputs!D:D,,0)</f>
        <v>474</v>
      </c>
      <c r="E39" s="57">
        <f>_xlfn.XLOOKUP($A39,Inputs!$A:$A,Inputs!E:E,,0)</f>
        <v>582</v>
      </c>
      <c r="F39" s="57">
        <f>_xlfn.XLOOKUP($A39,Inputs!$A:$A,Inputs!F:F,,0)</f>
        <v>552</v>
      </c>
      <c r="G39" s="57">
        <f>_xlfn.XLOOKUP($A39,Inputs!$A:$A,Inputs!G:G,,0)</f>
        <v>388</v>
      </c>
      <c r="H39" s="57">
        <f>_xlfn.XLOOKUP($A39,Inputs!$A:$A,Inputs!H:H,,0)</f>
        <v>603</v>
      </c>
      <c r="I39" s="57">
        <f>_xlfn.XLOOKUP($A39,Inputs!$A:$A,Inputs!I:I,,0)</f>
        <v>437</v>
      </c>
      <c r="J39" s="57">
        <f>_xlfn.XLOOKUP($A39,Inputs!$A:$A,Inputs!J:J,,0)</f>
        <v>369</v>
      </c>
      <c r="K39" s="57">
        <f>_xlfn.XLOOKUP($A39,Inputs!$A:$A,Inputs!K:K,,0)</f>
        <v>255</v>
      </c>
      <c r="L39" s="57">
        <f>_xlfn.XLOOKUP($A39,Inputs!$A:$A,Inputs!L:L,,0)</f>
        <v>246</v>
      </c>
      <c r="M39" s="58">
        <f>_xlfn.XLOOKUP($A39,Inputs!$A:$A,Inputs!M:M,,0)</f>
        <v>220</v>
      </c>
    </row>
    <row r="40" spans="1:13">
      <c r="A40" s="135" t="s">
        <v>604</v>
      </c>
      <c r="B40" s="57">
        <f>_xlfn.XLOOKUP($A40,Inputs!$A:$A,Inputs!B:B,,0)</f>
        <v>411.1</v>
      </c>
      <c r="C40" s="57">
        <f>_xlfn.XLOOKUP($A40,Inputs!$A:$A,Inputs!C:C,,0)</f>
        <v>393.4</v>
      </c>
      <c r="D40" s="57">
        <f>_xlfn.XLOOKUP($A40,Inputs!$A:$A,Inputs!D:D,,0)</f>
        <v>256</v>
      </c>
      <c r="E40" s="57">
        <f>_xlfn.XLOOKUP($A40,Inputs!$A:$A,Inputs!E:E,,0)</f>
        <v>284</v>
      </c>
      <c r="F40" s="57">
        <f>_xlfn.XLOOKUP($A40,Inputs!$A:$A,Inputs!F:F,,0)</f>
        <v>314</v>
      </c>
      <c r="G40" s="57">
        <f>_xlfn.XLOOKUP($A40,Inputs!$A:$A,Inputs!G:G,,0)</f>
        <v>323</v>
      </c>
      <c r="H40" s="57">
        <f>_xlfn.XLOOKUP($A40,Inputs!$A:$A,Inputs!H:H,,0)</f>
        <v>281</v>
      </c>
      <c r="I40" s="57">
        <f>_xlfn.XLOOKUP($A40,Inputs!$A:$A,Inputs!I:I,,0)</f>
        <v>260</v>
      </c>
      <c r="J40" s="57">
        <f>_xlfn.XLOOKUP($A40,Inputs!$A:$A,Inputs!J:J,,0)</f>
        <v>141</v>
      </c>
      <c r="K40" s="57">
        <f>_xlfn.XLOOKUP($A40,Inputs!$A:$A,Inputs!K:K,,0)</f>
        <v>202</v>
      </c>
      <c r="L40" s="57">
        <f>_xlfn.XLOOKUP($A40,Inputs!$A:$A,Inputs!L:L,,0)</f>
        <v>176</v>
      </c>
      <c r="M40" s="58">
        <f>_xlfn.XLOOKUP($A40,Inputs!$A:$A,Inputs!M:M,,0)</f>
        <v>146</v>
      </c>
    </row>
    <row r="41" spans="1:13">
      <c r="A41" s="137" t="s">
        <v>303</v>
      </c>
      <c r="B41" s="57">
        <f>_xlfn.XLOOKUP($A41,Inputs!$A:$A,Inputs!B:B,,0)</f>
        <v>253</v>
      </c>
      <c r="C41" s="57">
        <f>_xlfn.XLOOKUP($A41,Inputs!$A:$A,Inputs!C:C,,0)</f>
        <v>220</v>
      </c>
      <c r="D41" s="57">
        <f>_xlfn.XLOOKUP($A41,Inputs!$A:$A,Inputs!D:D,,0)</f>
        <v>55</v>
      </c>
      <c r="E41" s="57">
        <f>_xlfn.XLOOKUP($A41,Inputs!$A:$A,Inputs!E:E,,0)</f>
        <v>34</v>
      </c>
      <c r="F41" s="57">
        <f>_xlfn.XLOOKUP($A41,Inputs!$A:$A,Inputs!F:F,,0)</f>
        <v>36</v>
      </c>
      <c r="G41" s="57">
        <f>_xlfn.XLOOKUP($A41,Inputs!$A:$A,Inputs!G:G,,0)</f>
        <v>29</v>
      </c>
      <c r="H41" s="57">
        <f>_xlfn.XLOOKUP($A41,Inputs!$A:$A,Inputs!H:H,,0)</f>
        <v>24</v>
      </c>
      <c r="I41" s="57">
        <f>_xlfn.XLOOKUP($A41,Inputs!$A:$A,Inputs!I:I,,0)</f>
        <v>23</v>
      </c>
      <c r="J41" s="57">
        <f>_xlfn.XLOOKUP($A41,Inputs!$A:$A,Inputs!J:J,,0)</f>
        <v>21</v>
      </c>
      <c r="K41" s="57">
        <f>_xlfn.XLOOKUP($A41,Inputs!$A:$A,Inputs!K:K,,0)</f>
        <v>15</v>
      </c>
      <c r="L41" s="57">
        <f>_xlfn.XLOOKUP($A41,Inputs!$A:$A,Inputs!L:L,,0)</f>
        <v>16</v>
      </c>
      <c r="M41" s="58">
        <f>_xlfn.XLOOKUP($A41,Inputs!$A:$A,Inputs!M:M,,0)</f>
        <v>24</v>
      </c>
    </row>
    <row r="42" spans="1:13">
      <c r="A42" s="135" t="s">
        <v>605</v>
      </c>
      <c r="B42" s="57">
        <f>_xlfn.XLOOKUP($A42,Inputs!$A:$A,Inputs!B:B,,0)</f>
        <v>17891</v>
      </c>
      <c r="C42" s="57">
        <f>_xlfn.XLOOKUP($A42,Inputs!$A:$A,Inputs!C:C,,0)</f>
        <v>14562</v>
      </c>
      <c r="D42" s="57">
        <f>_xlfn.XLOOKUP($A42,Inputs!$A:$A,Inputs!D:D,,0)</f>
        <v>13492</v>
      </c>
      <c r="E42" s="57">
        <f>_xlfn.XLOOKUP($A42,Inputs!$A:$A,Inputs!E:E,,0)</f>
        <v>13264</v>
      </c>
      <c r="F42" s="57">
        <f>_xlfn.XLOOKUP($A42,Inputs!$A:$A,Inputs!F:F,,0)</f>
        <v>13922</v>
      </c>
      <c r="G42" s="57">
        <f>_xlfn.XLOOKUP($A42,Inputs!$A:$A,Inputs!G:G,,0)</f>
        <v>13185</v>
      </c>
      <c r="H42" s="57">
        <f>_xlfn.XLOOKUP($A42,Inputs!$A:$A,Inputs!H:H,,0)</f>
        <v>13437</v>
      </c>
      <c r="I42" s="57">
        <f>_xlfn.XLOOKUP($A42,Inputs!$A:$A,Inputs!I:I,,0)</f>
        <v>12612</v>
      </c>
      <c r="J42" s="57">
        <f>_xlfn.XLOOKUP($A42,Inputs!$A:$A,Inputs!J:J,,0)</f>
        <v>11013</v>
      </c>
      <c r="K42" s="57">
        <f>_xlfn.XLOOKUP($A42,Inputs!$A:$A,Inputs!K:K,,0)</f>
        <v>10096</v>
      </c>
      <c r="L42" s="57">
        <f>_xlfn.XLOOKUP($A42,Inputs!$A:$A,Inputs!L:L,,0)</f>
        <v>10537</v>
      </c>
      <c r="M42" s="58">
        <f>_xlfn.XLOOKUP($A42,Inputs!$A:$A,Inputs!M:M,,0)</f>
        <v>10455</v>
      </c>
    </row>
    <row r="43" spans="1:13">
      <c r="A43" s="137" t="s">
        <v>606</v>
      </c>
      <c r="B43" s="57">
        <f>_xlfn.XLOOKUP($A43,Inputs!$A:$A,Inputs!B:B,,0)</f>
        <v>6566</v>
      </c>
      <c r="C43" s="57">
        <f>_xlfn.XLOOKUP($A43,Inputs!$A:$A,Inputs!C:C,,0)</f>
        <v>4848.8</v>
      </c>
      <c r="D43" s="57">
        <f>_xlfn.XLOOKUP($A43,Inputs!$A:$A,Inputs!D:D,,0)</f>
        <v>3398</v>
      </c>
      <c r="E43" s="57">
        <f>_xlfn.XLOOKUP($A43,Inputs!$A:$A,Inputs!E:E,,0)</f>
        <v>3053</v>
      </c>
      <c r="F43" s="57">
        <f>_xlfn.XLOOKUP($A43,Inputs!$A:$A,Inputs!F:F,,0)</f>
        <v>1209</v>
      </c>
      <c r="G43" s="57">
        <f>_xlfn.XLOOKUP($A43,Inputs!$A:$A,Inputs!G:G,,0)</f>
        <v>881</v>
      </c>
      <c r="H43" s="57">
        <f>_xlfn.XLOOKUP($A43,Inputs!$A:$A,Inputs!H:H,,0)</f>
        <v>769</v>
      </c>
      <c r="I43" s="57">
        <f>_xlfn.XLOOKUP($A43,Inputs!$A:$A,Inputs!I:I,,0)</f>
        <v>1038</v>
      </c>
      <c r="J43" s="57">
        <f>_xlfn.XLOOKUP($A43,Inputs!$A:$A,Inputs!J:J,,0)</f>
        <v>1619</v>
      </c>
      <c r="K43" s="57">
        <f>_xlfn.XLOOKUP($A43,Inputs!$A:$A,Inputs!K:K,,0)</f>
        <v>1402</v>
      </c>
      <c r="L43" s="57">
        <f>_xlfn.XLOOKUP($A43,Inputs!$A:$A,Inputs!L:L,,0)</f>
        <v>1302</v>
      </c>
      <c r="M43" s="58">
        <f>_xlfn.XLOOKUP($A43,Inputs!$A:$A,Inputs!M:M,,0)</f>
        <v>1230</v>
      </c>
    </row>
    <row r="44" spans="1:13">
      <c r="A44" s="138" t="s">
        <v>46</v>
      </c>
      <c r="B44" s="67">
        <f>_xlfn.XLOOKUP($A44,Inputs!$A:$A,Inputs!B:B,,0)</f>
        <v>27493</v>
      </c>
      <c r="C44" s="67">
        <f>_xlfn.XLOOKUP($A44,Inputs!$A:$A,Inputs!C:C,,0)</f>
        <v>22032</v>
      </c>
      <c r="D44" s="67">
        <f>_xlfn.XLOOKUP($A44,Inputs!$A:$A,Inputs!D:D,,0)</f>
        <v>18163</v>
      </c>
      <c r="E44" s="67">
        <f>_xlfn.XLOOKUP($A44,Inputs!$A:$A,Inputs!E:E,,0)</f>
        <v>17693</v>
      </c>
      <c r="F44" s="67">
        <f>_xlfn.XLOOKUP($A44,Inputs!$A:$A,Inputs!F:F,,0)</f>
        <v>17539</v>
      </c>
      <c r="G44" s="67">
        <f>_xlfn.XLOOKUP($A44,Inputs!$A:$A,Inputs!G:G,,0)</f>
        <v>16224</v>
      </c>
      <c r="H44" s="67">
        <f>_xlfn.XLOOKUP($A44,Inputs!$A:$A,Inputs!H:H,,0)</f>
        <v>16734</v>
      </c>
      <c r="I44" s="67">
        <f>_xlfn.XLOOKUP($A44,Inputs!$A:$A,Inputs!I:I,,0)</f>
        <v>15736</v>
      </c>
      <c r="J44" s="67">
        <f>_xlfn.XLOOKUP($A44,Inputs!$A:$A,Inputs!J:J,,0)</f>
        <v>14316</v>
      </c>
      <c r="K44" s="67">
        <f>_xlfn.XLOOKUP($A44,Inputs!$A:$A,Inputs!K:K,,0)</f>
        <v>13058</v>
      </c>
      <c r="L44" s="67">
        <f>_xlfn.XLOOKUP($A44,Inputs!$A:$A,Inputs!L:L,,0)</f>
        <v>13302</v>
      </c>
      <c r="M44" s="67">
        <f>_xlfn.XLOOKUP($A44,Inputs!$A:$A,Inputs!M:M,,0)</f>
        <v>13045</v>
      </c>
    </row>
    <row r="45" spans="1:13">
      <c r="B45"/>
      <c r="C45"/>
      <c r="D45"/>
      <c r="E45"/>
      <c r="F45"/>
      <c r="G45"/>
      <c r="H45"/>
      <c r="I45"/>
      <c r="J45"/>
      <c r="K45"/>
      <c r="L45"/>
      <c r="M45"/>
    </row>
    <row r="46" spans="1:13">
      <c r="B46"/>
      <c r="C46"/>
      <c r="D46"/>
      <c r="E46"/>
      <c r="F46"/>
      <c r="G46"/>
      <c r="H46"/>
      <c r="I46"/>
      <c r="J46"/>
      <c r="K46"/>
      <c r="L46"/>
      <c r="M46"/>
    </row>
    <row r="47" spans="1:13" ht="20.25">
      <c r="A47" s="1086" t="s">
        <v>607</v>
      </c>
      <c r="B47" s="1086"/>
      <c r="C47" s="1086"/>
      <c r="D47" s="1086"/>
      <c r="E47" s="1086"/>
      <c r="F47" s="1086"/>
      <c r="G47" s="1086"/>
      <c r="H47" s="1086"/>
      <c r="I47" s="1086"/>
      <c r="J47" s="1086"/>
      <c r="K47" s="1086"/>
      <c r="L47" s="1086"/>
      <c r="M47" s="1086"/>
    </row>
    <row r="48" spans="1:13">
      <c r="A48" s="139" t="s">
        <v>307</v>
      </c>
      <c r="B48" s="67">
        <f>_xlfn.XLOOKUP($A48,Inputs!$A:$A,Inputs!B:B,,0)</f>
        <v>5455</v>
      </c>
      <c r="C48" s="67">
        <f>_xlfn.XLOOKUP($A48,Inputs!$A:$A,Inputs!C:C,,0)</f>
        <v>3605</v>
      </c>
      <c r="D48" s="67">
        <f>_xlfn.XLOOKUP($A48,Inputs!$A:$A,Inputs!D:D,,0)</f>
        <v>2126</v>
      </c>
      <c r="E48" s="67">
        <f>_xlfn.XLOOKUP($A48,Inputs!$A:$A,Inputs!E:E,,0)</f>
        <v>2458</v>
      </c>
      <c r="F48" s="67">
        <f>_xlfn.XLOOKUP($A48,Inputs!$A:$A,Inputs!F:F,,0)</f>
        <v>2251</v>
      </c>
      <c r="G48" s="67">
        <f>_xlfn.XLOOKUP($A48,Inputs!$A:$A,Inputs!G:G,,0)</f>
        <v>1590</v>
      </c>
      <c r="H48" s="67">
        <f>_xlfn.XLOOKUP($A48,Inputs!$A:$A,Inputs!H:H,,0)</f>
        <v>1276</v>
      </c>
      <c r="I48" s="67">
        <f>_xlfn.XLOOKUP($A48,Inputs!$A:$A,Inputs!I:I,,0)</f>
        <v>1498</v>
      </c>
      <c r="J48" s="67">
        <f>_xlfn.XLOOKUP($A48,Inputs!$A:$A,Inputs!J:J,,0)</f>
        <v>1202</v>
      </c>
      <c r="K48" s="67">
        <f>_xlfn.XLOOKUP($A48,Inputs!$A:$A,Inputs!K:K,,0)</f>
        <v>851</v>
      </c>
      <c r="L48" s="67">
        <f>_xlfn.XLOOKUP($A48,Inputs!$A:$A,Inputs!L:L,,0)</f>
        <v>1137</v>
      </c>
      <c r="M48" s="67">
        <f>_xlfn.XLOOKUP($A48,Inputs!$A:$A,Inputs!M:M,,0)</f>
        <v>1083</v>
      </c>
    </row>
    <row r="49" spans="1:13">
      <c r="A49" s="140" t="s">
        <v>608</v>
      </c>
      <c r="B49" s="57">
        <f>_xlfn.XLOOKUP($A49,Inputs!$A:$A,Inputs!B:B,,0)</f>
        <v>1290</v>
      </c>
      <c r="C49" s="57">
        <f>_xlfn.XLOOKUP($A49,Inputs!$A:$A,Inputs!C:C,,0)</f>
        <v>688</v>
      </c>
      <c r="D49" s="57">
        <f>_xlfn.XLOOKUP($A49,Inputs!$A:$A,Inputs!D:D,,0)</f>
        <v>497</v>
      </c>
      <c r="E49" s="57">
        <f>_xlfn.XLOOKUP($A49,Inputs!$A:$A,Inputs!E:E,,0)</f>
        <v>818</v>
      </c>
      <c r="F49" s="57">
        <f>_xlfn.XLOOKUP($A49,Inputs!$A:$A,Inputs!F:F,,0)</f>
        <v>442</v>
      </c>
      <c r="G49" s="57">
        <f>_xlfn.XLOOKUP($A49,Inputs!$A:$A,Inputs!G:G,,0)</f>
        <v>428</v>
      </c>
      <c r="H49" s="57">
        <f>_xlfn.XLOOKUP($A49,Inputs!$A:$A,Inputs!H:H,,0)</f>
        <v>113</v>
      </c>
      <c r="I49" s="57">
        <f>_xlfn.XLOOKUP($A49,Inputs!$A:$A,Inputs!I:I,,0)</f>
        <v>388</v>
      </c>
      <c r="J49" s="57">
        <f>_xlfn.XLOOKUP($A49,Inputs!$A:$A,Inputs!J:J,,0)</f>
        <v>185</v>
      </c>
      <c r="K49" s="57">
        <f>_xlfn.XLOOKUP($A49,Inputs!$A:$A,Inputs!K:K,,0)</f>
        <v>145</v>
      </c>
      <c r="L49" s="57">
        <f>_xlfn.XLOOKUP($A49,Inputs!$A:$A,Inputs!L:L,,0)</f>
        <v>217</v>
      </c>
      <c r="M49" s="57">
        <f>_xlfn.XLOOKUP($A49,Inputs!$A:$A,Inputs!M:M,,0)</f>
        <v>135</v>
      </c>
    </row>
    <row r="50" spans="1:13">
      <c r="A50" s="134" t="s">
        <v>609</v>
      </c>
      <c r="B50" s="57">
        <f>_xlfn.XLOOKUP($A50,Inputs!$A:$A,Inputs!B:B,,0)</f>
        <v>0</v>
      </c>
      <c r="C50" s="57">
        <f>_xlfn.XLOOKUP($A50,Inputs!$A:$A,Inputs!C:C,,0)</f>
        <v>0</v>
      </c>
      <c r="D50" s="57">
        <f>_xlfn.XLOOKUP($A50,Inputs!$A:$A,Inputs!D:D,,0)</f>
        <v>0</v>
      </c>
      <c r="E50" s="57">
        <f>_xlfn.XLOOKUP($A50,Inputs!$A:$A,Inputs!E:E,,0)</f>
        <v>0</v>
      </c>
      <c r="F50" s="57">
        <f>_xlfn.XLOOKUP($A50,Inputs!$A:$A,Inputs!F:F,,0)</f>
        <v>0</v>
      </c>
      <c r="G50" s="57">
        <f>_xlfn.XLOOKUP($A50,Inputs!$A:$A,Inputs!G:G,,0)</f>
        <v>0</v>
      </c>
      <c r="H50" s="57">
        <f>_xlfn.XLOOKUP($A50,Inputs!$A:$A,Inputs!H:H,,0)</f>
        <v>0</v>
      </c>
      <c r="I50" s="57">
        <f>_xlfn.XLOOKUP($A50,Inputs!$A:$A,Inputs!I:I,,0)</f>
        <v>0</v>
      </c>
      <c r="J50" s="57">
        <f>_xlfn.XLOOKUP($A50,Inputs!$A:$A,Inputs!J:J,,0)</f>
        <v>0</v>
      </c>
      <c r="K50" s="57">
        <f>_xlfn.XLOOKUP($A50,Inputs!$A:$A,Inputs!K:K,,0)</f>
        <v>0</v>
      </c>
      <c r="L50" s="57">
        <f>_xlfn.XLOOKUP($A50,Inputs!$A:$A,Inputs!L:L,,0)</f>
        <v>0</v>
      </c>
      <c r="M50" s="57">
        <f>_xlfn.XLOOKUP($A50,Inputs!$A:$A,Inputs!M:M,,0)</f>
        <v>0</v>
      </c>
    </row>
    <row r="51" spans="1:13">
      <c r="A51" s="135" t="s">
        <v>610</v>
      </c>
      <c r="B51" s="57">
        <f>_xlfn.XLOOKUP($A51,Inputs!$A:$A,Inputs!B:B,,0)</f>
        <v>1010</v>
      </c>
      <c r="C51" s="57">
        <f>_xlfn.XLOOKUP($A51,Inputs!$A:$A,Inputs!C:C,,0)</f>
        <v>968</v>
      </c>
      <c r="D51" s="57">
        <f>_xlfn.XLOOKUP($A51,Inputs!$A:$A,Inputs!D:D,,0)</f>
        <v>168</v>
      </c>
      <c r="E51" s="57">
        <f>_xlfn.XLOOKUP($A51,Inputs!$A:$A,Inputs!E:E,,0)</f>
        <v>245</v>
      </c>
      <c r="F51" s="57">
        <f>_xlfn.XLOOKUP($A51,Inputs!$A:$A,Inputs!F:F,,0)</f>
        <v>540</v>
      </c>
      <c r="G51" s="57">
        <f>_xlfn.XLOOKUP($A51,Inputs!$A:$A,Inputs!G:G,,0)</f>
        <v>381</v>
      </c>
      <c r="H51" s="57">
        <f>_xlfn.XLOOKUP($A51,Inputs!$A:$A,Inputs!H:H,,0)</f>
        <v>259</v>
      </c>
      <c r="I51" s="57">
        <f>_xlfn.XLOOKUP($A51,Inputs!$A:$A,Inputs!I:I,,0)</f>
        <v>202</v>
      </c>
      <c r="J51" s="57">
        <f>_xlfn.XLOOKUP($A51,Inputs!$A:$A,Inputs!J:J,,0)</f>
        <v>272</v>
      </c>
      <c r="K51" s="57">
        <f>_xlfn.XLOOKUP($A51,Inputs!$A:$A,Inputs!K:K,,0)</f>
        <v>135</v>
      </c>
      <c r="L51" s="57">
        <f>_xlfn.XLOOKUP($A51,Inputs!$A:$A,Inputs!L:L,,0)</f>
        <v>158</v>
      </c>
      <c r="M51" s="57">
        <f>_xlfn.XLOOKUP($A51,Inputs!$A:$A,Inputs!M:M,,0)</f>
        <v>189</v>
      </c>
    </row>
    <row r="52" spans="1:13">
      <c r="A52" s="139" t="s">
        <v>611</v>
      </c>
      <c r="B52" s="747">
        <f>_xlfn.XLOOKUP($A52,Inputs!$A:$A,Inputs!B:B,,0)</f>
        <v>11467</v>
      </c>
      <c r="C52" s="747">
        <f>_xlfn.XLOOKUP($A52,Inputs!$A:$A,Inputs!C:C,,0)</f>
        <v>8252</v>
      </c>
      <c r="D52" s="67">
        <f>_xlfn.XLOOKUP($A52,Inputs!$A:$A,Inputs!D:D,,0)</f>
        <v>7413</v>
      </c>
      <c r="E52" s="67">
        <f>_xlfn.XLOOKUP($A52,Inputs!$A:$A,Inputs!E:E,,0)</f>
        <v>6900</v>
      </c>
      <c r="F52" s="67">
        <f>_xlfn.XLOOKUP($A52,Inputs!$A:$A,Inputs!F:F,,0)</f>
        <v>7165</v>
      </c>
      <c r="G52" s="67">
        <f>_xlfn.XLOOKUP($A52,Inputs!$A:$A,Inputs!G:G,,0)</f>
        <v>6739</v>
      </c>
      <c r="H52" s="67">
        <f>_xlfn.XLOOKUP($A52,Inputs!$A:$A,Inputs!H:H,,0)</f>
        <v>7885</v>
      </c>
      <c r="I52" s="67">
        <f>_xlfn.XLOOKUP($A52,Inputs!$A:$A,Inputs!I:I,,0)</f>
        <v>7404</v>
      </c>
      <c r="J52" s="67">
        <f>_xlfn.XLOOKUP($A52,Inputs!$A:$A,Inputs!J:J,,0)</f>
        <v>6784</v>
      </c>
      <c r="K52" s="67">
        <f>_xlfn.XLOOKUP($A52,Inputs!$A:$A,Inputs!K:K,,0)</f>
        <v>6118</v>
      </c>
      <c r="L52" s="67">
        <f>_xlfn.XLOOKUP($A52,Inputs!$A:$A,Inputs!L:L,,0)</f>
        <v>6416</v>
      </c>
      <c r="M52" s="67">
        <f>_xlfn.XLOOKUP($A52,Inputs!$A:$A,Inputs!M:M,,0)</f>
        <v>6508</v>
      </c>
    </row>
    <row r="53" spans="1:13">
      <c r="A53" s="140" t="s">
        <v>612</v>
      </c>
      <c r="B53" s="57">
        <f>_xlfn.XLOOKUP($A53,Inputs!$A:$A,Inputs!B:B,,0)</f>
        <v>4870</v>
      </c>
      <c r="C53" s="57">
        <f>_xlfn.XLOOKUP($A53,Inputs!$A:$A,Inputs!C:C,,0)</f>
        <v>3353</v>
      </c>
      <c r="D53" s="57">
        <f>_xlfn.XLOOKUP($A53,Inputs!$A:$A,Inputs!D:D,,0)</f>
        <v>3450</v>
      </c>
      <c r="E53" s="57">
        <f>_xlfn.XLOOKUP($A53,Inputs!$A:$A,Inputs!E:E,,0)</f>
        <v>2599</v>
      </c>
      <c r="F53" s="57">
        <f>_xlfn.XLOOKUP($A53,Inputs!$A:$A,Inputs!F:F,,0)</f>
        <v>3208</v>
      </c>
      <c r="G53" s="57">
        <f>_xlfn.XLOOKUP($A53,Inputs!$A:$A,Inputs!G:G,,0)</f>
        <v>2809</v>
      </c>
      <c r="H53" s="57">
        <f>_xlfn.XLOOKUP($A53,Inputs!$A:$A,Inputs!H:H,,0)</f>
        <v>3293</v>
      </c>
      <c r="I53" s="57">
        <f>_xlfn.XLOOKUP($A53,Inputs!$A:$A,Inputs!I:I,,0)</f>
        <v>3832</v>
      </c>
      <c r="J53" s="57">
        <f>_xlfn.XLOOKUP($A53,Inputs!$A:$A,Inputs!J:J,,0)</f>
        <v>3716</v>
      </c>
      <c r="K53" s="57">
        <f>_xlfn.XLOOKUP($A53,Inputs!$A:$A,Inputs!K:K,,0)</f>
        <v>2521</v>
      </c>
      <c r="L53" s="57">
        <f>_xlfn.XLOOKUP($A53,Inputs!$A:$A,Inputs!L:L,,0)</f>
        <v>3657</v>
      </c>
      <c r="M53" s="57">
        <f>_xlfn.XLOOKUP($A53,Inputs!$A:$A,Inputs!M:M,,0)</f>
        <v>3691</v>
      </c>
    </row>
    <row r="54" spans="1:13">
      <c r="A54" s="134" t="s">
        <v>613</v>
      </c>
      <c r="B54" s="57">
        <f>_xlfn.XLOOKUP($A54,Inputs!$A:$A,Inputs!B:B,,0)</f>
        <v>0</v>
      </c>
      <c r="C54" s="57">
        <f>_xlfn.XLOOKUP($A54,Inputs!$A:$A,Inputs!C:C,,0)</f>
        <v>0</v>
      </c>
      <c r="D54" s="57">
        <f>_xlfn.XLOOKUP($A54,Inputs!$A:$A,Inputs!D:D,,0)</f>
        <v>0</v>
      </c>
      <c r="E54" s="57">
        <f>_xlfn.XLOOKUP($A54,Inputs!$A:$A,Inputs!E:E,,0)</f>
        <v>0</v>
      </c>
      <c r="F54" s="57">
        <f>_xlfn.XLOOKUP($A54,Inputs!$A:$A,Inputs!F:F,,0)</f>
        <v>0</v>
      </c>
      <c r="G54" s="57">
        <f>_xlfn.XLOOKUP($A54,Inputs!$A:$A,Inputs!G:G,,0)</f>
        <v>0</v>
      </c>
      <c r="H54" s="57">
        <f>_xlfn.XLOOKUP($A54,Inputs!$A:$A,Inputs!H:H,,0)</f>
        <v>0</v>
      </c>
      <c r="I54" s="57">
        <f>_xlfn.XLOOKUP($A54,Inputs!$A:$A,Inputs!I:I,,0)</f>
        <v>0</v>
      </c>
      <c r="J54" s="57">
        <f>_xlfn.XLOOKUP($A54,Inputs!$A:$A,Inputs!J:J,,0)</f>
        <v>0</v>
      </c>
      <c r="K54" s="57">
        <f>_xlfn.XLOOKUP($A54,Inputs!$A:$A,Inputs!K:K,,0)</f>
        <v>0</v>
      </c>
      <c r="L54" s="57">
        <f>_xlfn.XLOOKUP($A54,Inputs!$A:$A,Inputs!L:L,,0)</f>
        <v>0</v>
      </c>
      <c r="M54" s="57">
        <f>_xlfn.XLOOKUP($A54,Inputs!$A:$A,Inputs!M:M,,0)</f>
        <v>0</v>
      </c>
    </row>
    <row r="55" spans="1:13">
      <c r="A55" s="135" t="s">
        <v>614</v>
      </c>
      <c r="B55" s="57">
        <f>_xlfn.XLOOKUP($A55,Inputs!$A:$A,Inputs!B:B,,0)</f>
        <v>2844</v>
      </c>
      <c r="C55" s="57">
        <f>_xlfn.XLOOKUP($A55,Inputs!$A:$A,Inputs!C:C,,0)</f>
        <v>1231</v>
      </c>
      <c r="D55" s="57">
        <f>_xlfn.XLOOKUP($A55,Inputs!$A:$A,Inputs!D:D,,0)</f>
        <v>853</v>
      </c>
      <c r="E55" s="57">
        <f>_xlfn.XLOOKUP($A55,Inputs!$A:$A,Inputs!E:E,,0)</f>
        <v>924</v>
      </c>
      <c r="F55" s="57">
        <f>_xlfn.XLOOKUP($A55,Inputs!$A:$A,Inputs!F:F,,0)</f>
        <v>554</v>
      </c>
      <c r="G55" s="57">
        <f>_xlfn.XLOOKUP($A55,Inputs!$A:$A,Inputs!G:G,,0)</f>
        <v>650</v>
      </c>
      <c r="H55" s="57">
        <f>_xlfn.XLOOKUP($A55,Inputs!$A:$A,Inputs!H:H,,0)</f>
        <v>1154</v>
      </c>
      <c r="I55" s="57">
        <f>_xlfn.XLOOKUP($A55,Inputs!$A:$A,Inputs!I:I,,0)</f>
        <v>713</v>
      </c>
      <c r="J55" s="57">
        <f>_xlfn.XLOOKUP($A55,Inputs!$A:$A,Inputs!J:J,,0)</f>
        <v>431</v>
      </c>
      <c r="K55" s="57">
        <f>_xlfn.XLOOKUP($A55,Inputs!$A:$A,Inputs!K:K,,0)</f>
        <v>239</v>
      </c>
      <c r="L55" s="57">
        <f>_xlfn.XLOOKUP($A55,Inputs!$A:$A,Inputs!L:L,,0)</f>
        <v>259</v>
      </c>
      <c r="M55" s="57">
        <f>_xlfn.XLOOKUP($A55,Inputs!$A:$A,Inputs!M:M,,0)</f>
        <v>189</v>
      </c>
    </row>
    <row r="56" spans="1:13">
      <c r="A56" s="139" t="s">
        <v>52</v>
      </c>
      <c r="B56" s="747">
        <f>_xlfn.XLOOKUP($A56,Inputs!$A:$A,Inputs!B:B,,0)</f>
        <v>16922</v>
      </c>
      <c r="C56" s="747">
        <f>_xlfn.XLOOKUP($A56,Inputs!$A:$A,Inputs!C:C,,0)</f>
        <v>11857</v>
      </c>
      <c r="D56" s="67">
        <f>_xlfn.XLOOKUP($A56,Inputs!$A:$A,Inputs!D:D,,0)</f>
        <v>9539</v>
      </c>
      <c r="E56" s="67">
        <f>_xlfn.XLOOKUP($A56,Inputs!$A:$A,Inputs!E:E,,0)</f>
        <v>9358</v>
      </c>
      <c r="F56" s="67">
        <f>_xlfn.XLOOKUP($A56,Inputs!$A:$A,Inputs!F:F,,0)</f>
        <v>9416</v>
      </c>
      <c r="G56" s="67">
        <f>_xlfn.XLOOKUP($A56,Inputs!$A:$A,Inputs!G:G,,0)</f>
        <v>8329</v>
      </c>
      <c r="H56" s="67">
        <f>_xlfn.XLOOKUP($A56,Inputs!$A:$A,Inputs!H:H,,0)</f>
        <v>9161</v>
      </c>
      <c r="I56" s="67">
        <f>_xlfn.XLOOKUP($A56,Inputs!$A:$A,Inputs!I:I,,0)</f>
        <v>8902</v>
      </c>
      <c r="J56" s="67">
        <f>_xlfn.XLOOKUP($A56,Inputs!$A:$A,Inputs!J:J,,0)</f>
        <v>7986</v>
      </c>
      <c r="K56" s="67">
        <f>_xlfn.XLOOKUP($A56,Inputs!$A:$A,Inputs!K:K,,0)</f>
        <v>6969</v>
      </c>
      <c r="L56" s="67">
        <f>_xlfn.XLOOKUP($A56,Inputs!$A:$A,Inputs!L:L,,0)</f>
        <v>7553</v>
      </c>
      <c r="M56" s="67">
        <f>_xlfn.XLOOKUP($A56,Inputs!$A:$A,Inputs!M:M,,0)</f>
        <v>7591</v>
      </c>
    </row>
    <row r="57" spans="1:13">
      <c r="B57"/>
      <c r="C57"/>
      <c r="D57"/>
      <c r="E57"/>
      <c r="F57"/>
      <c r="G57"/>
      <c r="H57"/>
      <c r="I57"/>
      <c r="J57"/>
      <c r="K57"/>
      <c r="L57"/>
      <c r="M57"/>
    </row>
    <row r="58" spans="1:13">
      <c r="A58" s="139" t="s">
        <v>308</v>
      </c>
      <c r="B58" s="67">
        <f>B49+B53+B50+B54</f>
        <v>6160</v>
      </c>
      <c r="C58" s="67">
        <f t="shared" ref="C58:M58" si="73">C49+C53+C50+C54</f>
        <v>4041</v>
      </c>
      <c r="D58" s="67">
        <f t="shared" si="73"/>
        <v>3947</v>
      </c>
      <c r="E58" s="67">
        <f t="shared" si="73"/>
        <v>3417</v>
      </c>
      <c r="F58" s="67">
        <f t="shared" si="73"/>
        <v>3650</v>
      </c>
      <c r="G58" s="67">
        <f t="shared" si="73"/>
        <v>3237</v>
      </c>
      <c r="H58" s="67">
        <f t="shared" si="73"/>
        <v>3406</v>
      </c>
      <c r="I58" s="67">
        <f t="shared" si="73"/>
        <v>4220</v>
      </c>
      <c r="J58" s="67">
        <f t="shared" si="73"/>
        <v>3901</v>
      </c>
      <c r="K58" s="67">
        <f t="shared" si="73"/>
        <v>2666</v>
      </c>
      <c r="L58" s="67">
        <f t="shared" si="73"/>
        <v>3874</v>
      </c>
      <c r="M58" s="67">
        <f t="shared" si="73"/>
        <v>3826</v>
      </c>
    </row>
    <row r="59" spans="1:13">
      <c r="A59" s="140" t="s">
        <v>77</v>
      </c>
      <c r="B59" s="60">
        <f>IFERROR(B58/B44,"-")</f>
        <v>0.22405703269923252</v>
      </c>
      <c r="C59" s="60">
        <f t="shared" ref="C59:M59" si="74">IFERROR(C58/C44,"-")</f>
        <v>0.18341503267973855</v>
      </c>
      <c r="D59" s="60">
        <f t="shared" si="74"/>
        <v>0.21730991576281453</v>
      </c>
      <c r="E59" s="60">
        <f t="shared" si="74"/>
        <v>0.19312722545639519</v>
      </c>
      <c r="F59" s="60">
        <f t="shared" si="74"/>
        <v>0.20810764581789157</v>
      </c>
      <c r="G59" s="60">
        <f t="shared" si="74"/>
        <v>0.19951923076923078</v>
      </c>
      <c r="H59" s="60">
        <f t="shared" si="74"/>
        <v>0.20353770766104937</v>
      </c>
      <c r="I59" s="60">
        <f t="shared" si="74"/>
        <v>0.26817488561260805</v>
      </c>
      <c r="J59" s="60">
        <f t="shared" si="74"/>
        <v>0.27249231628946635</v>
      </c>
      <c r="K59" s="60">
        <f t="shared" si="74"/>
        <v>0.20416602848828305</v>
      </c>
      <c r="L59" s="60">
        <f t="shared" si="74"/>
        <v>0.29123440084197866</v>
      </c>
      <c r="M59" s="60">
        <f t="shared" si="74"/>
        <v>0.29329244921425834</v>
      </c>
    </row>
    <row r="60" spans="1:13">
      <c r="A60" s="139" t="s">
        <v>615</v>
      </c>
      <c r="B60" s="67">
        <f>B58-B39</f>
        <v>4988.1000000000004</v>
      </c>
      <c r="C60" s="67">
        <f t="shared" ref="C60:M60" si="75">C58-C39</f>
        <v>3037.2</v>
      </c>
      <c r="D60" s="67">
        <f t="shared" si="75"/>
        <v>3473</v>
      </c>
      <c r="E60" s="67">
        <f t="shared" si="75"/>
        <v>2835</v>
      </c>
      <c r="F60" s="67">
        <f t="shared" si="75"/>
        <v>3098</v>
      </c>
      <c r="G60" s="67">
        <f t="shared" si="75"/>
        <v>2849</v>
      </c>
      <c r="H60" s="67">
        <f t="shared" si="75"/>
        <v>2803</v>
      </c>
      <c r="I60" s="67">
        <f t="shared" si="75"/>
        <v>3783</v>
      </c>
      <c r="J60" s="67">
        <f t="shared" si="75"/>
        <v>3532</v>
      </c>
      <c r="K60" s="67">
        <f t="shared" si="75"/>
        <v>2411</v>
      </c>
      <c r="L60" s="67">
        <f t="shared" si="75"/>
        <v>3628</v>
      </c>
      <c r="M60" s="67">
        <f t="shared" si="75"/>
        <v>3606</v>
      </c>
    </row>
    <row r="61" spans="1:13">
      <c r="B61"/>
      <c r="C61"/>
      <c r="D61"/>
      <c r="E61"/>
      <c r="F61"/>
      <c r="G61"/>
      <c r="H61"/>
      <c r="I61"/>
      <c r="J61"/>
      <c r="K61"/>
      <c r="L61"/>
      <c r="M61"/>
    </row>
    <row r="62" spans="1:13" s="49" customFormat="1">
      <c r="A62" s="139" t="s">
        <v>616</v>
      </c>
      <c r="B62" s="67">
        <f>_xlfn.XLOOKUP($A62,Inputs!$A:$A,Inputs!B:B,,0)</f>
        <v>1545</v>
      </c>
      <c r="C62" s="67">
        <f>_xlfn.XLOOKUP($A62,Inputs!$A:$A,Inputs!C:C,,0)</f>
        <v>1408</v>
      </c>
      <c r="D62" s="67">
        <f>_xlfn.XLOOKUP($A62,Inputs!$A:$A,Inputs!D:D,,0)</f>
        <v>1276</v>
      </c>
      <c r="E62" s="67">
        <f>_xlfn.XLOOKUP($A62,Inputs!$A:$A,Inputs!E:E,,0)</f>
        <v>1362</v>
      </c>
      <c r="F62" s="67">
        <f>_xlfn.XLOOKUP($A62,Inputs!$A:$A,Inputs!F:F,,0)</f>
        <v>1613</v>
      </c>
      <c r="G62" s="67">
        <f>_xlfn.XLOOKUP($A62,Inputs!$A:$A,Inputs!G:G,,0)</f>
        <v>1560</v>
      </c>
      <c r="H62" s="67">
        <f>_xlfn.XLOOKUP($A62,Inputs!$A:$A,Inputs!H:H,,0)</f>
        <v>1448</v>
      </c>
      <c r="I62" s="67">
        <f>_xlfn.XLOOKUP($A62,Inputs!$A:$A,Inputs!I:I,,0)</f>
        <v>863</v>
      </c>
      <c r="J62" s="67">
        <f>_xlfn.XLOOKUP($A62,Inputs!$A:$A,Inputs!J:J,,0)</f>
        <v>549</v>
      </c>
      <c r="K62" s="67">
        <f>_xlfn.XLOOKUP($A62,Inputs!$A:$A,Inputs!K:K,,0)</f>
        <v>418</v>
      </c>
      <c r="L62" s="67">
        <f>_xlfn.XLOOKUP($A62,Inputs!$A:$A,Inputs!L:L,,0)</f>
        <v>325</v>
      </c>
      <c r="M62" s="67">
        <f>_xlfn.XLOOKUP($A62,Inputs!$A:$A,Inputs!M:M,,0)</f>
        <v>127</v>
      </c>
    </row>
    <row r="63" spans="1:13">
      <c r="B63"/>
      <c r="C63"/>
      <c r="D63"/>
      <c r="E63"/>
      <c r="F63"/>
      <c r="G63"/>
      <c r="H63"/>
      <c r="I63"/>
      <c r="J63"/>
      <c r="K63"/>
      <c r="L63"/>
      <c r="M63"/>
    </row>
    <row r="64" spans="1:13">
      <c r="A64" s="139" t="s">
        <v>617</v>
      </c>
      <c r="B64" s="67">
        <f>_xlfn.XLOOKUP($A64,Inputs!$A:$A,Inputs!B:B,,0)</f>
        <v>9026</v>
      </c>
      <c r="C64" s="67">
        <f>_xlfn.XLOOKUP($A64,Inputs!$A:$A,Inputs!C:C,,0)</f>
        <v>8767</v>
      </c>
      <c r="D64" s="67">
        <f>_xlfn.XLOOKUP($A64,Inputs!$A:$A,Inputs!D:D,,0)</f>
        <v>7348</v>
      </c>
      <c r="E64" s="67">
        <f>_xlfn.XLOOKUP($A64,Inputs!$A:$A,Inputs!E:E,,0)</f>
        <v>6973</v>
      </c>
      <c r="F64" s="67">
        <f>_xlfn.XLOOKUP($A64,Inputs!$A:$A,Inputs!F:F,,0)</f>
        <v>6510</v>
      </c>
      <c r="G64" s="67">
        <f>_xlfn.XLOOKUP($A64,Inputs!$A:$A,Inputs!G:G,,0)</f>
        <v>6335</v>
      </c>
      <c r="H64" s="67">
        <f>_xlfn.XLOOKUP($A64,Inputs!$A:$A,Inputs!H:H,,0)</f>
        <v>6125</v>
      </c>
      <c r="I64" s="67">
        <f>_xlfn.XLOOKUP($A64,Inputs!$A:$A,Inputs!I:I,,0)</f>
        <v>5971</v>
      </c>
      <c r="J64" s="67">
        <f>_xlfn.XLOOKUP($A64,Inputs!$A:$A,Inputs!J:J,,0)</f>
        <v>5781</v>
      </c>
      <c r="K64" s="67">
        <f>_xlfn.XLOOKUP($A64,Inputs!$A:$A,Inputs!K:K,,0)</f>
        <v>5671</v>
      </c>
      <c r="L64" s="67">
        <f>_xlfn.XLOOKUP($A64,Inputs!$A:$A,Inputs!L:L,,0)</f>
        <v>5424</v>
      </c>
      <c r="M64" s="67">
        <f>_xlfn.XLOOKUP($A64,Inputs!$A:$A,Inputs!M:M,,0)</f>
        <v>5327</v>
      </c>
    </row>
    <row r="65" spans="1:235">
      <c r="K65" s="44"/>
      <c r="L65" s="44"/>
      <c r="M65" s="44"/>
    </row>
    <row r="66" spans="1:235" ht="20.25">
      <c r="A66" s="1086" t="s">
        <v>136</v>
      </c>
      <c r="B66" s="1086"/>
      <c r="C66" s="1086"/>
      <c r="D66" s="1086"/>
      <c r="E66" s="1086"/>
      <c r="F66" s="1086"/>
      <c r="G66" s="1086"/>
      <c r="H66" s="1086"/>
      <c r="I66" s="1086"/>
      <c r="J66" s="1086"/>
      <c r="K66" s="1086"/>
      <c r="L66" s="1086"/>
      <c r="M66" s="1086"/>
    </row>
    <row r="67" spans="1:235">
      <c r="A67" s="139" t="s">
        <v>137</v>
      </c>
      <c r="B67" s="67">
        <f>_xlfn.XLOOKUP($A67,Inputs!$A:$A,Inputs!B:B,,0)</f>
        <v>1049</v>
      </c>
      <c r="C67" s="67">
        <f>_xlfn.XLOOKUP($A67,Inputs!$A:$A,Inputs!C:C,,0)</f>
        <v>811</v>
      </c>
      <c r="D67" s="67">
        <f>_xlfn.XLOOKUP($A67,Inputs!$A:$A,Inputs!D:D,,0)</f>
        <v>908</v>
      </c>
      <c r="E67" s="67">
        <f>_xlfn.XLOOKUP($A67,Inputs!$A:$A,Inputs!E:E,,0)</f>
        <v>1090</v>
      </c>
      <c r="F67" s="67">
        <f>_xlfn.XLOOKUP($A67,Inputs!$A:$A,Inputs!F:F,,0)</f>
        <v>985</v>
      </c>
      <c r="G67" s="67">
        <f>_xlfn.XLOOKUP($A67,Inputs!$A:$A,Inputs!G:G,,0)</f>
        <v>981</v>
      </c>
      <c r="H67" s="67">
        <f>_xlfn.XLOOKUP($A67,Inputs!$A:$A,Inputs!H:H,,0)</f>
        <v>934</v>
      </c>
      <c r="I67" s="67">
        <f>_xlfn.XLOOKUP($A67,Inputs!$A:$A,Inputs!I:I,,0)</f>
        <v>757</v>
      </c>
      <c r="J67" s="67">
        <f>_xlfn.XLOOKUP($A67,Inputs!$A:$A,Inputs!J:J,,0)</f>
        <v>707</v>
      </c>
      <c r="K67" s="67">
        <f>_xlfn.XLOOKUP($A67,Inputs!$A:$A,Inputs!K:K,,0)</f>
        <v>677</v>
      </c>
      <c r="L67" s="67">
        <f>_xlfn.XLOOKUP($A67,Inputs!$A:$A,Inputs!L:L,,0)</f>
        <v>666</v>
      </c>
      <c r="M67" s="67">
        <f>_xlfn.XLOOKUP($A67,Inputs!$A:$A,Inputs!M:M,,0)</f>
        <v>643</v>
      </c>
    </row>
    <row r="68" spans="1:235">
      <c r="A68" s="139" t="s">
        <v>138</v>
      </c>
      <c r="B68" s="67">
        <f>_xlfn.XLOOKUP($A68,Inputs!$A:$A,Inputs!B:B,,0)</f>
        <v>-1919</v>
      </c>
      <c r="C68" s="67">
        <f>_xlfn.XLOOKUP($A68,Inputs!$A:$A,Inputs!C:C,,0)</f>
        <v>-1962</v>
      </c>
      <c r="D68" s="67">
        <f>_xlfn.XLOOKUP($A68,Inputs!$A:$A,Inputs!D:D,,0)</f>
        <v>-1637</v>
      </c>
      <c r="E68" s="67">
        <f>_xlfn.XLOOKUP($A68,Inputs!$A:$A,Inputs!E:E,,0)</f>
        <v>-568</v>
      </c>
      <c r="F68" s="67">
        <f>_xlfn.XLOOKUP($A68,Inputs!$A:$A,Inputs!F:F,,0)</f>
        <v>-587</v>
      </c>
      <c r="G68" s="67">
        <f>_xlfn.XLOOKUP($A68,Inputs!$A:$A,Inputs!G:G,,0)</f>
        <v>-997</v>
      </c>
      <c r="H68" s="67">
        <f>_xlfn.XLOOKUP($A68,Inputs!$A:$A,Inputs!H:H,,0)</f>
        <v>-1030</v>
      </c>
      <c r="I68" s="67">
        <f>_xlfn.XLOOKUP($A68,Inputs!$A:$A,Inputs!I:I,,0)</f>
        <v>-747</v>
      </c>
      <c r="J68" s="67">
        <f>_xlfn.XLOOKUP($A68,Inputs!$A:$A,Inputs!J:J,,0)</f>
        <v>-612</v>
      </c>
      <c r="K68" s="67">
        <f>_xlfn.XLOOKUP($A68,Inputs!$A:$A,Inputs!K:K,,0)</f>
        <v>-885</v>
      </c>
      <c r="L68" s="67">
        <f>_xlfn.XLOOKUP($A68,Inputs!$A:$A,Inputs!L:L,,0)</f>
        <v>-603</v>
      </c>
      <c r="M68" s="67">
        <f>_xlfn.XLOOKUP($A68,Inputs!$A:$A,Inputs!M:M,,0)</f>
        <v>-1037</v>
      </c>
    </row>
    <row r="69" spans="1:235">
      <c r="A69" s="135" t="s">
        <v>139</v>
      </c>
      <c r="B69" s="57">
        <f>_xlfn.XLOOKUP($A69,Inputs!$A:$A,Inputs!B:B,,0)</f>
        <v>-3446</v>
      </c>
      <c r="C69" s="57">
        <f>_xlfn.XLOOKUP($A69,Inputs!$A:$A,Inputs!C:C,,0)</f>
        <v>-2552</v>
      </c>
      <c r="D69" s="57">
        <f>_xlfn.XLOOKUP($A69,Inputs!$A:$A,Inputs!D:D,,0)</f>
        <v>-2100</v>
      </c>
      <c r="E69" s="57">
        <f>_xlfn.XLOOKUP($A69,Inputs!$A:$A,Inputs!E:E,,0)</f>
        <v>-1109</v>
      </c>
      <c r="F69" s="57">
        <f>_xlfn.XLOOKUP($A69,Inputs!$A:$A,Inputs!F:F,,0)</f>
        <v>-1275</v>
      </c>
      <c r="G69" s="57">
        <f>_xlfn.XLOOKUP($A69,Inputs!$A:$A,Inputs!G:G,,0)</f>
        <v>-1007.25</v>
      </c>
      <c r="H69" s="57">
        <f>_xlfn.XLOOKUP($A69,Inputs!$A:$A,Inputs!H:H,,0)</f>
        <v>-1029</v>
      </c>
      <c r="I69" s="57">
        <f>_xlfn.XLOOKUP($A69,Inputs!$A:$A,Inputs!I:I,,0)</f>
        <v>-884.93999999999994</v>
      </c>
      <c r="J69" s="57">
        <f>_xlfn.XLOOKUP($A69,Inputs!$A:$A,Inputs!J:J,,0)</f>
        <v>-538</v>
      </c>
      <c r="K69" s="57">
        <f>_xlfn.XLOOKUP($A69,Inputs!$A:$A,Inputs!K:K,,0)</f>
        <v>-433</v>
      </c>
      <c r="L69" s="57">
        <f>_xlfn.XLOOKUP($A69,Inputs!$A:$A,Inputs!L:L,,0)</f>
        <v>-612</v>
      </c>
      <c r="M69" s="57">
        <f>_xlfn.XLOOKUP($A69,Inputs!$A:$A,Inputs!M:M,,0)</f>
        <v>-771.12</v>
      </c>
    </row>
    <row r="70" spans="1:235">
      <c r="A70" s="135" t="s">
        <v>140</v>
      </c>
      <c r="B70" s="57">
        <f>_xlfn.XLOOKUP($A70,Inputs!$A:$A,Inputs!B:B,,0)</f>
        <v>-1170</v>
      </c>
      <c r="C70" s="57">
        <f>_xlfn.XLOOKUP($A70,Inputs!$A:$A,Inputs!C:C,,0)</f>
        <v>-88</v>
      </c>
      <c r="D70" s="57">
        <f>_xlfn.XLOOKUP($A70,Inputs!$A:$A,Inputs!D:D,,0)</f>
        <v>-580</v>
      </c>
      <c r="E70" s="57">
        <f>_xlfn.XLOOKUP($A70,Inputs!$A:$A,Inputs!E:E,,0)</f>
        <v>-13</v>
      </c>
      <c r="F70" s="57">
        <f>_xlfn.XLOOKUP($A70,Inputs!$A:$A,Inputs!F:F,,0)</f>
        <v>0</v>
      </c>
      <c r="G70" s="57">
        <f>_xlfn.XLOOKUP($A70,Inputs!$A:$A,Inputs!G:G,,0)</f>
        <v>-12</v>
      </c>
      <c r="H70" s="57">
        <f>_xlfn.XLOOKUP($A70,Inputs!$A:$A,Inputs!H:H,,0)</f>
        <v>-53</v>
      </c>
      <c r="I70" s="57">
        <f>_xlfn.XLOOKUP($A70,Inputs!$A:$A,Inputs!I:I,,0)</f>
        <v>-159</v>
      </c>
      <c r="J70" s="57">
        <f>_xlfn.XLOOKUP($A70,Inputs!$A:$A,Inputs!J:J,,0)</f>
        <v>-20</v>
      </c>
      <c r="K70" s="57">
        <f>_xlfn.XLOOKUP($A70,Inputs!$A:$A,Inputs!K:K,,0)</f>
        <v>-47</v>
      </c>
      <c r="L70" s="57">
        <f>_xlfn.XLOOKUP($A70,Inputs!$A:$A,Inputs!L:L,,0)</f>
        <v>-29</v>
      </c>
      <c r="M70" s="57">
        <f>_xlfn.XLOOKUP($A70,Inputs!$A:$A,Inputs!M:M,,0)</f>
        <v>-263</v>
      </c>
      <c r="IA70" s="44"/>
    </row>
    <row r="71" spans="1:235">
      <c r="A71" s="139" t="s">
        <v>141</v>
      </c>
      <c r="B71" s="67">
        <f>_xlfn.XLOOKUP($A71,Inputs!$A:$A,Inputs!B:B,,0)</f>
        <v>966</v>
      </c>
      <c r="C71" s="67">
        <f>_xlfn.XLOOKUP($A71,Inputs!$A:$A,Inputs!C:C,,0)</f>
        <v>1673</v>
      </c>
      <c r="D71" s="67">
        <f>_xlfn.XLOOKUP($A71,Inputs!$A:$A,Inputs!D:D,,0)</f>
        <v>675</v>
      </c>
      <c r="E71" s="67">
        <f>_xlfn.XLOOKUP($A71,Inputs!$A:$A,Inputs!E:E,,0)</f>
        <v>-499</v>
      </c>
      <c r="F71" s="67">
        <f>_xlfn.XLOOKUP($A71,Inputs!$A:$A,Inputs!F:F,,0)</f>
        <v>-236</v>
      </c>
      <c r="G71" s="67">
        <f>_xlfn.XLOOKUP($A71,Inputs!$A:$A,Inputs!G:G,,0)</f>
        <v>-130</v>
      </c>
      <c r="H71" s="67">
        <f>_xlfn.XLOOKUP($A71,Inputs!$A:$A,Inputs!H:H,,0)</f>
        <v>309</v>
      </c>
      <c r="I71" s="67">
        <f>_xlfn.XLOOKUP($A71,Inputs!$A:$A,Inputs!I:I,,0)</f>
        <v>111</v>
      </c>
      <c r="J71" s="67">
        <f>_xlfn.XLOOKUP($A71,Inputs!$A:$A,Inputs!J:J,,0)</f>
        <v>3</v>
      </c>
      <c r="K71" s="67">
        <f>_xlfn.XLOOKUP($A71,Inputs!$A:$A,Inputs!K:K,,0)</f>
        <v>225</v>
      </c>
      <c r="L71" s="67">
        <f>_xlfn.XLOOKUP($A71,Inputs!$A:$A,Inputs!L:L,,0)</f>
        <v>-33</v>
      </c>
      <c r="M71" s="67">
        <f>_xlfn.XLOOKUP($A71,Inputs!$A:$A,Inputs!M:M,,0)</f>
        <v>124</v>
      </c>
      <c r="IA71" s="44"/>
    </row>
    <row r="72" spans="1:235">
      <c r="A72" s="135" t="s">
        <v>142</v>
      </c>
      <c r="B72" s="57">
        <f>_xlfn.XLOOKUP($A72,Inputs!$A:$A,Inputs!B:B,,0)</f>
        <v>-155</v>
      </c>
      <c r="C72" s="57">
        <f>_xlfn.XLOOKUP($A72,Inputs!$A:$A,Inputs!C:C,,0)</f>
        <v>-114</v>
      </c>
      <c r="D72" s="57">
        <f>_xlfn.XLOOKUP($A72,Inputs!$A:$A,Inputs!D:D,,0)</f>
        <v>-107</v>
      </c>
      <c r="E72" s="57">
        <f>_xlfn.XLOOKUP($A72,Inputs!$A:$A,Inputs!E:E,,0)</f>
        <v>-99</v>
      </c>
      <c r="F72" s="57">
        <f>_xlfn.XLOOKUP($A72,Inputs!$A:$A,Inputs!F:F,,0)</f>
        <v>-113</v>
      </c>
      <c r="G72" s="57">
        <f>_xlfn.XLOOKUP($A72,Inputs!$A:$A,Inputs!G:G,,0)</f>
        <v>-92</v>
      </c>
      <c r="H72" s="57">
        <f>_xlfn.XLOOKUP($A72,Inputs!$A:$A,Inputs!H:H,,0)</f>
        <v>-85</v>
      </c>
      <c r="I72" s="57">
        <f>_xlfn.XLOOKUP($A72,Inputs!$A:$A,Inputs!I:I,,0)</f>
        <v>-78</v>
      </c>
      <c r="J72" s="57">
        <f>_xlfn.XLOOKUP($A72,Inputs!$A:$A,Inputs!J:J,,0)</f>
        <v>-68</v>
      </c>
      <c r="K72" s="57">
        <f>_xlfn.XLOOKUP($A72,Inputs!$A:$A,Inputs!K:K,,0)</f>
        <v>-52</v>
      </c>
      <c r="L72" s="57">
        <f>_xlfn.XLOOKUP($A72,Inputs!$A:$A,Inputs!L:L,,0)</f>
        <v>-5</v>
      </c>
      <c r="M72" s="57">
        <f>_xlfn.XLOOKUP($A72,Inputs!$A:$A,Inputs!M:M,,0)</f>
        <v>-7</v>
      </c>
      <c r="IA72" s="44"/>
    </row>
    <row r="73" spans="1:235">
      <c r="A73" s="135" t="s">
        <v>599</v>
      </c>
      <c r="B73" s="57">
        <f>_xlfn.XLOOKUP($A73,Inputs!$A:$A,Inputs!B:B,,0)</f>
        <v>0</v>
      </c>
      <c r="C73" s="57">
        <f>_xlfn.XLOOKUP($A73,Inputs!$A:$A,Inputs!C:C,,0)</f>
        <v>0</v>
      </c>
      <c r="D73" s="57">
        <f>_xlfn.XLOOKUP($A73,Inputs!$A:$A,Inputs!D:D,,0)</f>
        <v>0</v>
      </c>
      <c r="E73" s="57">
        <f>_xlfn.XLOOKUP($A73,Inputs!$A:$A,Inputs!E:E,,0)</f>
        <v>0</v>
      </c>
      <c r="F73" s="57">
        <f>_xlfn.XLOOKUP($A73,Inputs!$A:$A,Inputs!F:F,,0)</f>
        <v>0</v>
      </c>
      <c r="G73" s="57">
        <f>_xlfn.XLOOKUP($A73,Inputs!$A:$A,Inputs!G:G,,0)</f>
        <v>0</v>
      </c>
      <c r="H73" s="57">
        <f>_xlfn.XLOOKUP($A73,Inputs!$A:$A,Inputs!H:H,,0)</f>
        <v>0</v>
      </c>
      <c r="I73" s="57">
        <f>_xlfn.XLOOKUP($A73,Inputs!$A:$A,Inputs!I:I,,0)</f>
        <v>0</v>
      </c>
      <c r="J73" s="57">
        <f>_xlfn.XLOOKUP($A73,Inputs!$A:$A,Inputs!J:J,,0)</f>
        <v>0</v>
      </c>
      <c r="K73" s="57">
        <f>_xlfn.XLOOKUP($A73,Inputs!$A:$A,Inputs!K:K,,0)</f>
        <v>0</v>
      </c>
      <c r="L73" s="57">
        <f>_xlfn.XLOOKUP($A73,Inputs!$A:$A,Inputs!L:L,,0)</f>
        <v>0</v>
      </c>
      <c r="M73" s="57">
        <f>_xlfn.XLOOKUP($A73,Inputs!$A:$A,Inputs!M:M,,0)</f>
        <v>0</v>
      </c>
    </row>
    <row r="74" spans="1:235">
      <c r="A74" s="139" t="s">
        <v>145</v>
      </c>
      <c r="B74" s="67">
        <f>_xlfn.XLOOKUP($A74,Inputs!$A:$A,Inputs!B:B,,0)</f>
        <v>72</v>
      </c>
      <c r="C74" s="67">
        <f>_xlfn.XLOOKUP($A74,Inputs!$A:$A,Inputs!C:C,,0)</f>
        <v>6</v>
      </c>
      <c r="D74" s="67">
        <f>_xlfn.XLOOKUP($A74,Inputs!$A:$A,Inputs!D:D,,0)</f>
        <v>-52</v>
      </c>
      <c r="E74" s="67">
        <f>_xlfn.XLOOKUP($A74,Inputs!$A:$A,Inputs!E:E,,0)</f>
        <v>8</v>
      </c>
      <c r="F74" s="67">
        <f>_xlfn.XLOOKUP($A74,Inputs!$A:$A,Inputs!F:F,,0)</f>
        <v>2</v>
      </c>
      <c r="G74" s="67">
        <f>_xlfn.XLOOKUP($A74,Inputs!$A:$A,Inputs!G:G,,0)</f>
        <v>-70</v>
      </c>
      <c r="H74" s="67">
        <f>_xlfn.XLOOKUP($A74,Inputs!$A:$A,Inputs!H:H,,0)</f>
        <v>19</v>
      </c>
      <c r="I74" s="67">
        <f>_xlfn.XLOOKUP($A74,Inputs!$A:$A,Inputs!I:I,,0)</f>
        <v>2</v>
      </c>
      <c r="J74" s="67">
        <f>_xlfn.XLOOKUP($A74,Inputs!$A:$A,Inputs!J:J,,0)</f>
        <v>14</v>
      </c>
      <c r="K74" s="67">
        <f>_xlfn.XLOOKUP($A74,Inputs!$A:$A,Inputs!K:K,,0)</f>
        <v>-7</v>
      </c>
      <c r="L74" s="67">
        <f>_xlfn.XLOOKUP($A74,Inputs!$A:$A,Inputs!L:L,,0)</f>
        <v>-5</v>
      </c>
      <c r="M74" s="67">
        <f>_xlfn.XLOOKUP($A74,Inputs!$A:$A,Inputs!M:M,,0)</f>
        <v>-10</v>
      </c>
    </row>
    <row r="75" spans="1:235">
      <c r="A75" s="139" t="s">
        <v>618</v>
      </c>
      <c r="B75" s="67">
        <f>_xlfn.XLOOKUP($A75,Inputs!$A:$A,Inputs!B:B,,0)</f>
        <v>168</v>
      </c>
      <c r="C75" s="67">
        <f>_xlfn.XLOOKUP($A75,Inputs!$A:$A,Inputs!C:C,,0)</f>
        <v>528</v>
      </c>
      <c r="D75" s="67">
        <f>_xlfn.XLOOKUP($A75,Inputs!$A:$A,Inputs!D:D,,0)</f>
        <v>-106</v>
      </c>
      <c r="E75" s="67">
        <f>_xlfn.XLOOKUP($A75,Inputs!$A:$A,Inputs!E:E,,0)</f>
        <v>31</v>
      </c>
      <c r="F75" s="67">
        <f>_xlfn.XLOOKUP($A75,Inputs!$A:$A,Inputs!F:F,,0)</f>
        <v>164</v>
      </c>
      <c r="G75" s="67">
        <f>_xlfn.XLOOKUP($A75,Inputs!$A:$A,Inputs!G:G,,0)</f>
        <v>-216</v>
      </c>
      <c r="H75" s="67">
        <f>_xlfn.XLOOKUP($A75,Inputs!$A:$A,Inputs!H:H,,0)</f>
        <v>232</v>
      </c>
      <c r="I75" s="67">
        <f>_xlfn.XLOOKUP($A75,Inputs!$A:$A,Inputs!I:I,,0)</f>
        <v>123</v>
      </c>
      <c r="J75" s="67">
        <f>_xlfn.XLOOKUP($A75,Inputs!$A:$A,Inputs!J:J,,0)</f>
        <v>112</v>
      </c>
      <c r="K75" s="67">
        <f>_xlfn.XLOOKUP($A75,Inputs!$A:$A,Inputs!K:K,,0)</f>
        <v>10</v>
      </c>
      <c r="L75" s="67">
        <f>_xlfn.XLOOKUP($A75,Inputs!$A:$A,Inputs!L:L,,0)</f>
        <v>25</v>
      </c>
      <c r="M75" s="67">
        <f>_xlfn.XLOOKUP($A75,Inputs!$A:$A,Inputs!M:M,,0)</f>
        <v>-280</v>
      </c>
    </row>
    <row r="76" spans="1:235">
      <c r="K76" s="44"/>
      <c r="L76" s="44"/>
      <c r="M76" s="44"/>
    </row>
    <row r="77" spans="1:235" ht="20.25">
      <c r="A77" s="1086" t="s">
        <v>619</v>
      </c>
      <c r="B77" s="1086"/>
      <c r="C77" s="1086"/>
      <c r="D77" s="1086"/>
      <c r="E77" s="1086"/>
      <c r="F77" s="1086"/>
      <c r="G77" s="1086"/>
      <c r="H77" s="1086"/>
      <c r="I77" s="1086"/>
      <c r="J77" s="1086"/>
      <c r="K77" s="1086"/>
      <c r="L77" s="1086"/>
      <c r="M77" s="1086"/>
    </row>
    <row r="78" spans="1:235">
      <c r="A78" s="134" t="s">
        <v>620</v>
      </c>
      <c r="B78" s="57" t="e">
        <f>_xlfn.XLOOKUP($A78,Inputs!$A:$A,Inputs!B:B,,0)</f>
        <v>#N/A</v>
      </c>
      <c r="C78" s="57" t="e">
        <f>_xlfn.XLOOKUP($A78,Inputs!$A:$A,Inputs!C:C,,0)</f>
        <v>#N/A</v>
      </c>
      <c r="D78" s="57" t="e">
        <f>_xlfn.XLOOKUP($A78,Inputs!$A:$A,Inputs!D:D,,0)</f>
        <v>#N/A</v>
      </c>
      <c r="E78" s="57" t="e">
        <f>_xlfn.XLOOKUP($A78,Inputs!$A:$A,Inputs!E:E,,0)</f>
        <v>#N/A</v>
      </c>
      <c r="F78" s="57" t="e">
        <f>_xlfn.XLOOKUP($A78,Inputs!$A:$A,Inputs!F:F,,0)</f>
        <v>#N/A</v>
      </c>
      <c r="G78" s="57" t="e">
        <f>_xlfn.XLOOKUP($A78,Inputs!$A:$A,Inputs!G:G,,0)</f>
        <v>#N/A</v>
      </c>
      <c r="H78" s="57" t="e">
        <f>_xlfn.XLOOKUP($A78,Inputs!$A:$A,Inputs!H:H,,0)</f>
        <v>#N/A</v>
      </c>
      <c r="I78" s="57" t="e">
        <f>_xlfn.XLOOKUP($A78,Inputs!$A:$A,Inputs!I:I,,0)</f>
        <v>#N/A</v>
      </c>
      <c r="J78" s="57" t="e">
        <f>_xlfn.XLOOKUP($A78,Inputs!$A:$A,Inputs!J:J,,0)</f>
        <v>#N/A</v>
      </c>
      <c r="K78" s="57" t="e">
        <f>_xlfn.XLOOKUP($A78,Inputs!$A:$A,Inputs!K:K,,0)</f>
        <v>#N/A</v>
      </c>
      <c r="L78" s="57" t="e">
        <f>_xlfn.XLOOKUP($A78,Inputs!$A:$A,Inputs!L:L,,0)</f>
        <v>#N/A</v>
      </c>
      <c r="M78" s="57" t="e">
        <f>_xlfn.XLOOKUP($A78,Inputs!$A:$A,Inputs!M:M,,0)</f>
        <v>#N/A</v>
      </c>
    </row>
    <row r="79" spans="1:235">
      <c r="A79" s="140" t="s">
        <v>621</v>
      </c>
      <c r="B79" s="57" t="e">
        <f>_xlfn.XLOOKUP($A79,Inputs!$A:$A,Inputs!B:B,,0)</f>
        <v>#N/A</v>
      </c>
      <c r="C79" s="57" t="e">
        <f>_xlfn.XLOOKUP($A79,Inputs!$A:$A,Inputs!C:C,,0)</f>
        <v>#N/A</v>
      </c>
      <c r="D79" s="57" t="e">
        <f>_xlfn.XLOOKUP($A79,Inputs!$A:$A,Inputs!D:D,,0)</f>
        <v>#N/A</v>
      </c>
      <c r="E79" s="57" t="e">
        <f>_xlfn.XLOOKUP($A79,Inputs!$A:$A,Inputs!E:E,,0)</f>
        <v>#N/A</v>
      </c>
      <c r="F79" s="57" t="e">
        <f>_xlfn.XLOOKUP($A79,Inputs!$A:$A,Inputs!F:F,,0)</f>
        <v>#N/A</v>
      </c>
      <c r="G79" s="57" t="e">
        <f>_xlfn.XLOOKUP($A79,Inputs!$A:$A,Inputs!G:G,,0)</f>
        <v>#N/A</v>
      </c>
      <c r="H79" s="57" t="e">
        <f>_xlfn.XLOOKUP($A79,Inputs!$A:$A,Inputs!H:H,,0)</f>
        <v>#N/A</v>
      </c>
      <c r="I79" s="57" t="e">
        <f>_xlfn.XLOOKUP($A79,Inputs!$A:$A,Inputs!I:I,,0)</f>
        <v>#N/A</v>
      </c>
      <c r="J79" s="57" t="e">
        <f>_xlfn.XLOOKUP($A79,Inputs!$A:$A,Inputs!J:J,,0)</f>
        <v>#N/A</v>
      </c>
      <c r="K79" s="57" t="e">
        <f>_xlfn.XLOOKUP($A79,Inputs!$A:$A,Inputs!K:K,,0)</f>
        <v>#N/A</v>
      </c>
      <c r="L79" s="57" t="e">
        <f>_xlfn.XLOOKUP($A79,Inputs!$A:$A,Inputs!L:L,,0)</f>
        <v>#N/A</v>
      </c>
      <c r="M79" s="57" t="e">
        <f>_xlfn.XLOOKUP($A79,Inputs!$A:$A,Inputs!M:M,,0)</f>
        <v>#N/A</v>
      </c>
    </row>
    <row r="80" spans="1:235">
      <c r="A80" s="134" t="s">
        <v>50</v>
      </c>
      <c r="B80" s="57">
        <f>_xlfn.XLOOKUP($A80,Inputs!$A:$A,Inputs!B:B,,0)</f>
        <v>0.28485576923076922</v>
      </c>
      <c r="C80" s="57" t="str">
        <f>_xlfn.XLOOKUP($A80,Inputs!$A:$A,Inputs!C:C,,0)</f>
        <v>Yahoo finance</v>
      </c>
      <c r="D80" s="57">
        <f>_xlfn.XLOOKUP($A80,Inputs!$A:$A,Inputs!D:D,,0)</f>
        <v>0</v>
      </c>
      <c r="E80" s="57">
        <f>_xlfn.XLOOKUP($A80,Inputs!$A:$A,Inputs!E:E,,0)</f>
        <v>0</v>
      </c>
      <c r="F80" s="57">
        <f>_xlfn.XLOOKUP($A80,Inputs!$A:$A,Inputs!F:F,,0)</f>
        <v>0</v>
      </c>
      <c r="G80" s="57">
        <f>_xlfn.XLOOKUP($A80,Inputs!$A:$A,Inputs!G:G,,0)</f>
        <v>0</v>
      </c>
      <c r="H80" s="57">
        <f>_xlfn.XLOOKUP($A80,Inputs!$A:$A,Inputs!H:H,,0)</f>
        <v>0</v>
      </c>
      <c r="I80" s="57">
        <f>_xlfn.XLOOKUP($A80,Inputs!$A:$A,Inputs!I:I,,0)</f>
        <v>0</v>
      </c>
      <c r="J80" s="57">
        <f>_xlfn.XLOOKUP($A80,Inputs!$A:$A,Inputs!J:J,,0)</f>
        <v>0</v>
      </c>
      <c r="K80" s="57">
        <f>_xlfn.XLOOKUP($A80,Inputs!$A:$A,Inputs!K:K,,0)</f>
        <v>0</v>
      </c>
      <c r="L80" s="57">
        <f>_xlfn.XLOOKUP($A80,Inputs!$A:$A,Inputs!L:L,,0)</f>
        <v>0</v>
      </c>
      <c r="M80" s="57">
        <f>_xlfn.XLOOKUP($A80,Inputs!$A:$A,Inputs!M:M,,0)</f>
        <v>0</v>
      </c>
    </row>
    <row r="81" spans="1:13">
      <c r="A81" s="140" t="s">
        <v>55</v>
      </c>
      <c r="B81" s="57" t="str">
        <f>_xlfn.XLOOKUP($A81,Inputs!$A:$A,Inputs!B:B,,0)</f>
        <v>71.20%</v>
      </c>
      <c r="C81" s="57" t="str">
        <f>_xlfn.XLOOKUP($A81,Inputs!$A:$A,Inputs!C:C,,0)</f>
        <v>Yahoo finance</v>
      </c>
      <c r="D81" s="57">
        <f>_xlfn.XLOOKUP($A81,Inputs!$A:$A,Inputs!D:D,,0)</f>
        <v>0</v>
      </c>
      <c r="E81" s="57">
        <f>_xlfn.XLOOKUP($A81,Inputs!$A:$A,Inputs!E:E,,0)</f>
        <v>0</v>
      </c>
      <c r="F81" s="57">
        <f>_xlfn.XLOOKUP($A81,Inputs!$A:$A,Inputs!F:F,,0)</f>
        <v>0</v>
      </c>
      <c r="G81" s="57">
        <f>_xlfn.XLOOKUP($A81,Inputs!$A:$A,Inputs!G:G,,0)</f>
        <v>0</v>
      </c>
      <c r="H81" s="57">
        <f>_xlfn.XLOOKUP($A81,Inputs!$A:$A,Inputs!H:H,,0)</f>
        <v>0</v>
      </c>
      <c r="I81" s="57">
        <f>_xlfn.XLOOKUP($A81,Inputs!$A:$A,Inputs!I:I,,0)</f>
        <v>0</v>
      </c>
      <c r="J81" s="57">
        <f>_xlfn.XLOOKUP($A81,Inputs!$A:$A,Inputs!J:J,,0)</f>
        <v>0</v>
      </c>
      <c r="K81" s="57">
        <f>_xlfn.XLOOKUP($A81,Inputs!$A:$A,Inputs!K:K,,0)</f>
        <v>0</v>
      </c>
      <c r="L81" s="57">
        <f>_xlfn.XLOOKUP($A81,Inputs!$A:$A,Inputs!L:L,,0)</f>
        <v>0</v>
      </c>
      <c r="M81" s="57">
        <f>_xlfn.XLOOKUP($A81,Inputs!$A:$A,Inputs!M:M,,0)</f>
        <v>0</v>
      </c>
    </row>
    <row r="82" spans="1:13">
      <c r="A82" s="134" t="s">
        <v>622</v>
      </c>
      <c r="B82" s="57" t="str">
        <f>_xlfn.XLOOKUP($A82,Inputs!$A:$A,Inputs!B:B,,0)</f>
        <v>BBB</v>
      </c>
      <c r="C82" s="57" t="str">
        <f>_xlfn.XLOOKUP($A82,Inputs!$A:$A,Inputs!C:C,,0)</f>
        <v>10-K</v>
      </c>
      <c r="D82" s="57">
        <f>_xlfn.XLOOKUP($A82,Inputs!$A:$A,Inputs!D:D,,0)</f>
        <v>0</v>
      </c>
      <c r="E82" s="57">
        <f>_xlfn.XLOOKUP($A82,Inputs!$A:$A,Inputs!E:E,,0)</f>
        <v>0</v>
      </c>
      <c r="F82" s="57">
        <f>_xlfn.XLOOKUP($A82,Inputs!$A:$A,Inputs!F:F,,0)</f>
        <v>0</v>
      </c>
      <c r="G82" s="57">
        <f>_xlfn.XLOOKUP($A82,Inputs!$A:$A,Inputs!G:G,,0)</f>
        <v>0</v>
      </c>
      <c r="H82" s="57">
        <f>_xlfn.XLOOKUP($A82,Inputs!$A:$A,Inputs!H:H,,0)</f>
        <v>0</v>
      </c>
      <c r="I82" s="57">
        <f>_xlfn.XLOOKUP($A82,Inputs!$A:$A,Inputs!I:I,,0)</f>
        <v>0</v>
      </c>
      <c r="J82" s="57">
        <f>_xlfn.XLOOKUP($A82,Inputs!$A:$A,Inputs!J:J,,0)</f>
        <v>0</v>
      </c>
      <c r="K82" s="57">
        <f>_xlfn.XLOOKUP($A82,Inputs!$A:$A,Inputs!K:K,,0)</f>
        <v>0</v>
      </c>
      <c r="L82" s="57">
        <f>_xlfn.XLOOKUP($A82,Inputs!$A:$A,Inputs!L:L,,0)</f>
        <v>0</v>
      </c>
      <c r="M82" s="57">
        <f>_xlfn.XLOOKUP($A82,Inputs!$A:$A,Inputs!M:M,,0)</f>
        <v>0</v>
      </c>
    </row>
    <row r="83" spans="1:13">
      <c r="A83" s="134" t="s">
        <v>623</v>
      </c>
      <c r="B83" s="57" t="e">
        <f>_xlfn.XLOOKUP($A83,Inputs!$A:$A,Inputs!B:B,,0)</f>
        <v>#N/A</v>
      </c>
      <c r="C83" s="57" t="e">
        <f>_xlfn.XLOOKUP($A83,Inputs!$A:$A,Inputs!C:C,,0)</f>
        <v>#N/A</v>
      </c>
      <c r="D83" s="57" t="e">
        <f>_xlfn.XLOOKUP($A83,Inputs!$A:$A,Inputs!D:D,,0)</f>
        <v>#N/A</v>
      </c>
      <c r="E83" s="57" t="e">
        <f>_xlfn.XLOOKUP($A83,Inputs!$A:$A,Inputs!E:E,,0)</f>
        <v>#N/A</v>
      </c>
      <c r="F83" s="57" t="e">
        <f>_xlfn.XLOOKUP($A83,Inputs!$A:$A,Inputs!F:F,,0)</f>
        <v>#N/A</v>
      </c>
      <c r="G83" s="57" t="e">
        <f>_xlfn.XLOOKUP($A83,Inputs!$A:$A,Inputs!G:G,,0)</f>
        <v>#N/A</v>
      </c>
      <c r="H83" s="57" t="e">
        <f>_xlfn.XLOOKUP($A83,Inputs!$A:$A,Inputs!H:H,,0)</f>
        <v>#N/A</v>
      </c>
      <c r="I83" s="57" t="e">
        <f>_xlfn.XLOOKUP($A83,Inputs!$A:$A,Inputs!I:I,,0)</f>
        <v>#N/A</v>
      </c>
      <c r="J83" s="57" t="e">
        <f>_xlfn.XLOOKUP($A83,Inputs!$A:$A,Inputs!J:J,,0)</f>
        <v>#N/A</v>
      </c>
      <c r="K83" s="57" t="e">
        <f>_xlfn.XLOOKUP($A83,Inputs!$A:$A,Inputs!K:K,,0)</f>
        <v>#N/A</v>
      </c>
      <c r="L83" s="57" t="e">
        <f>_xlfn.XLOOKUP($A83,Inputs!$A:$A,Inputs!L:L,,0)</f>
        <v>#N/A</v>
      </c>
      <c r="M83" s="57" t="e">
        <f>_xlfn.XLOOKUP($A83,Inputs!$A:$A,Inputs!M:M,,0)</f>
        <v>#N/A</v>
      </c>
    </row>
    <row r="84" spans="1:13">
      <c r="A84" s="140" t="s">
        <v>624</v>
      </c>
      <c r="B84" s="57">
        <f>_xlfn.XLOOKUP($A84,Inputs!$A:$A,Inputs!B:B,,0)</f>
        <v>858</v>
      </c>
      <c r="C84" s="57" t="str">
        <f>_xlfn.XLOOKUP($A84,Inputs!$A:$A,Inputs!C:C,,0)</f>
        <v>Yahoo Finance</v>
      </c>
      <c r="D84" s="57">
        <f>_xlfn.XLOOKUP($A84,Inputs!$A:$A,Inputs!D:D,,0)</f>
        <v>0</v>
      </c>
      <c r="E84" s="57">
        <f>_xlfn.XLOOKUP($A84,Inputs!$A:$A,Inputs!E:E,,0)</f>
        <v>0</v>
      </c>
      <c r="F84" s="57">
        <f>_xlfn.XLOOKUP($A84,Inputs!$A:$A,Inputs!F:F,,0)</f>
        <v>0</v>
      </c>
      <c r="G84" s="57">
        <f>_xlfn.XLOOKUP($A84,Inputs!$A:$A,Inputs!G:G,,0)</f>
        <v>0</v>
      </c>
      <c r="H84" s="57">
        <f>_xlfn.XLOOKUP($A84,Inputs!$A:$A,Inputs!H:H,,0)</f>
        <v>0</v>
      </c>
      <c r="I84" s="57">
        <f>_xlfn.XLOOKUP($A84,Inputs!$A:$A,Inputs!I:I,,0)</f>
        <v>0</v>
      </c>
      <c r="J84" s="57">
        <f>_xlfn.XLOOKUP($A84,Inputs!$A:$A,Inputs!J:J,,0)</f>
        <v>0</v>
      </c>
      <c r="K84" s="57">
        <f>_xlfn.XLOOKUP($A84,Inputs!$A:$A,Inputs!K:K,,0)</f>
        <v>0</v>
      </c>
      <c r="L84" s="57">
        <f>_xlfn.XLOOKUP($A84,Inputs!$A:$A,Inputs!L:L,,0)</f>
        <v>0</v>
      </c>
      <c r="M84" s="57">
        <f>_xlfn.XLOOKUP($A84,Inputs!$A:$A,Inputs!M:M,,0)</f>
        <v>0</v>
      </c>
    </row>
    <row r="85" spans="1:13">
      <c r="B85" s="47"/>
      <c r="C85" s="47"/>
      <c r="D85" s="47"/>
      <c r="E85" s="47"/>
      <c r="F85" s="47"/>
      <c r="G85" s="47"/>
      <c r="H85" s="47"/>
      <c r="I85" s="47"/>
      <c r="J85" s="47"/>
      <c r="K85" s="47"/>
      <c r="L85" s="47"/>
      <c r="M85" s="47"/>
    </row>
    <row r="86" spans="1:13">
      <c r="B86" s="45">
        <v>2020</v>
      </c>
      <c r="C86" s="45">
        <v>2021</v>
      </c>
      <c r="D86" s="45">
        <v>2022</v>
      </c>
      <c r="G86" s="45"/>
      <c r="H86" s="47"/>
      <c r="I86" s="47"/>
      <c r="J86" s="47"/>
      <c r="K86" s="47"/>
      <c r="L86" s="47"/>
      <c r="M86" s="47"/>
    </row>
    <row r="87" spans="1:13">
      <c r="A87" s="134" t="s">
        <v>625</v>
      </c>
      <c r="B87" s="63">
        <v>0</v>
      </c>
      <c r="C87" s="63">
        <v>0</v>
      </c>
      <c r="D87" s="64">
        <v>0</v>
      </c>
      <c r="G87" s="47"/>
      <c r="H87" s="47"/>
      <c r="I87" s="47"/>
      <c r="J87" s="47"/>
      <c r="K87" s="47"/>
      <c r="L87" s="47"/>
      <c r="M87" s="47"/>
    </row>
    <row r="88" spans="1:13">
      <c r="A88" s="140" t="s">
        <v>79</v>
      </c>
      <c r="B88" s="63">
        <v>0</v>
      </c>
      <c r="C88" s="63">
        <v>0</v>
      </c>
      <c r="D88" s="64">
        <v>0</v>
      </c>
    </row>
    <row r="90" spans="1:13">
      <c r="A90" s="14" t="s">
        <v>626</v>
      </c>
      <c r="B90" s="45" t="s">
        <v>627</v>
      </c>
      <c r="C90" s="45" t="s">
        <v>628</v>
      </c>
      <c r="D90" s="45" t="s">
        <v>629</v>
      </c>
      <c r="E90" s="45" t="s">
        <v>630</v>
      </c>
      <c r="G90" s="45"/>
    </row>
    <row r="91" spans="1:13">
      <c r="B91" s="71" t="e">
        <f>VLOOKUP($A91,Inputs!$A$5:$M$98,MATCH(B$4,Inputs!$B$5:$M$5,0)+1,FALSE)</f>
        <v>#N/A</v>
      </c>
      <c r="C91" s="71" t="e">
        <f>VLOOKUP($A91,Inputs!$A$5:$M$98,MATCH(C$4,Inputs!$B$5:$M$5,0)+1,FALSE)</f>
        <v>#N/A</v>
      </c>
      <c r="D91" s="71" t="e">
        <f>VLOOKUP($A91,Inputs!$A$5:$M$98,MATCH(D$4,Inputs!$B$5:$M$5,0)+1,FALSE)</f>
        <v>#N/A</v>
      </c>
      <c r="E91" s="71" t="e">
        <f>VLOOKUP($A91,Inputs!$A$5:$M$98,MATCH(E$4,Inputs!$B$5:$M$5,0)+1,FALSE)</f>
        <v>#N/A</v>
      </c>
    </row>
    <row r="92" spans="1:13">
      <c r="B92" s="72"/>
      <c r="C92" s="72"/>
      <c r="D92" s="2"/>
      <c r="E92" s="72"/>
      <c r="F92" s="2"/>
    </row>
    <row r="93" spans="1:13">
      <c r="B93" s="72"/>
      <c r="C93" s="72"/>
      <c r="D93" s="2"/>
      <c r="E93" s="72"/>
      <c r="F93" s="2"/>
    </row>
    <row r="94" spans="1:13">
      <c r="B94" s="72"/>
      <c r="C94" s="72"/>
      <c r="D94" s="2"/>
      <c r="E94" s="72"/>
      <c r="F94" s="2"/>
    </row>
    <row r="95" spans="1:13">
      <c r="B95" s="72"/>
      <c r="C95" s="72"/>
      <c r="D95" s="2"/>
      <c r="E95" s="72"/>
      <c r="F95" s="2"/>
    </row>
    <row r="96" spans="1:13">
      <c r="B96" s="72"/>
      <c r="C96" s="72"/>
      <c r="D96" s="2"/>
      <c r="E96" s="72"/>
      <c r="F96" s="2"/>
    </row>
    <row r="97" spans="2:6">
      <c r="B97" s="72"/>
      <c r="C97" s="72"/>
      <c r="D97" s="2"/>
      <c r="E97" s="72"/>
      <c r="F97" s="2"/>
    </row>
    <row r="98" spans="2:6">
      <c r="B98" s="72"/>
      <c r="C98" s="72"/>
      <c r="D98" s="2"/>
      <c r="E98" s="72"/>
      <c r="F98" s="2"/>
    </row>
    <row r="99" spans="2:6">
      <c r="B99" s="72"/>
      <c r="C99" s="72"/>
      <c r="D99" s="2"/>
      <c r="E99" s="72"/>
      <c r="F99" s="2"/>
    </row>
  </sheetData>
  <mergeCells count="7">
    <mergeCell ref="A77:M77"/>
    <mergeCell ref="A1:M1"/>
    <mergeCell ref="A2:M2"/>
    <mergeCell ref="A3:M3"/>
    <mergeCell ref="A38:M38"/>
    <mergeCell ref="A47:M47"/>
    <mergeCell ref="A66:M66"/>
  </mergeCells>
  <pageMargins left="0.7" right="0.7" top="0.75" bottom="0.75" header="0.3" footer="0.3"/>
  <pageSetup paperSize="9"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A3C43-E167-4BFD-BD9D-9D0FA5A01626}">
  <sheetPr>
    <tabColor rgb="FFFFFF00"/>
  </sheetPr>
  <dimension ref="A1:IB88"/>
  <sheetViews>
    <sheetView topLeftCell="A8" workbookViewId="0">
      <selection activeCell="P11" sqref="P11"/>
    </sheetView>
  </sheetViews>
  <sheetFormatPr defaultColWidth="11.42578125" defaultRowHeight="12"/>
  <cols>
    <col min="1" max="1" width="36.140625" style="44" customWidth="1"/>
    <col min="2" max="10" width="12.42578125" style="44" customWidth="1"/>
    <col min="11" max="12" width="12.42578125" style="52" customWidth="1"/>
    <col min="13" max="13" width="12.140625" style="52" bestFit="1" customWidth="1"/>
    <col min="14" max="16384" width="11.42578125" style="43"/>
  </cols>
  <sheetData>
    <row r="1" spans="1:14" ht="15.75">
      <c r="A1" s="1087" t="e" vm="1">
        <f>Inputs!H3</f>
        <v>#VALUE!</v>
      </c>
      <c r="B1" s="1087"/>
      <c r="C1" s="1087"/>
      <c r="D1" s="1087"/>
      <c r="E1" s="1087"/>
      <c r="F1" s="1087"/>
      <c r="G1" s="1087"/>
      <c r="H1" s="1087"/>
      <c r="I1" s="1087"/>
      <c r="J1" s="1087"/>
      <c r="K1" s="1087"/>
      <c r="L1" s="1087"/>
      <c r="M1" s="1087"/>
    </row>
    <row r="2" spans="1:14" ht="12" customHeight="1">
      <c r="A2" s="1088" t="str">
        <f>Inputs!G2</f>
        <v>Figures in Millions of USD</v>
      </c>
      <c r="B2" s="1088"/>
      <c r="C2" s="1088"/>
      <c r="D2" s="1088"/>
      <c r="E2" s="1088"/>
      <c r="F2" s="1088"/>
      <c r="G2" s="1088"/>
      <c r="H2" s="1088"/>
      <c r="I2" s="1088"/>
      <c r="J2" s="1088"/>
      <c r="K2" s="1088"/>
      <c r="L2" s="1088"/>
      <c r="M2" s="1088"/>
    </row>
    <row r="3" spans="1:14" ht="20.25">
      <c r="A3" s="1086" t="s">
        <v>588</v>
      </c>
      <c r="B3" s="1086"/>
      <c r="C3" s="1086"/>
      <c r="D3" s="1086"/>
      <c r="E3" s="1086"/>
      <c r="F3" s="1086"/>
      <c r="G3" s="1086"/>
      <c r="H3" s="1086"/>
      <c r="I3" s="1086"/>
      <c r="J3" s="1086"/>
      <c r="K3" s="1086"/>
      <c r="L3" s="1086"/>
      <c r="M3" s="1086"/>
    </row>
    <row r="4" spans="1:14">
      <c r="A4" s="54"/>
      <c r="B4" s="55">
        <f>OP!J19</f>
        <v>2022</v>
      </c>
      <c r="C4" s="45">
        <f>B4-1</f>
        <v>2021</v>
      </c>
      <c r="D4" s="45">
        <f t="shared" ref="D4:M4" si="0">C4-1</f>
        <v>2020</v>
      </c>
      <c r="E4" s="45">
        <f t="shared" si="0"/>
        <v>2019</v>
      </c>
      <c r="F4" s="45">
        <f t="shared" si="0"/>
        <v>2018</v>
      </c>
      <c r="G4" s="45">
        <f t="shared" si="0"/>
        <v>2017</v>
      </c>
      <c r="H4" s="45">
        <f t="shared" si="0"/>
        <v>2016</v>
      </c>
      <c r="I4" s="45">
        <f t="shared" si="0"/>
        <v>2015</v>
      </c>
      <c r="J4" s="45">
        <f t="shared" si="0"/>
        <v>2014</v>
      </c>
      <c r="K4" s="45">
        <f t="shared" si="0"/>
        <v>2013</v>
      </c>
      <c r="L4" s="45">
        <f t="shared" si="0"/>
        <v>2012</v>
      </c>
      <c r="M4" s="45">
        <f t="shared" si="0"/>
        <v>2011</v>
      </c>
      <c r="N4" s="48"/>
    </row>
    <row r="5" spans="1:14" ht="12.75">
      <c r="A5" s="56" t="s">
        <v>131</v>
      </c>
      <c r="B5" s="57">
        <f>_xlfn.XLOOKUP($A5,Inputs!$A:$A,Inputs!B:B,,0)</f>
        <v>2372</v>
      </c>
      <c r="C5" s="57">
        <f>_xlfn.XLOOKUP($A5,Inputs!$A:$A,Inputs!C:C,,0)</f>
        <v>1758</v>
      </c>
      <c r="D5" s="57">
        <f>_xlfn.XLOOKUP($A5,Inputs!$A:$A,Inputs!D:D,,0)</f>
        <v>1731</v>
      </c>
      <c r="E5" s="57">
        <f>_xlfn.XLOOKUP($A5,Inputs!$A:$A,Inputs!E:E,,0)</f>
        <v>1824</v>
      </c>
      <c r="F5" s="57">
        <f>_xlfn.XLOOKUP($A5,Inputs!$A:$A,Inputs!F:F,,0)</f>
        <v>1696.7</v>
      </c>
      <c r="G5" s="57">
        <f>_xlfn.XLOOKUP($A5,Inputs!$A:$A,Inputs!G:G,,0)</f>
        <v>1827.2</v>
      </c>
      <c r="H5" s="57">
        <f>_xlfn.XLOOKUP($A5,Inputs!$A:$A,Inputs!H:H,,0)</f>
        <v>1650.8</v>
      </c>
      <c r="I5" s="57">
        <f>_xlfn.XLOOKUP($A5,Inputs!$A:$A,Inputs!I:I,,0)</f>
        <v>1547</v>
      </c>
      <c r="J5" s="57">
        <f>_xlfn.XLOOKUP($A5,Inputs!$A:$A,Inputs!J:J,,0)</f>
        <v>1276.7</v>
      </c>
      <c r="K5" s="57">
        <f>_xlfn.XLOOKUP($A5,Inputs!$A:$A,Inputs!K:K,,0)</f>
        <v>1316.3</v>
      </c>
      <c r="L5" s="57">
        <f>_xlfn.XLOOKUP($A5,Inputs!$A:$A,Inputs!L:L,,0)</f>
        <v>1285.0999999999999</v>
      </c>
      <c r="M5" s="58">
        <f>_xlfn.XLOOKUP($A5,Inputs!$A:$A,Inputs!M:M,,0)</f>
        <v>1068.8</v>
      </c>
      <c r="N5" s="48"/>
    </row>
    <row r="6" spans="1:14" ht="12.75">
      <c r="A6" s="59" t="s">
        <v>589</v>
      </c>
      <c r="B6" s="60">
        <f>IFERROR(B5/C5-1,"-")</f>
        <v>0.34926052332195678</v>
      </c>
      <c r="C6" s="60">
        <f t="shared" ref="C6:M6" si="1">IFERROR(C5/D5-1,"-")</f>
        <v>1.5597920277296451E-2</v>
      </c>
      <c r="D6" s="60">
        <f t="shared" si="1"/>
        <v>-5.0986842105263164E-2</v>
      </c>
      <c r="E6" s="60">
        <f t="shared" si="1"/>
        <v>7.5027995520716706E-2</v>
      </c>
      <c r="F6" s="60">
        <f t="shared" si="1"/>
        <v>-7.1420753064798559E-2</v>
      </c>
      <c r="G6" s="60">
        <f t="shared" si="1"/>
        <v>0.10685728131814876</v>
      </c>
      <c r="H6" s="60">
        <f t="shared" si="1"/>
        <v>6.7097608274078846E-2</v>
      </c>
      <c r="I6" s="60">
        <f t="shared" si="1"/>
        <v>0.21171770972037285</v>
      </c>
      <c r="J6" s="60">
        <f t="shared" si="1"/>
        <v>-3.0084327281014844E-2</v>
      </c>
      <c r="K6" s="60">
        <f t="shared" si="1"/>
        <v>2.4278266282779626E-2</v>
      </c>
      <c r="L6" s="60">
        <f t="shared" si="1"/>
        <v>0.20237649700598803</v>
      </c>
      <c r="M6" s="61" t="str">
        <f t="shared" si="1"/>
        <v>-</v>
      </c>
      <c r="N6" s="48"/>
    </row>
    <row r="7" spans="1:14" ht="12.75">
      <c r="A7" s="56" t="s">
        <v>590</v>
      </c>
      <c r="B7" s="57">
        <f>_xlfn.XLOOKUP($A7,Inputs!$A:$A,Inputs!B:B,,0)</f>
        <v>1971</v>
      </c>
      <c r="C7" s="57">
        <f>_xlfn.XLOOKUP($A7,Inputs!$A:$A,Inputs!C:C,,0)</f>
        <v>1451</v>
      </c>
      <c r="D7" s="57">
        <f>_xlfn.XLOOKUP($A7,Inputs!$A:$A,Inputs!D:D,,0)</f>
        <v>1655</v>
      </c>
      <c r="E7" s="57">
        <f>_xlfn.XLOOKUP($A7,Inputs!$A:$A,Inputs!E:E,,0)</f>
        <v>1651</v>
      </c>
      <c r="F7" s="57">
        <f>_xlfn.XLOOKUP($A7,Inputs!$A:$A,Inputs!F:F,,0)</f>
        <v>1300</v>
      </c>
      <c r="G7" s="57">
        <f>_xlfn.XLOOKUP($A7,Inputs!$A:$A,Inputs!G:G,,0)</f>
        <v>1366</v>
      </c>
      <c r="H7" s="57">
        <f>_xlfn.XLOOKUP($A7,Inputs!$A:$A,Inputs!H:H,,0)</f>
        <v>1171</v>
      </c>
      <c r="I7" s="57">
        <f>_xlfn.XLOOKUP($A7,Inputs!$A:$A,Inputs!I:I,,0)</f>
        <v>1142</v>
      </c>
      <c r="J7" s="57">
        <f>_xlfn.XLOOKUP($A7,Inputs!$A:$A,Inputs!J:J,,0)</f>
        <v>903</v>
      </c>
      <c r="K7" s="57">
        <f>_xlfn.XLOOKUP($A7,Inputs!$A:$A,Inputs!K:K,,0)</f>
        <v>921</v>
      </c>
      <c r="L7" s="57">
        <f>_xlfn.XLOOKUP($A7,Inputs!$A:$A,Inputs!L:L,,0)</f>
        <v>938</v>
      </c>
      <c r="M7" s="58">
        <f>_xlfn.XLOOKUP($A7,Inputs!$A:$A,Inputs!M:M,,0)</f>
        <v>801</v>
      </c>
      <c r="N7" s="48"/>
    </row>
    <row r="8" spans="1:14" ht="12.75">
      <c r="A8" s="59" t="s">
        <v>591</v>
      </c>
      <c r="B8" s="60">
        <f>IFERROR(B7/B$5,"-")</f>
        <v>0.83094435075885331</v>
      </c>
      <c r="C8" s="60">
        <f t="shared" ref="C8:M8" si="2">IFERROR(C7/C$5,"-")</f>
        <v>0.82536973833902161</v>
      </c>
      <c r="D8" s="60">
        <f t="shared" si="2"/>
        <v>0.95609474292316576</v>
      </c>
      <c r="E8" s="60">
        <f t="shared" si="2"/>
        <v>0.90515350877192979</v>
      </c>
      <c r="F8" s="60">
        <f t="shared" si="2"/>
        <v>0.76619319856191426</v>
      </c>
      <c r="G8" s="60">
        <f t="shared" si="2"/>
        <v>0.74759194395796846</v>
      </c>
      <c r="H8" s="60">
        <f t="shared" si="2"/>
        <v>0.70935304094984253</v>
      </c>
      <c r="I8" s="60">
        <f t="shared" si="2"/>
        <v>0.73820297349709119</v>
      </c>
      <c r="J8" s="60">
        <f t="shared" si="2"/>
        <v>0.70729223780057959</v>
      </c>
      <c r="K8" s="60">
        <f t="shared" si="2"/>
        <v>0.69968852085390876</v>
      </c>
      <c r="L8" s="60">
        <f t="shared" si="2"/>
        <v>0.72990428760407755</v>
      </c>
      <c r="M8" s="61">
        <f t="shared" si="2"/>
        <v>0.74943862275449102</v>
      </c>
      <c r="N8" s="48"/>
    </row>
    <row r="9" spans="1:14" ht="12.75">
      <c r="A9" s="56" t="s">
        <v>592</v>
      </c>
      <c r="B9" s="57">
        <f t="shared" ref="B9:M9" si="3">B5-B11</f>
        <v>960.5</v>
      </c>
      <c r="C9" s="57">
        <f t="shared" si="3"/>
        <v>607</v>
      </c>
      <c r="D9" s="57">
        <f t="shared" si="3"/>
        <v>677</v>
      </c>
      <c r="E9" s="57">
        <f t="shared" si="3"/>
        <v>769</v>
      </c>
      <c r="F9" s="57">
        <f t="shared" si="3"/>
        <v>942.7</v>
      </c>
      <c r="G9" s="57">
        <f t="shared" si="3"/>
        <v>1024.2</v>
      </c>
      <c r="H9" s="57">
        <f t="shared" si="3"/>
        <v>1086.8</v>
      </c>
      <c r="I9" s="57">
        <f t="shared" si="3"/>
        <v>969</v>
      </c>
      <c r="J9" s="57">
        <f t="shared" si="3"/>
        <v>854.7</v>
      </c>
      <c r="K9" s="57">
        <f t="shared" si="3"/>
        <v>843.3</v>
      </c>
      <c r="L9" s="57">
        <f t="shared" si="3"/>
        <v>835.09999999999991</v>
      </c>
      <c r="M9" s="58">
        <f t="shared" si="3"/>
        <v>721.8</v>
      </c>
      <c r="N9" s="48"/>
    </row>
    <row r="10" spans="1:14" ht="12.75">
      <c r="A10" s="59" t="s">
        <v>591</v>
      </c>
      <c r="B10" s="60">
        <f>IFERROR(B9/B$5,"-")</f>
        <v>0.4049325463743676</v>
      </c>
      <c r="C10" s="60">
        <f t="shared" ref="C10:M10" si="4">IFERROR(C9/C$5,"-")</f>
        <v>0.3452787258248009</v>
      </c>
      <c r="D10" s="60">
        <f t="shared" si="4"/>
        <v>0.39110340843443098</v>
      </c>
      <c r="E10" s="60">
        <f t="shared" si="4"/>
        <v>0.42160087719298245</v>
      </c>
      <c r="F10" s="60">
        <f t="shared" si="4"/>
        <v>0.55560794483408971</v>
      </c>
      <c r="G10" s="60">
        <f t="shared" si="4"/>
        <v>0.56052977232924694</v>
      </c>
      <c r="H10" s="60">
        <f t="shared" si="4"/>
        <v>0.65834746789435428</v>
      </c>
      <c r="I10" s="60">
        <f t="shared" si="4"/>
        <v>0.62637362637362637</v>
      </c>
      <c r="J10" s="60">
        <f t="shared" si="4"/>
        <v>0.66946032740659511</v>
      </c>
      <c r="K10" s="60">
        <f t="shared" si="4"/>
        <v>0.64065942414343235</v>
      </c>
      <c r="L10" s="60">
        <f t="shared" si="4"/>
        <v>0.64983269784452569</v>
      </c>
      <c r="M10" s="61">
        <f t="shared" si="4"/>
        <v>0.67533682634730541</v>
      </c>
      <c r="N10" s="48"/>
    </row>
    <row r="11" spans="1:14" ht="12.75">
      <c r="A11" s="56" t="s">
        <v>297</v>
      </c>
      <c r="B11" s="57">
        <f>_xlfn.XLOOKUP($A11,Inputs!$A:$A,Inputs!B:B,,0)</f>
        <v>1411.5</v>
      </c>
      <c r="C11" s="57">
        <f>_xlfn.XLOOKUP($A11,Inputs!$A:$A,Inputs!C:C,,0)</f>
        <v>1151</v>
      </c>
      <c r="D11" s="57">
        <f>_xlfn.XLOOKUP($A11,Inputs!$A:$A,Inputs!D:D,,0)</f>
        <v>1054</v>
      </c>
      <c r="E11" s="57">
        <f>_xlfn.XLOOKUP($A11,Inputs!$A:$A,Inputs!E:E,,0)</f>
        <v>1055</v>
      </c>
      <c r="F11" s="57">
        <f>_xlfn.XLOOKUP($A11,Inputs!$A:$A,Inputs!F:F,,0)</f>
        <v>754</v>
      </c>
      <c r="G11" s="57">
        <f>_xlfn.XLOOKUP($A11,Inputs!$A:$A,Inputs!G:G,,0)</f>
        <v>803</v>
      </c>
      <c r="H11" s="57">
        <f>_xlfn.XLOOKUP($A11,Inputs!$A:$A,Inputs!H:H,,0)</f>
        <v>564</v>
      </c>
      <c r="I11" s="57">
        <f>_xlfn.XLOOKUP($A11,Inputs!$A:$A,Inputs!I:I,,0)</f>
        <v>578</v>
      </c>
      <c r="J11" s="57">
        <f>_xlfn.XLOOKUP($A11,Inputs!$A:$A,Inputs!J:J,,0)</f>
        <v>422</v>
      </c>
      <c r="K11" s="57">
        <f>_xlfn.XLOOKUP($A11,Inputs!$A:$A,Inputs!K:K,,0)</f>
        <v>473</v>
      </c>
      <c r="L11" s="57">
        <f>_xlfn.XLOOKUP($A11,Inputs!$A:$A,Inputs!L:L,,0)</f>
        <v>450</v>
      </c>
      <c r="M11" s="58">
        <f>_xlfn.XLOOKUP($A11,Inputs!$A:$A,Inputs!M:M,,0)</f>
        <v>347</v>
      </c>
      <c r="N11" s="48"/>
    </row>
    <row r="12" spans="1:14" ht="12.75">
      <c r="A12" s="59" t="s">
        <v>591</v>
      </c>
      <c r="B12" s="60">
        <f t="shared" ref="B12:M12" si="5">IFERROR(B11/B$5,"-")</f>
        <v>0.5950674536256324</v>
      </c>
      <c r="C12" s="60">
        <f t="shared" si="5"/>
        <v>0.6547212741751991</v>
      </c>
      <c r="D12" s="60">
        <f t="shared" si="5"/>
        <v>0.60889659156556908</v>
      </c>
      <c r="E12" s="60">
        <f t="shared" si="5"/>
        <v>0.57839912280701755</v>
      </c>
      <c r="F12" s="60">
        <f t="shared" si="5"/>
        <v>0.44439205516591029</v>
      </c>
      <c r="G12" s="60">
        <f t="shared" si="5"/>
        <v>0.43947022767075306</v>
      </c>
      <c r="H12" s="60">
        <f t="shared" si="5"/>
        <v>0.34165253210564578</v>
      </c>
      <c r="I12" s="60">
        <f t="shared" si="5"/>
        <v>0.37362637362637363</v>
      </c>
      <c r="J12" s="60">
        <f t="shared" si="5"/>
        <v>0.33053967259340489</v>
      </c>
      <c r="K12" s="60">
        <f t="shared" si="5"/>
        <v>0.35934057585656765</v>
      </c>
      <c r="L12" s="60">
        <f t="shared" si="5"/>
        <v>0.35016730215547431</v>
      </c>
      <c r="M12" s="61">
        <f t="shared" si="5"/>
        <v>0.32466317365269465</v>
      </c>
      <c r="N12" s="48"/>
    </row>
    <row r="13" spans="1:14" ht="12.75">
      <c r="A13" s="56" t="s">
        <v>593</v>
      </c>
      <c r="B13" s="60">
        <f t="shared" ref="B13:M13" si="6">IFERROR(B12/C12-1,"-")</f>
        <v>-9.1113307146948985E-2</v>
      </c>
      <c r="C13" s="60">
        <f t="shared" si="6"/>
        <v>7.5258563185265137E-2</v>
      </c>
      <c r="D13" s="60">
        <f t="shared" si="6"/>
        <v>5.2727377265969544E-2</v>
      </c>
      <c r="E13" s="60">
        <f t="shared" si="6"/>
        <v>0.30155144783377552</v>
      </c>
      <c r="F13" s="60">
        <f t="shared" si="6"/>
        <v>1.1199456038793576E-2</v>
      </c>
      <c r="G13" s="60">
        <f t="shared" si="6"/>
        <v>0.2863075387214169</v>
      </c>
      <c r="H13" s="60">
        <f t="shared" si="6"/>
        <v>-8.5577046423124581E-2</v>
      </c>
      <c r="I13" s="60">
        <f t="shared" si="6"/>
        <v>0.13035258580282272</v>
      </c>
      <c r="J13" s="60">
        <f t="shared" si="6"/>
        <v>-8.014932127970642E-2</v>
      </c>
      <c r="K13" s="60">
        <f t="shared" si="6"/>
        <v>2.6196831185055558E-2</v>
      </c>
      <c r="L13" s="60">
        <f t="shared" si="6"/>
        <v>7.8555655745737418E-2</v>
      </c>
      <c r="M13" s="61" t="str">
        <f t="shared" si="6"/>
        <v>-</v>
      </c>
      <c r="N13" s="48"/>
    </row>
    <row r="14" spans="1:14" ht="12.75">
      <c r="A14" s="62" t="s">
        <v>298</v>
      </c>
      <c r="B14" s="57">
        <f>_xlfn.XLOOKUP($A14,Inputs!$A:$A,Inputs!B:B,,0)</f>
        <v>-180.1</v>
      </c>
      <c r="C14" s="57">
        <f>_xlfn.XLOOKUP($A14,Inputs!$A:$A,Inputs!C:C,,0)</f>
        <v>-131</v>
      </c>
      <c r="D14" s="57">
        <f>_xlfn.XLOOKUP($A14,Inputs!$A:$A,Inputs!D:D,,0)</f>
        <v>-124</v>
      </c>
      <c r="E14" s="57">
        <f>_xlfn.XLOOKUP($A14,Inputs!$A:$A,Inputs!E:E,,0)</f>
        <v>-174</v>
      </c>
      <c r="F14" s="57">
        <f>_xlfn.XLOOKUP($A14,Inputs!$A:$A,Inputs!F:F,,0)</f>
        <v>-133</v>
      </c>
      <c r="G14" s="57">
        <f>_xlfn.XLOOKUP($A14,Inputs!$A:$A,Inputs!G:G,,0)</f>
        <v>-144</v>
      </c>
      <c r="H14" s="57">
        <f>_xlfn.XLOOKUP($A14,Inputs!$A:$A,Inputs!H:H,,0)</f>
        <v>-159</v>
      </c>
      <c r="I14" s="57">
        <f>_xlfn.XLOOKUP($A14,Inputs!$A:$A,Inputs!I:I,,0)</f>
        <v>-145</v>
      </c>
      <c r="J14" s="57">
        <f>_xlfn.XLOOKUP($A14,Inputs!$A:$A,Inputs!J:J,,0)</f>
        <v>-154</v>
      </c>
      <c r="K14" s="57">
        <f>_xlfn.XLOOKUP($A14,Inputs!$A:$A,Inputs!K:K,,0)</f>
        <v>-161</v>
      </c>
      <c r="L14" s="57">
        <f>_xlfn.XLOOKUP($A14,Inputs!$A:$A,Inputs!L:L,,0)</f>
        <v>-220</v>
      </c>
      <c r="M14" s="58">
        <f>_xlfn.XLOOKUP($A14,Inputs!$A:$A,Inputs!M:M,,0)</f>
        <v>-210</v>
      </c>
      <c r="N14" s="48"/>
    </row>
    <row r="15" spans="1:14" ht="12.75">
      <c r="A15" s="56" t="s">
        <v>594</v>
      </c>
      <c r="B15" s="57">
        <f>_xlfn.XLOOKUP($A15,Inputs!$A:$A,Inputs!B:B,,0)</f>
        <v>-473</v>
      </c>
      <c r="C15" s="57">
        <f>_xlfn.XLOOKUP($A15,Inputs!$A:$A,Inputs!C:C,,0)</f>
        <v>-275</v>
      </c>
      <c r="D15" s="57">
        <f>_xlfn.XLOOKUP($A15,Inputs!$A:$A,Inputs!D:D,,0)</f>
        <v>-291</v>
      </c>
      <c r="E15" s="57">
        <f>_xlfn.XLOOKUP($A15,Inputs!$A:$A,Inputs!E:E,,0)</f>
        <v>-323</v>
      </c>
      <c r="F15" s="57">
        <f>_xlfn.XLOOKUP($A15,Inputs!$A:$A,Inputs!F:F,,0)</f>
        <v>-244.6</v>
      </c>
      <c r="G15" s="57">
        <f>_xlfn.XLOOKUP($A15,Inputs!$A:$A,Inputs!G:G,,0)</f>
        <v>-335</v>
      </c>
      <c r="H15" s="57">
        <f>_xlfn.XLOOKUP($A15,Inputs!$A:$A,Inputs!H:H,,0)</f>
        <v>-311</v>
      </c>
      <c r="I15" s="57">
        <f>_xlfn.XLOOKUP($A15,Inputs!$A:$A,Inputs!I:I,,0)</f>
        <v>-221</v>
      </c>
      <c r="J15" s="57">
        <f>_xlfn.XLOOKUP($A15,Inputs!$A:$A,Inputs!J:J,,0)</f>
        <v>-126</v>
      </c>
      <c r="K15" s="57">
        <f>_xlfn.XLOOKUP($A15,Inputs!$A:$A,Inputs!K:K,,0)</f>
        <v>-120</v>
      </c>
      <c r="L15" s="57">
        <f>_xlfn.XLOOKUP($A15,Inputs!$A:$A,Inputs!L:L,,0)</f>
        <v>-58</v>
      </c>
      <c r="M15" s="58">
        <f>_xlfn.XLOOKUP($A15,Inputs!$A:$A,Inputs!M:M,,0)</f>
        <v>-20</v>
      </c>
      <c r="N15" s="48"/>
    </row>
    <row r="16" spans="1:14" ht="12.75">
      <c r="A16" s="62" t="s">
        <v>69</v>
      </c>
      <c r="B16" s="57">
        <f>B11-B15</f>
        <v>1884.5</v>
      </c>
      <c r="C16" s="57">
        <f t="shared" ref="C16:M16" si="7">C11-C15</f>
        <v>1426</v>
      </c>
      <c r="D16" s="57">
        <f t="shared" si="7"/>
        <v>1345</v>
      </c>
      <c r="E16" s="57">
        <f t="shared" si="7"/>
        <v>1378</v>
      </c>
      <c r="F16" s="57">
        <f t="shared" si="7"/>
        <v>998.6</v>
      </c>
      <c r="G16" s="57">
        <f t="shared" si="7"/>
        <v>1138</v>
      </c>
      <c r="H16" s="57">
        <f t="shared" si="7"/>
        <v>875</v>
      </c>
      <c r="I16" s="57">
        <f t="shared" si="7"/>
        <v>799</v>
      </c>
      <c r="J16" s="57">
        <f t="shared" si="7"/>
        <v>548</v>
      </c>
      <c r="K16" s="57">
        <f t="shared" si="7"/>
        <v>593</v>
      </c>
      <c r="L16" s="57">
        <f t="shared" si="7"/>
        <v>508</v>
      </c>
      <c r="M16" s="58">
        <f t="shared" si="7"/>
        <v>367</v>
      </c>
      <c r="N16" s="48"/>
    </row>
    <row r="17" spans="1:14" ht="12.75">
      <c r="A17" s="56" t="s">
        <v>631</v>
      </c>
      <c r="B17" s="57">
        <f>'Fin. Data'!B17</f>
        <v>716.3</v>
      </c>
      <c r="C17" s="57">
        <f>'Fin. Data'!C17</f>
        <v>623.29999999999995</v>
      </c>
      <c r="D17" s="57">
        <f>'Fin. Data'!D17</f>
        <v>616.1</v>
      </c>
      <c r="E17" s="57">
        <f>'Fin. Data'!E17</f>
        <v>593.5</v>
      </c>
      <c r="F17" s="57">
        <f>'Fin. Data'!F17</f>
        <v>555.20000000000005</v>
      </c>
      <c r="G17" s="57">
        <f>'Fin. Data'!G17</f>
        <v>532.6</v>
      </c>
      <c r="H17" s="57">
        <f>'Fin. Data'!H17</f>
        <v>621.1</v>
      </c>
      <c r="I17" s="57">
        <f>'Fin. Data'!I17</f>
        <v>565.79999999999995</v>
      </c>
      <c r="J17" s="57">
        <f>'Fin. Data'!J17</f>
        <v>472.5</v>
      </c>
      <c r="K17" s="57">
        <f>'Fin. Data'!K17</f>
        <v>452.5</v>
      </c>
      <c r="L17" s="57">
        <f>'Fin. Data'!L17</f>
        <v>502.8</v>
      </c>
      <c r="M17" s="58">
        <f>'Fin. Data'!M17</f>
        <v>433</v>
      </c>
      <c r="N17" s="48"/>
    </row>
    <row r="18" spans="1:14" ht="12.75">
      <c r="A18" s="62" t="s">
        <v>595</v>
      </c>
      <c r="B18" s="57">
        <f>_xlfn.XLOOKUP($A18,Inputs!$A:$A,Inputs!B:B,,0)</f>
        <v>-1673.1000000000001</v>
      </c>
      <c r="C18" s="57">
        <f>_xlfn.XLOOKUP($A18,Inputs!$A:$A,Inputs!C:C,,0)</f>
        <v>-329.79999999999995</v>
      </c>
      <c r="D18" s="57">
        <f>_xlfn.XLOOKUP($A18,Inputs!$A:$A,Inputs!D:D,,0)</f>
        <v>397</v>
      </c>
      <c r="E18" s="57">
        <f>_xlfn.XLOOKUP($A18,Inputs!$A:$A,Inputs!E:E,,0)</f>
        <v>-14</v>
      </c>
      <c r="F18" s="57">
        <f>_xlfn.XLOOKUP($A18,Inputs!$A:$A,Inputs!F:F,,0)</f>
        <v>-467</v>
      </c>
      <c r="G18" s="57">
        <f>_xlfn.XLOOKUP($A18,Inputs!$A:$A,Inputs!G:G,,0)</f>
        <v>-210</v>
      </c>
      <c r="H18" s="57">
        <f>_xlfn.XLOOKUP($A18,Inputs!$A:$A,Inputs!H:H,,0)</f>
        <v>139</v>
      </c>
      <c r="I18" s="57">
        <f>_xlfn.XLOOKUP($A18,Inputs!$A:$A,Inputs!I:I,,0)</f>
        <v>-314</v>
      </c>
      <c r="J18" s="57">
        <f>_xlfn.XLOOKUP($A18,Inputs!$A:$A,Inputs!J:J,,0)</f>
        <v>-253</v>
      </c>
      <c r="K18" s="57">
        <f>_xlfn.XLOOKUP($A18,Inputs!$A:$A,Inputs!K:K,,0)</f>
        <v>100</v>
      </c>
      <c r="L18" s="57">
        <f>_xlfn.XLOOKUP($A18,Inputs!$A:$A,Inputs!L:L,,0)</f>
        <v>-34</v>
      </c>
      <c r="M18" s="58">
        <f>_xlfn.XLOOKUP($A18,Inputs!$A:$A,Inputs!M:M,,0)</f>
        <v>-412</v>
      </c>
      <c r="N18" s="48"/>
    </row>
    <row r="19" spans="1:14" ht="12.75">
      <c r="A19" s="56" t="s">
        <v>59</v>
      </c>
      <c r="B19" s="57">
        <f t="shared" ref="B19:M19" si="8">B11-B15-B17</f>
        <v>1168.2</v>
      </c>
      <c r="C19" s="57">
        <f t="shared" si="8"/>
        <v>802.7</v>
      </c>
      <c r="D19" s="57">
        <f t="shared" si="8"/>
        <v>728.9</v>
      </c>
      <c r="E19" s="57">
        <f t="shared" si="8"/>
        <v>784.5</v>
      </c>
      <c r="F19" s="57">
        <f t="shared" si="8"/>
        <v>443.4</v>
      </c>
      <c r="G19" s="57">
        <f t="shared" si="8"/>
        <v>605.4</v>
      </c>
      <c r="H19" s="57">
        <f t="shared" si="8"/>
        <v>253.89999999999998</v>
      </c>
      <c r="I19" s="57">
        <f t="shared" si="8"/>
        <v>233.20000000000005</v>
      </c>
      <c r="J19" s="57">
        <f t="shared" si="8"/>
        <v>75.5</v>
      </c>
      <c r="K19" s="57">
        <f t="shared" si="8"/>
        <v>140.5</v>
      </c>
      <c r="L19" s="57">
        <f t="shared" si="8"/>
        <v>5.1999999999999886</v>
      </c>
      <c r="M19" s="57">
        <f t="shared" si="8"/>
        <v>-66</v>
      </c>
      <c r="N19" s="48"/>
    </row>
    <row r="20" spans="1:14" ht="12.75">
      <c r="A20" s="59" t="s">
        <v>591</v>
      </c>
      <c r="B20" s="60">
        <f t="shared" ref="B20:M20" si="9">IFERROR(B19/B$5,"-")</f>
        <v>0.49249578414839801</v>
      </c>
      <c r="C20" s="60">
        <f t="shared" si="9"/>
        <v>0.45659840728100115</v>
      </c>
      <c r="D20" s="60">
        <f t="shared" si="9"/>
        <v>0.42108607741190063</v>
      </c>
      <c r="E20" s="60">
        <f t="shared" si="9"/>
        <v>0.43009868421052633</v>
      </c>
      <c r="F20" s="60">
        <f t="shared" si="9"/>
        <v>0.26133081864796365</v>
      </c>
      <c r="G20" s="60">
        <f t="shared" si="9"/>
        <v>0.3313266199649737</v>
      </c>
      <c r="H20" s="60">
        <f t="shared" si="9"/>
        <v>0.15380421613763023</v>
      </c>
      <c r="I20" s="60">
        <f t="shared" si="9"/>
        <v>0.15074337427278606</v>
      </c>
      <c r="J20" s="60">
        <f t="shared" si="9"/>
        <v>5.913683715829874E-2</v>
      </c>
      <c r="K20" s="60">
        <f t="shared" si="9"/>
        <v>0.1067385854288536</v>
      </c>
      <c r="L20" s="60">
        <f t="shared" si="9"/>
        <v>4.0463777137965829E-3</v>
      </c>
      <c r="M20" s="61">
        <f t="shared" si="9"/>
        <v>-6.1751497005988025E-2</v>
      </c>
      <c r="N20" s="48"/>
    </row>
    <row r="21" spans="1:14" ht="12.75">
      <c r="A21" s="56" t="s">
        <v>299</v>
      </c>
      <c r="B21" s="57">
        <f>_xlfn.XLOOKUP($A21,Inputs!$A:$A,Inputs!B:B,,0)</f>
        <v>-142.19999999999999</v>
      </c>
      <c r="C21" s="57">
        <f>_xlfn.XLOOKUP($A21,Inputs!$A:$A,Inputs!C:C,,0)</f>
        <v>-90</v>
      </c>
      <c r="D21" s="57">
        <f>_xlfn.XLOOKUP($A21,Inputs!$A:$A,Inputs!D:D,,0)</f>
        <v>-83</v>
      </c>
      <c r="E21" s="57">
        <f>_xlfn.XLOOKUP($A21,Inputs!$A:$A,Inputs!E:E,,0)</f>
        <v>-83</v>
      </c>
      <c r="F21" s="57">
        <f>_xlfn.XLOOKUP($A21,Inputs!$A:$A,Inputs!F:F,,0)</f>
        <v>-63</v>
      </c>
      <c r="G21" s="57">
        <f>_xlfn.XLOOKUP($A21,Inputs!$A:$A,Inputs!G:G,,0)</f>
        <v>-48</v>
      </c>
      <c r="H21" s="57">
        <f>_xlfn.XLOOKUP($A21,Inputs!$A:$A,Inputs!H:H,,0)</f>
        <v>-38</v>
      </c>
      <c r="I21" s="57">
        <f>_xlfn.XLOOKUP($A21,Inputs!$A:$A,Inputs!I:I,,0)</f>
        <v>-45</v>
      </c>
      <c r="J21" s="57">
        <f>_xlfn.XLOOKUP($A21,Inputs!$A:$A,Inputs!J:J,,0)</f>
        <v>-16</v>
      </c>
      <c r="K21" s="57">
        <f>_xlfn.XLOOKUP($A21,Inputs!$A:$A,Inputs!K:K,,0)</f>
        <v>-57</v>
      </c>
      <c r="L21" s="57">
        <f>_xlfn.XLOOKUP($A21,Inputs!$A:$A,Inputs!L:L,,0)</f>
        <v>-46</v>
      </c>
      <c r="M21" s="58">
        <f>_xlfn.XLOOKUP($A21,Inputs!$A:$A,Inputs!M:M,,0)</f>
        <v>-28</v>
      </c>
      <c r="N21" s="48"/>
    </row>
    <row r="22" spans="1:14" ht="12.75">
      <c r="A22" s="59" t="s">
        <v>597</v>
      </c>
      <c r="B22" s="60">
        <f t="shared" ref="B22:M22" si="10">IFERROR(B21/B$5,"-")</f>
        <v>-5.994940978077571E-2</v>
      </c>
      <c r="C22" s="60">
        <f t="shared" si="10"/>
        <v>-5.1194539249146756E-2</v>
      </c>
      <c r="D22" s="60">
        <f t="shared" si="10"/>
        <v>-4.7949162333911034E-2</v>
      </c>
      <c r="E22" s="60">
        <f t="shared" si="10"/>
        <v>-4.5504385964912283E-2</v>
      </c>
      <c r="F22" s="60">
        <f t="shared" si="10"/>
        <v>-3.7130901161077381E-2</v>
      </c>
      <c r="G22" s="60">
        <f t="shared" si="10"/>
        <v>-2.6269702276707531E-2</v>
      </c>
      <c r="H22" s="60">
        <f t="shared" si="10"/>
        <v>-2.301914223406833E-2</v>
      </c>
      <c r="I22" s="60">
        <f t="shared" si="10"/>
        <v>-2.9088558500323207E-2</v>
      </c>
      <c r="J22" s="60">
        <f t="shared" si="10"/>
        <v>-1.2532309861361321E-2</v>
      </c>
      <c r="K22" s="60">
        <f t="shared" si="10"/>
        <v>-4.3303198359036697E-2</v>
      </c>
      <c r="L22" s="60">
        <f t="shared" si="10"/>
        <v>-3.5794879775892928E-2</v>
      </c>
      <c r="M22" s="61">
        <f t="shared" si="10"/>
        <v>-2.6197604790419163E-2</v>
      </c>
      <c r="N22" s="48"/>
    </row>
    <row r="23" spans="1:14" ht="12.75">
      <c r="A23" s="56" t="s">
        <v>453</v>
      </c>
      <c r="B23" s="57">
        <f>_xlfn.XLOOKUP($A23,Inputs!$A:$A,Inputs!B:B,,0)</f>
        <v>616.20000000000005</v>
      </c>
      <c r="C23" s="57">
        <f>_xlfn.XLOOKUP($A23,Inputs!$A:$A,Inputs!C:C,,0)</f>
        <v>655.4</v>
      </c>
      <c r="D23" s="57">
        <f>_xlfn.XLOOKUP($A23,Inputs!$A:$A,Inputs!D:D,,0)</f>
        <v>555.70000000000005</v>
      </c>
      <c r="E23" s="57">
        <f>_xlfn.XLOOKUP($A23,Inputs!$A:$A,Inputs!E:E,,0)</f>
        <v>475.1</v>
      </c>
      <c r="F23" s="57">
        <f>_xlfn.XLOOKUP($A23,Inputs!$A:$A,Inputs!F:F,,0)</f>
        <v>313.39999999999998</v>
      </c>
      <c r="G23" s="57">
        <f>_xlfn.XLOOKUP($A23,Inputs!$A:$A,Inputs!G:G,,0)</f>
        <v>275.89999999999998</v>
      </c>
      <c r="H23" s="57">
        <f>_xlfn.XLOOKUP($A23,Inputs!$A:$A,Inputs!H:H,,0)</f>
        <v>56.3</v>
      </c>
      <c r="I23" s="57">
        <f>_xlfn.XLOOKUP($A23,Inputs!$A:$A,Inputs!I:I,,0)</f>
        <v>166.6</v>
      </c>
      <c r="J23" s="57">
        <f>_xlfn.XLOOKUP($A23,Inputs!$A:$A,Inputs!J:J,,0)</f>
        <v>126</v>
      </c>
      <c r="K23" s="57">
        <f>_xlfn.XLOOKUP($A23,Inputs!$A:$A,Inputs!K:K,,0)</f>
        <v>135.1</v>
      </c>
      <c r="L23" s="57">
        <f>_xlfn.XLOOKUP($A23,Inputs!$A:$A,Inputs!L:L,,0)</f>
        <v>126.3</v>
      </c>
      <c r="M23" s="58">
        <f>_xlfn.XLOOKUP($A23,Inputs!$A:$A,Inputs!M:M,,0)</f>
        <v>88.6</v>
      </c>
      <c r="N23" s="48"/>
    </row>
    <row r="24" spans="1:14" ht="12.75">
      <c r="A24" s="59" t="s">
        <v>591</v>
      </c>
      <c r="B24" s="60">
        <f t="shared" ref="B24:M24" si="11">IFERROR(B23/B$5,"-")</f>
        <v>0.25978077571669478</v>
      </c>
      <c r="C24" s="60">
        <f t="shared" si="11"/>
        <v>0.37281001137656428</v>
      </c>
      <c r="D24" s="60">
        <f t="shared" si="11"/>
        <v>0.32102830733679955</v>
      </c>
      <c r="E24" s="60">
        <f t="shared" si="11"/>
        <v>0.26047149122807017</v>
      </c>
      <c r="F24" s="60">
        <f t="shared" si="11"/>
        <v>0.18471149879177223</v>
      </c>
      <c r="G24" s="60">
        <f t="shared" si="11"/>
        <v>0.15099605954465847</v>
      </c>
      <c r="H24" s="60">
        <f t="shared" si="11"/>
        <v>3.4104676520474921E-2</v>
      </c>
      <c r="I24" s="60">
        <f t="shared" si="11"/>
        <v>0.10769230769230768</v>
      </c>
      <c r="J24" s="60">
        <f t="shared" si="11"/>
        <v>9.8691940158220415E-2</v>
      </c>
      <c r="K24" s="60">
        <f t="shared" si="11"/>
        <v>0.10263617716326065</v>
      </c>
      <c r="L24" s="60">
        <f t="shared" si="11"/>
        <v>9.8280289471636459E-2</v>
      </c>
      <c r="M24" s="61">
        <f t="shared" si="11"/>
        <v>8.2896706586826352E-2</v>
      </c>
      <c r="N24" s="48"/>
    </row>
    <row r="25" spans="1:14" ht="12.75">
      <c r="A25" s="56" t="s">
        <v>589</v>
      </c>
      <c r="B25" s="60">
        <f t="shared" ref="B25:M25" si="12">IFERROR(B24/C24-1,"-")</f>
        <v>-0.30318186800434932</v>
      </c>
      <c r="C25" s="60">
        <f t="shared" si="12"/>
        <v>0.16129949557824852</v>
      </c>
      <c r="D25" s="60">
        <f t="shared" si="12"/>
        <v>0.23248922875672995</v>
      </c>
      <c r="E25" s="60">
        <f t="shared" si="12"/>
        <v>0.41015309242714348</v>
      </c>
      <c r="F25" s="60">
        <f t="shared" si="12"/>
        <v>0.22328688145098319</v>
      </c>
      <c r="G25" s="60">
        <f t="shared" si="12"/>
        <v>3.4274297530430236</v>
      </c>
      <c r="H25" s="60">
        <f t="shared" si="12"/>
        <v>-0.68331371802416141</v>
      </c>
      <c r="I25" s="60">
        <f t="shared" si="12"/>
        <v>9.1196581196581139E-2</v>
      </c>
      <c r="J25" s="60">
        <f t="shared" si="12"/>
        <v>-3.8429305475458642E-2</v>
      </c>
      <c r="K25" s="60">
        <f t="shared" si="12"/>
        <v>4.4321071041221183E-2</v>
      </c>
      <c r="L25" s="60">
        <f t="shared" si="12"/>
        <v>0.18557532039825109</v>
      </c>
      <c r="M25" s="61" t="str">
        <f t="shared" si="12"/>
        <v>-</v>
      </c>
      <c r="N25" s="48"/>
    </row>
    <row r="26" spans="1:14" ht="12.75">
      <c r="A26" s="59" t="s">
        <v>598</v>
      </c>
      <c r="B26" s="63">
        <f>B39-C39</f>
        <v>168.10000000000014</v>
      </c>
      <c r="C26" s="63">
        <f t="shared" ref="C26:M26" si="13">C39-D39</f>
        <v>529.79999999999995</v>
      </c>
      <c r="D26" s="63">
        <f t="shared" si="13"/>
        <v>-108</v>
      </c>
      <c r="E26" s="63">
        <f t="shared" si="13"/>
        <v>30</v>
      </c>
      <c r="F26" s="63">
        <f t="shared" si="13"/>
        <v>164</v>
      </c>
      <c r="G26" s="63">
        <f t="shared" si="13"/>
        <v>-215</v>
      </c>
      <c r="H26" s="63">
        <f t="shared" si="13"/>
        <v>166</v>
      </c>
      <c r="I26" s="63">
        <f t="shared" si="13"/>
        <v>68</v>
      </c>
      <c r="J26" s="63">
        <f t="shared" si="13"/>
        <v>114</v>
      </c>
      <c r="K26" s="63">
        <f t="shared" si="13"/>
        <v>9</v>
      </c>
      <c r="L26" s="63">
        <f t="shared" si="13"/>
        <v>26</v>
      </c>
      <c r="M26" s="64">
        <f t="shared" si="13"/>
        <v>220</v>
      </c>
      <c r="N26" s="48"/>
    </row>
    <row r="27" spans="1:14" ht="12.75">
      <c r="A27" s="56" t="s">
        <v>142</v>
      </c>
      <c r="B27" s="57">
        <f>_xlfn.XLOOKUP($A27,Inputs!$A:$A,Inputs!B:B,,0)</f>
        <v>-155</v>
      </c>
      <c r="C27" s="57">
        <f>_xlfn.XLOOKUP($A27,Inputs!$A:$A,Inputs!C:C,,0)</f>
        <v>-114</v>
      </c>
      <c r="D27" s="57">
        <f>_xlfn.XLOOKUP($A27,Inputs!$A:$A,Inputs!D:D,,0)</f>
        <v>-107</v>
      </c>
      <c r="E27" s="57">
        <f>_xlfn.XLOOKUP($A27,Inputs!$A:$A,Inputs!E:E,,0)</f>
        <v>-99</v>
      </c>
      <c r="F27" s="57">
        <f>_xlfn.XLOOKUP($A27,Inputs!$A:$A,Inputs!F:F,,0)</f>
        <v>-113</v>
      </c>
      <c r="G27" s="57">
        <f>_xlfn.XLOOKUP($A27,Inputs!$A:$A,Inputs!G:G,,0)</f>
        <v>-92</v>
      </c>
      <c r="H27" s="57">
        <f>_xlfn.XLOOKUP($A27,Inputs!$A:$A,Inputs!H:H,,0)</f>
        <v>-85</v>
      </c>
      <c r="I27" s="57">
        <f>_xlfn.XLOOKUP($A27,Inputs!$A:$A,Inputs!I:I,,0)</f>
        <v>-78</v>
      </c>
      <c r="J27" s="57">
        <f>_xlfn.XLOOKUP($A27,Inputs!$A:$A,Inputs!J:J,,0)</f>
        <v>-68</v>
      </c>
      <c r="K27" s="57">
        <f>_xlfn.XLOOKUP($A27,Inputs!$A:$A,Inputs!K:K,,0)</f>
        <v>-52</v>
      </c>
      <c r="L27" s="57">
        <f>_xlfn.XLOOKUP($A27,Inputs!$A:$A,Inputs!L:L,,0)</f>
        <v>-5</v>
      </c>
      <c r="M27" s="58">
        <f>_xlfn.XLOOKUP($A27,Inputs!$A:$A,Inputs!M:M,,0)</f>
        <v>-7</v>
      </c>
      <c r="N27" s="48"/>
    </row>
    <row r="28" spans="1:14" ht="12.75">
      <c r="A28" s="62" t="s">
        <v>599</v>
      </c>
      <c r="B28" s="57">
        <f>_xlfn.XLOOKUP($A28,Inputs!$A:$A,Inputs!B:B,,0)</f>
        <v>0</v>
      </c>
      <c r="C28" s="57">
        <f>_xlfn.XLOOKUP($A28,Inputs!$A:$A,Inputs!C:C,,0)</f>
        <v>0</v>
      </c>
      <c r="D28" s="57">
        <f>_xlfn.XLOOKUP($A28,Inputs!$A:$A,Inputs!D:D,,0)</f>
        <v>0</v>
      </c>
      <c r="E28" s="57">
        <f>_xlfn.XLOOKUP($A28,Inputs!$A:$A,Inputs!E:E,,0)</f>
        <v>0</v>
      </c>
      <c r="F28" s="57">
        <f>_xlfn.XLOOKUP($A28,Inputs!$A:$A,Inputs!F:F,,0)</f>
        <v>0</v>
      </c>
      <c r="G28" s="57">
        <f>_xlfn.XLOOKUP($A28,Inputs!$A:$A,Inputs!G:G,,0)</f>
        <v>0</v>
      </c>
      <c r="H28" s="57">
        <f>_xlfn.XLOOKUP($A28,Inputs!$A:$A,Inputs!H:H,,0)</f>
        <v>0</v>
      </c>
      <c r="I28" s="57">
        <f>_xlfn.XLOOKUP($A28,Inputs!$A:$A,Inputs!I:I,,0)</f>
        <v>0</v>
      </c>
      <c r="J28" s="57">
        <f>_xlfn.XLOOKUP($A28,Inputs!$A:$A,Inputs!J:J,,0)</f>
        <v>0</v>
      </c>
      <c r="K28" s="57">
        <f>_xlfn.XLOOKUP($A28,Inputs!$A:$A,Inputs!K:K,,0)</f>
        <v>0</v>
      </c>
      <c r="L28" s="57">
        <f>_xlfn.XLOOKUP($A28,Inputs!$A:$A,Inputs!L:L,,0)</f>
        <v>0</v>
      </c>
      <c r="M28" s="58">
        <f>_xlfn.XLOOKUP($A28,Inputs!$A:$A,Inputs!M:M,,0)</f>
        <v>0</v>
      </c>
      <c r="N28" s="48"/>
    </row>
    <row r="29" spans="1:14" ht="12.75">
      <c r="A29" s="56" t="s">
        <v>632</v>
      </c>
      <c r="B29" s="63">
        <f t="shared" ref="B29:M29" si="14">SUM(B26:B28)</f>
        <v>13.100000000000136</v>
      </c>
      <c r="C29" s="63">
        <f t="shared" si="14"/>
        <v>415.79999999999995</v>
      </c>
      <c r="D29" s="63">
        <f t="shared" si="14"/>
        <v>-215</v>
      </c>
      <c r="E29" s="63">
        <f t="shared" si="14"/>
        <v>-69</v>
      </c>
      <c r="F29" s="63">
        <f t="shared" si="14"/>
        <v>51</v>
      </c>
      <c r="G29" s="63">
        <f t="shared" si="14"/>
        <v>-307</v>
      </c>
      <c r="H29" s="63">
        <f t="shared" si="14"/>
        <v>81</v>
      </c>
      <c r="I29" s="63">
        <f t="shared" si="14"/>
        <v>-10</v>
      </c>
      <c r="J29" s="63">
        <f t="shared" si="14"/>
        <v>46</v>
      </c>
      <c r="K29" s="63">
        <f t="shared" si="14"/>
        <v>-43</v>
      </c>
      <c r="L29" s="63">
        <f t="shared" si="14"/>
        <v>21</v>
      </c>
      <c r="M29" s="64">
        <f t="shared" si="14"/>
        <v>213</v>
      </c>
      <c r="N29" s="48"/>
    </row>
    <row r="30" spans="1:14" ht="12.75">
      <c r="A30" s="62" t="s">
        <v>600</v>
      </c>
      <c r="B30" s="63">
        <f t="shared" ref="B30:M30" si="15">+B29-(B58-C29)</f>
        <v>-5731.0999999999995</v>
      </c>
      <c r="C30" s="63">
        <f t="shared" si="15"/>
        <v>-3840.2</v>
      </c>
      <c r="D30" s="63">
        <f t="shared" si="15"/>
        <v>-4231</v>
      </c>
      <c r="E30" s="63">
        <f t="shared" si="15"/>
        <v>-3435</v>
      </c>
      <c r="F30" s="63">
        <f t="shared" si="15"/>
        <v>-3906</v>
      </c>
      <c r="G30" s="63">
        <f t="shared" si="15"/>
        <v>-3463</v>
      </c>
      <c r="H30" s="63">
        <f t="shared" si="15"/>
        <v>-3335</v>
      </c>
      <c r="I30" s="63">
        <f t="shared" si="15"/>
        <v>-4184</v>
      </c>
      <c r="J30" s="63">
        <f t="shared" si="15"/>
        <v>-3898</v>
      </c>
      <c r="K30" s="63">
        <f t="shared" si="15"/>
        <v>-2688</v>
      </c>
      <c r="L30" s="63">
        <f t="shared" si="15"/>
        <v>-3640</v>
      </c>
      <c r="M30" s="64">
        <f t="shared" si="15"/>
        <v>-3613</v>
      </c>
      <c r="N30" s="48"/>
    </row>
    <row r="31" spans="1:14" ht="12.75">
      <c r="A31" s="56" t="s">
        <v>601</v>
      </c>
      <c r="B31" s="63">
        <f t="shared" ref="B31:M31" si="16">+B30+B33</f>
        <v>-6901.0999999999995</v>
      </c>
      <c r="C31" s="63">
        <f t="shared" si="16"/>
        <v>-3928.2</v>
      </c>
      <c r="D31" s="63">
        <f t="shared" si="16"/>
        <v>-4811</v>
      </c>
      <c r="E31" s="63">
        <f t="shared" si="16"/>
        <v>-3448</v>
      </c>
      <c r="F31" s="63">
        <f t="shared" si="16"/>
        <v>-3906</v>
      </c>
      <c r="G31" s="63">
        <f t="shared" si="16"/>
        <v>-3475</v>
      </c>
      <c r="H31" s="63">
        <f t="shared" si="16"/>
        <v>-3388</v>
      </c>
      <c r="I31" s="63">
        <f t="shared" si="16"/>
        <v>-4343</v>
      </c>
      <c r="J31" s="63">
        <f t="shared" si="16"/>
        <v>-3918</v>
      </c>
      <c r="K31" s="63">
        <f t="shared" si="16"/>
        <v>-2735</v>
      </c>
      <c r="L31" s="63">
        <f t="shared" si="16"/>
        <v>-3669</v>
      </c>
      <c r="M31" s="64">
        <f t="shared" si="16"/>
        <v>-3876</v>
      </c>
      <c r="N31" s="48"/>
    </row>
    <row r="32" spans="1:14" ht="12.75">
      <c r="A32" s="62" t="s">
        <v>139</v>
      </c>
      <c r="B32" s="57">
        <f>_xlfn.XLOOKUP($A32,Inputs!$A:$A,Inputs!B:B,,0)</f>
        <v>-3446</v>
      </c>
      <c r="C32" s="57">
        <f>_xlfn.XLOOKUP($A32,Inputs!$A:$A,Inputs!C:C,,0)</f>
        <v>-2552</v>
      </c>
      <c r="D32" s="57">
        <f>_xlfn.XLOOKUP($A32,Inputs!$A:$A,Inputs!D:D,,0)</f>
        <v>-2100</v>
      </c>
      <c r="E32" s="57">
        <f>_xlfn.XLOOKUP($A32,Inputs!$A:$A,Inputs!E:E,,0)</f>
        <v>-1109</v>
      </c>
      <c r="F32" s="57">
        <f>_xlfn.XLOOKUP($A32,Inputs!$A:$A,Inputs!F:F,,0)</f>
        <v>-1275</v>
      </c>
      <c r="G32" s="57">
        <f>_xlfn.XLOOKUP($A32,Inputs!$A:$A,Inputs!G:G,,0)</f>
        <v>-1007.25</v>
      </c>
      <c r="H32" s="57">
        <f>_xlfn.XLOOKUP($A32,Inputs!$A:$A,Inputs!H:H,,0)</f>
        <v>-1029</v>
      </c>
      <c r="I32" s="57">
        <f>_xlfn.XLOOKUP($A32,Inputs!$A:$A,Inputs!I:I,,0)</f>
        <v>-884.93999999999994</v>
      </c>
      <c r="J32" s="57">
        <f>_xlfn.XLOOKUP($A32,Inputs!$A:$A,Inputs!J:J,,0)</f>
        <v>-538</v>
      </c>
      <c r="K32" s="57">
        <f>_xlfn.XLOOKUP($A32,Inputs!$A:$A,Inputs!K:K,,0)</f>
        <v>-433</v>
      </c>
      <c r="L32" s="57">
        <f>_xlfn.XLOOKUP($A32,Inputs!$A:$A,Inputs!L:L,,0)</f>
        <v>-612</v>
      </c>
      <c r="M32" s="58">
        <f>_xlfn.XLOOKUP($A32,Inputs!$A:$A,Inputs!M:M,,0)</f>
        <v>-771.12</v>
      </c>
      <c r="N32" s="48"/>
    </row>
    <row r="33" spans="1:14" ht="12.75">
      <c r="A33" s="56" t="s">
        <v>140</v>
      </c>
      <c r="B33" s="57">
        <f>_xlfn.XLOOKUP($A33,Inputs!$A:$A,Inputs!B:B,,0)</f>
        <v>-1170</v>
      </c>
      <c r="C33" s="57">
        <f>_xlfn.XLOOKUP($A33,Inputs!$A:$A,Inputs!C:C,,0)</f>
        <v>-88</v>
      </c>
      <c r="D33" s="57">
        <f>_xlfn.XLOOKUP($A33,Inputs!$A:$A,Inputs!D:D,,0)</f>
        <v>-580</v>
      </c>
      <c r="E33" s="57">
        <f>_xlfn.XLOOKUP($A33,Inputs!$A:$A,Inputs!E:E,,0)</f>
        <v>-13</v>
      </c>
      <c r="F33" s="57">
        <f>_xlfn.XLOOKUP($A33,Inputs!$A:$A,Inputs!F:F,,0)</f>
        <v>0</v>
      </c>
      <c r="G33" s="57">
        <f>_xlfn.XLOOKUP($A33,Inputs!$A:$A,Inputs!G:G,,0)</f>
        <v>-12</v>
      </c>
      <c r="H33" s="57">
        <f>_xlfn.XLOOKUP($A33,Inputs!$A:$A,Inputs!H:H,,0)</f>
        <v>-53</v>
      </c>
      <c r="I33" s="57">
        <f>_xlfn.XLOOKUP($A33,Inputs!$A:$A,Inputs!I:I,,0)</f>
        <v>-159</v>
      </c>
      <c r="J33" s="57">
        <f>_xlfn.XLOOKUP($A33,Inputs!$A:$A,Inputs!J:J,,0)</f>
        <v>-20</v>
      </c>
      <c r="K33" s="57">
        <f>_xlfn.XLOOKUP($A33,Inputs!$A:$A,Inputs!K:K,,0)</f>
        <v>-47</v>
      </c>
      <c r="L33" s="57">
        <f>_xlfn.XLOOKUP($A33,Inputs!$A:$A,Inputs!L:L,,0)</f>
        <v>-29</v>
      </c>
      <c r="M33" s="58">
        <f>_xlfn.XLOOKUP($A33,Inputs!$A:$A,Inputs!M:M,,0)</f>
        <v>-263</v>
      </c>
      <c r="N33" s="48"/>
    </row>
    <row r="34" spans="1:14" ht="12.75">
      <c r="A34" s="59" t="s">
        <v>135</v>
      </c>
      <c r="B34" s="63">
        <f t="shared" ref="B34:M34" si="17">+B32+B33</f>
        <v>-4616</v>
      </c>
      <c r="C34" s="63">
        <f t="shared" si="17"/>
        <v>-2640</v>
      </c>
      <c r="D34" s="63">
        <f t="shared" si="17"/>
        <v>-2680</v>
      </c>
      <c r="E34" s="63">
        <f t="shared" si="17"/>
        <v>-1122</v>
      </c>
      <c r="F34" s="63">
        <f t="shared" si="17"/>
        <v>-1275</v>
      </c>
      <c r="G34" s="63">
        <f t="shared" si="17"/>
        <v>-1019.25</v>
      </c>
      <c r="H34" s="63">
        <f t="shared" si="17"/>
        <v>-1082</v>
      </c>
      <c r="I34" s="63">
        <f t="shared" si="17"/>
        <v>-1043.94</v>
      </c>
      <c r="J34" s="63">
        <f t="shared" si="17"/>
        <v>-558</v>
      </c>
      <c r="K34" s="63">
        <f t="shared" si="17"/>
        <v>-480</v>
      </c>
      <c r="L34" s="63">
        <f t="shared" si="17"/>
        <v>-641</v>
      </c>
      <c r="M34" s="64">
        <f t="shared" si="17"/>
        <v>-1034.1199999999999</v>
      </c>
      <c r="N34" s="48"/>
    </row>
    <row r="35" spans="1:14" ht="12.75">
      <c r="A35" s="56" t="s">
        <v>133</v>
      </c>
      <c r="B35" s="63">
        <f t="shared" ref="B35:M35" si="18">+B27+B28</f>
        <v>-155</v>
      </c>
      <c r="C35" s="63">
        <f t="shared" si="18"/>
        <v>-114</v>
      </c>
      <c r="D35" s="63">
        <f t="shared" si="18"/>
        <v>-107</v>
      </c>
      <c r="E35" s="63">
        <f t="shared" si="18"/>
        <v>-99</v>
      </c>
      <c r="F35" s="63">
        <f t="shared" si="18"/>
        <v>-113</v>
      </c>
      <c r="G35" s="63">
        <f t="shared" si="18"/>
        <v>-92</v>
      </c>
      <c r="H35" s="63">
        <f t="shared" si="18"/>
        <v>-85</v>
      </c>
      <c r="I35" s="63">
        <f t="shared" si="18"/>
        <v>-78</v>
      </c>
      <c r="J35" s="63">
        <f t="shared" si="18"/>
        <v>-68</v>
      </c>
      <c r="K35" s="63">
        <f t="shared" si="18"/>
        <v>-52</v>
      </c>
      <c r="L35" s="63">
        <f t="shared" si="18"/>
        <v>-5</v>
      </c>
      <c r="M35" s="64">
        <f t="shared" si="18"/>
        <v>-7</v>
      </c>
      <c r="N35" s="48"/>
    </row>
    <row r="36" spans="1:14" ht="12.75">
      <c r="A36" s="62" t="s">
        <v>602</v>
      </c>
      <c r="B36" s="60">
        <f>IFERROR(B35/B23,"-")</f>
        <v>-0.25154170723790975</v>
      </c>
      <c r="C36" s="60">
        <f t="shared" ref="C36:M36" si="19">IFERROR(C35/C23,"-")</f>
        <v>-0.17393957888312481</v>
      </c>
      <c r="D36" s="60">
        <f t="shared" si="19"/>
        <v>-0.19254993701637574</v>
      </c>
      <c r="E36" s="60">
        <f t="shared" si="19"/>
        <v>-0.20837718375078929</v>
      </c>
      <c r="F36" s="60">
        <f t="shared" si="19"/>
        <v>-0.36056158264199112</v>
      </c>
      <c r="G36" s="60">
        <f t="shared" si="19"/>
        <v>-0.33345415005436757</v>
      </c>
      <c r="H36" s="60">
        <f t="shared" si="19"/>
        <v>-1.5097690941385435</v>
      </c>
      <c r="I36" s="60">
        <f t="shared" si="19"/>
        <v>-0.46818727490996398</v>
      </c>
      <c r="J36" s="60">
        <f t="shared" si="19"/>
        <v>-0.53968253968253965</v>
      </c>
      <c r="K36" s="60">
        <f t="shared" si="19"/>
        <v>-0.38490007401924503</v>
      </c>
      <c r="L36" s="60">
        <f t="shared" si="19"/>
        <v>-3.9588281868566902E-2</v>
      </c>
      <c r="M36" s="61">
        <f t="shared" si="19"/>
        <v>-7.900677200902935E-2</v>
      </c>
      <c r="N36" s="48"/>
    </row>
    <row r="37" spans="1:14" ht="9.75">
      <c r="A37" s="48"/>
      <c r="B37" s="48"/>
      <c r="C37" s="48"/>
      <c r="D37" s="48"/>
      <c r="E37" s="48"/>
      <c r="F37" s="48"/>
      <c r="G37" s="48"/>
      <c r="H37" s="48"/>
      <c r="I37" s="48"/>
      <c r="J37" s="48"/>
      <c r="K37" s="48"/>
      <c r="L37" s="48"/>
      <c r="M37" s="48"/>
      <c r="N37" s="48"/>
    </row>
    <row r="38" spans="1:14" ht="20.25">
      <c r="A38" s="1086" t="s">
        <v>603</v>
      </c>
      <c r="B38" s="1086"/>
      <c r="C38" s="1086"/>
      <c r="D38" s="1086"/>
      <c r="E38" s="1086"/>
      <c r="F38" s="1086"/>
      <c r="G38" s="1086"/>
      <c r="H38" s="1086"/>
      <c r="I38" s="1086"/>
      <c r="J38" s="1086"/>
      <c r="K38" s="1086"/>
      <c r="L38" s="1086"/>
      <c r="M38" s="1086"/>
      <c r="N38" s="48"/>
    </row>
    <row r="39" spans="1:14" ht="12.75">
      <c r="A39" s="65" t="s">
        <v>301</v>
      </c>
      <c r="B39" s="57">
        <f>_xlfn.XLOOKUP($A39,Inputs!$A:$A,Inputs!B:B,,0)</f>
        <v>1171.9000000000001</v>
      </c>
      <c r="C39" s="57">
        <f>_xlfn.XLOOKUP($A39,Inputs!$A:$A,Inputs!C:C,,0)</f>
        <v>1003.8</v>
      </c>
      <c r="D39" s="57">
        <f>_xlfn.XLOOKUP($A39,Inputs!$A:$A,Inputs!D:D,,0)</f>
        <v>474</v>
      </c>
      <c r="E39" s="57">
        <f>_xlfn.XLOOKUP($A39,Inputs!$A:$A,Inputs!E:E,,0)</f>
        <v>582</v>
      </c>
      <c r="F39" s="57">
        <f>_xlfn.XLOOKUP($A39,Inputs!$A:$A,Inputs!F:F,,0)</f>
        <v>552</v>
      </c>
      <c r="G39" s="57">
        <f>_xlfn.XLOOKUP($A39,Inputs!$A:$A,Inputs!G:G,,0)</f>
        <v>388</v>
      </c>
      <c r="H39" s="57">
        <f>_xlfn.XLOOKUP($A39,Inputs!$A:$A,Inputs!H:H,,0)</f>
        <v>603</v>
      </c>
      <c r="I39" s="57">
        <f>_xlfn.XLOOKUP($A39,Inputs!$A:$A,Inputs!I:I,,0)</f>
        <v>437</v>
      </c>
      <c r="J39" s="57">
        <f>_xlfn.XLOOKUP($A39,Inputs!$A:$A,Inputs!J:J,,0)</f>
        <v>369</v>
      </c>
      <c r="K39" s="57">
        <f>_xlfn.XLOOKUP($A39,Inputs!$A:$A,Inputs!K:K,,0)</f>
        <v>255</v>
      </c>
      <c r="L39" s="57">
        <f>_xlfn.XLOOKUP($A39,Inputs!$A:$A,Inputs!L:L,,0)</f>
        <v>246</v>
      </c>
      <c r="M39" s="58">
        <f>_xlfn.XLOOKUP($A39,Inputs!$A:$A,Inputs!M:M,,0)</f>
        <v>220</v>
      </c>
      <c r="N39" s="48"/>
    </row>
    <row r="40" spans="1:14" ht="12.75">
      <c r="A40" s="59" t="s">
        <v>604</v>
      </c>
      <c r="B40" s="57">
        <f>_xlfn.XLOOKUP($A40,Inputs!$A:$A,Inputs!B:B,,0)</f>
        <v>411.1</v>
      </c>
      <c r="C40" s="57">
        <f>_xlfn.XLOOKUP($A40,Inputs!$A:$A,Inputs!C:C,,0)</f>
        <v>393.4</v>
      </c>
      <c r="D40" s="57">
        <f>_xlfn.XLOOKUP($A40,Inputs!$A:$A,Inputs!D:D,,0)</f>
        <v>256</v>
      </c>
      <c r="E40" s="57">
        <f>_xlfn.XLOOKUP($A40,Inputs!$A:$A,Inputs!E:E,,0)</f>
        <v>284</v>
      </c>
      <c r="F40" s="57">
        <f>_xlfn.XLOOKUP($A40,Inputs!$A:$A,Inputs!F:F,,0)</f>
        <v>314</v>
      </c>
      <c r="G40" s="57">
        <f>_xlfn.XLOOKUP($A40,Inputs!$A:$A,Inputs!G:G,,0)</f>
        <v>323</v>
      </c>
      <c r="H40" s="57">
        <f>_xlfn.XLOOKUP($A40,Inputs!$A:$A,Inputs!H:H,,0)</f>
        <v>281</v>
      </c>
      <c r="I40" s="57">
        <f>_xlfn.XLOOKUP($A40,Inputs!$A:$A,Inputs!I:I,,0)</f>
        <v>260</v>
      </c>
      <c r="J40" s="57">
        <f>_xlfn.XLOOKUP($A40,Inputs!$A:$A,Inputs!J:J,,0)</f>
        <v>141</v>
      </c>
      <c r="K40" s="57">
        <f>_xlfn.XLOOKUP($A40,Inputs!$A:$A,Inputs!K:K,,0)</f>
        <v>202</v>
      </c>
      <c r="L40" s="57">
        <f>_xlfn.XLOOKUP($A40,Inputs!$A:$A,Inputs!L:L,,0)</f>
        <v>176</v>
      </c>
      <c r="M40" s="58">
        <f>_xlfn.XLOOKUP($A40,Inputs!$A:$A,Inputs!M:M,,0)</f>
        <v>146</v>
      </c>
      <c r="N40" s="48"/>
    </row>
    <row r="41" spans="1:14" ht="12.75">
      <c r="A41" s="65" t="s">
        <v>303</v>
      </c>
      <c r="B41" s="57">
        <f>_xlfn.XLOOKUP($A41,Inputs!$A:$A,Inputs!B:B,,0)</f>
        <v>253</v>
      </c>
      <c r="C41" s="57">
        <f>_xlfn.XLOOKUP($A41,Inputs!$A:$A,Inputs!C:C,,0)</f>
        <v>220</v>
      </c>
      <c r="D41" s="57">
        <f>_xlfn.XLOOKUP($A41,Inputs!$A:$A,Inputs!D:D,,0)</f>
        <v>55</v>
      </c>
      <c r="E41" s="57">
        <f>_xlfn.XLOOKUP($A41,Inputs!$A:$A,Inputs!E:E,,0)</f>
        <v>34</v>
      </c>
      <c r="F41" s="57">
        <f>_xlfn.XLOOKUP($A41,Inputs!$A:$A,Inputs!F:F,,0)</f>
        <v>36</v>
      </c>
      <c r="G41" s="57">
        <f>_xlfn.XLOOKUP($A41,Inputs!$A:$A,Inputs!G:G,,0)</f>
        <v>29</v>
      </c>
      <c r="H41" s="57">
        <f>_xlfn.XLOOKUP($A41,Inputs!$A:$A,Inputs!H:H,,0)</f>
        <v>24</v>
      </c>
      <c r="I41" s="57">
        <f>_xlfn.XLOOKUP($A41,Inputs!$A:$A,Inputs!I:I,,0)</f>
        <v>23</v>
      </c>
      <c r="J41" s="57">
        <f>_xlfn.XLOOKUP($A41,Inputs!$A:$A,Inputs!J:J,,0)</f>
        <v>21</v>
      </c>
      <c r="K41" s="57">
        <f>_xlfn.XLOOKUP($A41,Inputs!$A:$A,Inputs!K:K,,0)</f>
        <v>15</v>
      </c>
      <c r="L41" s="57">
        <f>_xlfn.XLOOKUP($A41,Inputs!$A:$A,Inputs!L:L,,0)</f>
        <v>16</v>
      </c>
      <c r="M41" s="58">
        <f>_xlfn.XLOOKUP($A41,Inputs!$A:$A,Inputs!M:M,,0)</f>
        <v>24</v>
      </c>
      <c r="N41" s="48"/>
    </row>
    <row r="42" spans="1:14" ht="12.75">
      <c r="A42" s="59" t="s">
        <v>605</v>
      </c>
      <c r="B42" s="57">
        <f>_xlfn.XLOOKUP($A42,Inputs!$A:$A,Inputs!B:B,,0)</f>
        <v>17891</v>
      </c>
      <c r="C42" s="57">
        <f>_xlfn.XLOOKUP($A42,Inputs!$A:$A,Inputs!C:C,,0)</f>
        <v>14562</v>
      </c>
      <c r="D42" s="57">
        <f>_xlfn.XLOOKUP($A42,Inputs!$A:$A,Inputs!D:D,,0)</f>
        <v>13492</v>
      </c>
      <c r="E42" s="57">
        <f>_xlfn.XLOOKUP($A42,Inputs!$A:$A,Inputs!E:E,,0)</f>
        <v>13264</v>
      </c>
      <c r="F42" s="57">
        <f>_xlfn.XLOOKUP($A42,Inputs!$A:$A,Inputs!F:F,,0)</f>
        <v>13922</v>
      </c>
      <c r="G42" s="57">
        <f>_xlfn.XLOOKUP($A42,Inputs!$A:$A,Inputs!G:G,,0)</f>
        <v>13185</v>
      </c>
      <c r="H42" s="57">
        <f>_xlfn.XLOOKUP($A42,Inputs!$A:$A,Inputs!H:H,,0)</f>
        <v>13437</v>
      </c>
      <c r="I42" s="57">
        <f>_xlfn.XLOOKUP($A42,Inputs!$A:$A,Inputs!I:I,,0)</f>
        <v>12612</v>
      </c>
      <c r="J42" s="57">
        <f>_xlfn.XLOOKUP($A42,Inputs!$A:$A,Inputs!J:J,,0)</f>
        <v>11013</v>
      </c>
      <c r="K42" s="57">
        <f>_xlfn.XLOOKUP($A42,Inputs!$A:$A,Inputs!K:K,,0)</f>
        <v>10096</v>
      </c>
      <c r="L42" s="57">
        <f>_xlfn.XLOOKUP($A42,Inputs!$A:$A,Inputs!L:L,,0)</f>
        <v>10537</v>
      </c>
      <c r="M42" s="58">
        <f>_xlfn.XLOOKUP($A42,Inputs!$A:$A,Inputs!M:M,,0)</f>
        <v>10455</v>
      </c>
      <c r="N42" s="48"/>
    </row>
    <row r="43" spans="1:14" ht="12.75">
      <c r="A43" s="65" t="s">
        <v>606</v>
      </c>
      <c r="B43" s="57">
        <f>_xlfn.XLOOKUP($A43,Inputs!$A:$A,Inputs!B:B,,0)</f>
        <v>6566</v>
      </c>
      <c r="C43" s="57">
        <f>_xlfn.XLOOKUP($A43,Inputs!$A:$A,Inputs!C:C,,0)</f>
        <v>4848.8</v>
      </c>
      <c r="D43" s="57">
        <f>_xlfn.XLOOKUP($A43,Inputs!$A:$A,Inputs!D:D,,0)</f>
        <v>3398</v>
      </c>
      <c r="E43" s="57">
        <f>_xlfn.XLOOKUP($A43,Inputs!$A:$A,Inputs!E:E,,0)</f>
        <v>3053</v>
      </c>
      <c r="F43" s="57">
        <f>_xlfn.XLOOKUP($A43,Inputs!$A:$A,Inputs!F:F,,0)</f>
        <v>1209</v>
      </c>
      <c r="G43" s="57">
        <f>_xlfn.XLOOKUP($A43,Inputs!$A:$A,Inputs!G:G,,0)</f>
        <v>881</v>
      </c>
      <c r="H43" s="57">
        <f>_xlfn.XLOOKUP($A43,Inputs!$A:$A,Inputs!H:H,,0)</f>
        <v>769</v>
      </c>
      <c r="I43" s="57">
        <f>_xlfn.XLOOKUP($A43,Inputs!$A:$A,Inputs!I:I,,0)</f>
        <v>1038</v>
      </c>
      <c r="J43" s="57">
        <f>_xlfn.XLOOKUP($A43,Inputs!$A:$A,Inputs!J:J,,0)</f>
        <v>1619</v>
      </c>
      <c r="K43" s="57">
        <f>_xlfn.XLOOKUP($A43,Inputs!$A:$A,Inputs!K:K,,0)</f>
        <v>1402</v>
      </c>
      <c r="L43" s="57">
        <f>_xlfn.XLOOKUP($A43,Inputs!$A:$A,Inputs!L:L,,0)</f>
        <v>1302</v>
      </c>
      <c r="M43" s="58">
        <f>_xlfn.XLOOKUP($A43,Inputs!$A:$A,Inputs!M:M,,0)</f>
        <v>1230</v>
      </c>
      <c r="N43" s="48"/>
    </row>
    <row r="44" spans="1:14" ht="12.75">
      <c r="A44" s="66" t="s">
        <v>46</v>
      </c>
      <c r="B44" s="67">
        <f>_xlfn.XLOOKUP($A44,Inputs!$A:$A,Inputs!B:B,,0)</f>
        <v>27493</v>
      </c>
      <c r="C44" s="67">
        <f>_xlfn.XLOOKUP($A44,Inputs!$A:$A,Inputs!C:C,,0)</f>
        <v>22032</v>
      </c>
      <c r="D44" s="67">
        <f>_xlfn.XLOOKUP($A44,Inputs!$A:$A,Inputs!D:D,,0)</f>
        <v>18163</v>
      </c>
      <c r="E44" s="67">
        <f>_xlfn.XLOOKUP($A44,Inputs!$A:$A,Inputs!E:E,,0)</f>
        <v>17693</v>
      </c>
      <c r="F44" s="67">
        <f>_xlfn.XLOOKUP($A44,Inputs!$A:$A,Inputs!F:F,,0)</f>
        <v>17539</v>
      </c>
      <c r="G44" s="67">
        <f>_xlfn.XLOOKUP($A44,Inputs!$A:$A,Inputs!G:G,,0)</f>
        <v>16224</v>
      </c>
      <c r="H44" s="67">
        <f>_xlfn.XLOOKUP($A44,Inputs!$A:$A,Inputs!H:H,,0)</f>
        <v>16734</v>
      </c>
      <c r="I44" s="67">
        <f>_xlfn.XLOOKUP($A44,Inputs!$A:$A,Inputs!I:I,,0)</f>
        <v>15736</v>
      </c>
      <c r="J44" s="67">
        <f>_xlfn.XLOOKUP($A44,Inputs!$A:$A,Inputs!J:J,,0)</f>
        <v>14316</v>
      </c>
      <c r="K44" s="67">
        <f>_xlfn.XLOOKUP($A44,Inputs!$A:$A,Inputs!K:K,,0)</f>
        <v>13058</v>
      </c>
      <c r="L44" s="67">
        <f>_xlfn.XLOOKUP($A44,Inputs!$A:$A,Inputs!L:L,,0)</f>
        <v>13302</v>
      </c>
      <c r="M44" s="67">
        <f>_xlfn.XLOOKUP($A44,Inputs!$A:$A,Inputs!M:M,,0)</f>
        <v>13045</v>
      </c>
      <c r="N44" s="48"/>
    </row>
    <row r="45" spans="1:14" ht="12.75">
      <c r="B45"/>
      <c r="C45"/>
      <c r="D45"/>
      <c r="E45"/>
      <c r="F45"/>
      <c r="G45"/>
      <c r="H45"/>
      <c r="I45"/>
      <c r="J45"/>
      <c r="K45"/>
      <c r="L45"/>
      <c r="M45"/>
      <c r="N45" s="48"/>
    </row>
    <row r="46" spans="1:14" ht="12.75">
      <c r="B46"/>
      <c r="C46"/>
      <c r="D46"/>
      <c r="E46"/>
      <c r="F46"/>
      <c r="G46"/>
      <c r="H46"/>
      <c r="I46"/>
      <c r="J46"/>
      <c r="K46"/>
      <c r="L46"/>
      <c r="M46"/>
      <c r="N46" s="48"/>
    </row>
    <row r="47" spans="1:14" ht="20.25">
      <c r="A47" s="1086" t="s">
        <v>607</v>
      </c>
      <c r="B47" s="1086"/>
      <c r="C47" s="1086"/>
      <c r="D47" s="1086"/>
      <c r="E47" s="1086"/>
      <c r="F47" s="1086"/>
      <c r="G47" s="1086"/>
      <c r="H47" s="1086"/>
      <c r="I47" s="1086"/>
      <c r="J47" s="1086"/>
      <c r="K47" s="1086"/>
      <c r="L47" s="1086"/>
      <c r="M47" s="1086"/>
      <c r="N47" s="48"/>
    </row>
    <row r="48" spans="1:14" ht="12.75">
      <c r="A48" s="69" t="s">
        <v>307</v>
      </c>
      <c r="B48" s="67">
        <f>_xlfn.XLOOKUP($A48,Inputs!$A:$A,Inputs!B:B,,0)</f>
        <v>5455</v>
      </c>
      <c r="C48" s="67">
        <f>_xlfn.XLOOKUP($A48,Inputs!$A:$A,Inputs!C:C,,0)</f>
        <v>3605</v>
      </c>
      <c r="D48" s="67">
        <f>_xlfn.XLOOKUP($A48,Inputs!$A:$A,Inputs!D:D,,0)</f>
        <v>2126</v>
      </c>
      <c r="E48" s="67">
        <f>_xlfn.XLOOKUP($A48,Inputs!$A:$A,Inputs!E:E,,0)</f>
        <v>2458</v>
      </c>
      <c r="F48" s="67">
        <f>_xlfn.XLOOKUP($A48,Inputs!$A:$A,Inputs!F:F,,0)</f>
        <v>2251</v>
      </c>
      <c r="G48" s="67">
        <f>_xlfn.XLOOKUP($A48,Inputs!$A:$A,Inputs!G:G,,0)</f>
        <v>1590</v>
      </c>
      <c r="H48" s="67">
        <f>_xlfn.XLOOKUP($A48,Inputs!$A:$A,Inputs!H:H,,0)</f>
        <v>1276</v>
      </c>
      <c r="I48" s="67">
        <f>_xlfn.XLOOKUP($A48,Inputs!$A:$A,Inputs!I:I,,0)</f>
        <v>1498</v>
      </c>
      <c r="J48" s="67">
        <f>_xlfn.XLOOKUP($A48,Inputs!$A:$A,Inputs!J:J,,0)</f>
        <v>1202</v>
      </c>
      <c r="K48" s="67">
        <f>_xlfn.XLOOKUP($A48,Inputs!$A:$A,Inputs!K:K,,0)</f>
        <v>851</v>
      </c>
      <c r="L48" s="67">
        <f>_xlfn.XLOOKUP($A48,Inputs!$A:$A,Inputs!L:L,,0)</f>
        <v>1137</v>
      </c>
      <c r="M48" s="67">
        <f>_xlfn.XLOOKUP($A48,Inputs!$A:$A,Inputs!M:M,,0)</f>
        <v>1083</v>
      </c>
      <c r="N48" s="48"/>
    </row>
    <row r="49" spans="1:14" ht="12.75">
      <c r="A49" s="70" t="s">
        <v>608</v>
      </c>
      <c r="B49" s="57">
        <f>_xlfn.XLOOKUP($A49,Inputs!$A:$A,Inputs!B:B,,0)</f>
        <v>1290</v>
      </c>
      <c r="C49" s="57">
        <f>_xlfn.XLOOKUP($A49,Inputs!$A:$A,Inputs!C:C,,0)</f>
        <v>688</v>
      </c>
      <c r="D49" s="57">
        <f>_xlfn.XLOOKUP($A49,Inputs!$A:$A,Inputs!D:D,,0)</f>
        <v>497</v>
      </c>
      <c r="E49" s="57">
        <f>_xlfn.XLOOKUP($A49,Inputs!$A:$A,Inputs!E:E,,0)</f>
        <v>818</v>
      </c>
      <c r="F49" s="57">
        <f>_xlfn.XLOOKUP($A49,Inputs!$A:$A,Inputs!F:F,,0)</f>
        <v>442</v>
      </c>
      <c r="G49" s="57">
        <f>_xlfn.XLOOKUP($A49,Inputs!$A:$A,Inputs!G:G,,0)</f>
        <v>428</v>
      </c>
      <c r="H49" s="57">
        <f>_xlfn.XLOOKUP($A49,Inputs!$A:$A,Inputs!H:H,,0)</f>
        <v>113</v>
      </c>
      <c r="I49" s="57">
        <f>_xlfn.XLOOKUP($A49,Inputs!$A:$A,Inputs!I:I,,0)</f>
        <v>388</v>
      </c>
      <c r="J49" s="57">
        <f>_xlfn.XLOOKUP($A49,Inputs!$A:$A,Inputs!J:J,,0)</f>
        <v>185</v>
      </c>
      <c r="K49" s="57">
        <f>_xlfn.XLOOKUP($A49,Inputs!$A:$A,Inputs!K:K,,0)</f>
        <v>145</v>
      </c>
      <c r="L49" s="57">
        <f>_xlfn.XLOOKUP($A49,Inputs!$A:$A,Inputs!L:L,,0)</f>
        <v>217</v>
      </c>
      <c r="M49" s="57">
        <f>_xlfn.XLOOKUP($A49,Inputs!$A:$A,Inputs!M:M,,0)</f>
        <v>135</v>
      </c>
      <c r="N49" s="48"/>
    </row>
    <row r="50" spans="1:14" ht="12.75">
      <c r="A50" s="56" t="s">
        <v>609</v>
      </c>
      <c r="B50" s="57">
        <f>_xlfn.XLOOKUP($A50,Inputs!$A:$A,Inputs!B:B,,0)</f>
        <v>0</v>
      </c>
      <c r="C50" s="57">
        <f>_xlfn.XLOOKUP($A50,Inputs!$A:$A,Inputs!C:C,,0)</f>
        <v>0</v>
      </c>
      <c r="D50" s="57">
        <f>_xlfn.XLOOKUP($A50,Inputs!$A:$A,Inputs!D:D,,0)</f>
        <v>0</v>
      </c>
      <c r="E50" s="57">
        <f>_xlfn.XLOOKUP($A50,Inputs!$A:$A,Inputs!E:E,,0)</f>
        <v>0</v>
      </c>
      <c r="F50" s="57">
        <f>_xlfn.XLOOKUP($A50,Inputs!$A:$A,Inputs!F:F,,0)</f>
        <v>0</v>
      </c>
      <c r="G50" s="57">
        <f>_xlfn.XLOOKUP($A50,Inputs!$A:$A,Inputs!G:G,,0)</f>
        <v>0</v>
      </c>
      <c r="H50" s="57">
        <f>_xlfn.XLOOKUP($A50,Inputs!$A:$A,Inputs!H:H,,0)</f>
        <v>0</v>
      </c>
      <c r="I50" s="57">
        <f>_xlfn.XLOOKUP($A50,Inputs!$A:$A,Inputs!I:I,,0)</f>
        <v>0</v>
      </c>
      <c r="J50" s="57">
        <f>_xlfn.XLOOKUP($A50,Inputs!$A:$A,Inputs!J:J,,0)</f>
        <v>0</v>
      </c>
      <c r="K50" s="57">
        <f>_xlfn.XLOOKUP($A50,Inputs!$A:$A,Inputs!K:K,,0)</f>
        <v>0</v>
      </c>
      <c r="L50" s="57">
        <f>_xlfn.XLOOKUP($A50,Inputs!$A:$A,Inputs!L:L,,0)</f>
        <v>0</v>
      </c>
      <c r="M50" s="57">
        <f>_xlfn.XLOOKUP($A50,Inputs!$A:$A,Inputs!M:M,,0)</f>
        <v>0</v>
      </c>
      <c r="N50" s="48"/>
    </row>
    <row r="51" spans="1:14" ht="12.75">
      <c r="A51" s="59" t="s">
        <v>610</v>
      </c>
      <c r="B51" s="57">
        <f>_xlfn.XLOOKUP($A51,Inputs!$A:$A,Inputs!B:B,,0)</f>
        <v>1010</v>
      </c>
      <c r="C51" s="57">
        <f>_xlfn.XLOOKUP($A51,Inputs!$A:$A,Inputs!C:C,,0)</f>
        <v>968</v>
      </c>
      <c r="D51" s="57">
        <f>_xlfn.XLOOKUP($A51,Inputs!$A:$A,Inputs!D:D,,0)</f>
        <v>168</v>
      </c>
      <c r="E51" s="57">
        <f>_xlfn.XLOOKUP($A51,Inputs!$A:$A,Inputs!E:E,,0)</f>
        <v>245</v>
      </c>
      <c r="F51" s="57">
        <f>_xlfn.XLOOKUP($A51,Inputs!$A:$A,Inputs!F:F,,0)</f>
        <v>540</v>
      </c>
      <c r="G51" s="57">
        <f>_xlfn.XLOOKUP($A51,Inputs!$A:$A,Inputs!G:G,,0)</f>
        <v>381</v>
      </c>
      <c r="H51" s="57">
        <f>_xlfn.XLOOKUP($A51,Inputs!$A:$A,Inputs!H:H,,0)</f>
        <v>259</v>
      </c>
      <c r="I51" s="57">
        <f>_xlfn.XLOOKUP($A51,Inputs!$A:$A,Inputs!I:I,,0)</f>
        <v>202</v>
      </c>
      <c r="J51" s="57">
        <f>_xlfn.XLOOKUP($A51,Inputs!$A:$A,Inputs!J:J,,0)</f>
        <v>272</v>
      </c>
      <c r="K51" s="57">
        <f>_xlfn.XLOOKUP($A51,Inputs!$A:$A,Inputs!K:K,,0)</f>
        <v>135</v>
      </c>
      <c r="L51" s="57">
        <f>_xlfn.XLOOKUP($A51,Inputs!$A:$A,Inputs!L:L,,0)</f>
        <v>158</v>
      </c>
      <c r="M51" s="57">
        <f>_xlfn.XLOOKUP($A51,Inputs!$A:$A,Inputs!M:M,,0)</f>
        <v>189</v>
      </c>
      <c r="N51" s="48"/>
    </row>
    <row r="52" spans="1:14" ht="12.75">
      <c r="A52" s="69" t="s">
        <v>611</v>
      </c>
      <c r="B52" s="67">
        <f>_xlfn.XLOOKUP($A52,Inputs!$A:$A,Inputs!B:B,,0)</f>
        <v>11467</v>
      </c>
      <c r="C52" s="67">
        <f>_xlfn.XLOOKUP($A52,Inputs!$A:$A,Inputs!C:C,,0)</f>
        <v>8252</v>
      </c>
      <c r="D52" s="67">
        <f>_xlfn.XLOOKUP($A52,Inputs!$A:$A,Inputs!D:D,,0)</f>
        <v>7413</v>
      </c>
      <c r="E52" s="67">
        <f>_xlfn.XLOOKUP($A52,Inputs!$A:$A,Inputs!E:E,,0)</f>
        <v>6900</v>
      </c>
      <c r="F52" s="67">
        <f>_xlfn.XLOOKUP($A52,Inputs!$A:$A,Inputs!F:F,,0)</f>
        <v>7165</v>
      </c>
      <c r="G52" s="67">
        <f>_xlfn.XLOOKUP($A52,Inputs!$A:$A,Inputs!G:G,,0)</f>
        <v>6739</v>
      </c>
      <c r="H52" s="67">
        <f>_xlfn.XLOOKUP($A52,Inputs!$A:$A,Inputs!H:H,,0)</f>
        <v>7885</v>
      </c>
      <c r="I52" s="67">
        <f>_xlfn.XLOOKUP($A52,Inputs!$A:$A,Inputs!I:I,,0)</f>
        <v>7404</v>
      </c>
      <c r="J52" s="67">
        <f>_xlfn.XLOOKUP($A52,Inputs!$A:$A,Inputs!J:J,,0)</f>
        <v>6784</v>
      </c>
      <c r="K52" s="67">
        <f>_xlfn.XLOOKUP($A52,Inputs!$A:$A,Inputs!K:K,,0)</f>
        <v>6118</v>
      </c>
      <c r="L52" s="67">
        <f>_xlfn.XLOOKUP($A52,Inputs!$A:$A,Inputs!L:L,,0)</f>
        <v>6416</v>
      </c>
      <c r="M52" s="67">
        <f>_xlfn.XLOOKUP($A52,Inputs!$A:$A,Inputs!M:M,,0)</f>
        <v>6508</v>
      </c>
      <c r="N52" s="48"/>
    </row>
    <row r="53" spans="1:14" ht="12.75">
      <c r="A53" s="70" t="s">
        <v>612</v>
      </c>
      <c r="B53" s="57">
        <f>_xlfn.XLOOKUP($A53,Inputs!$A:$A,Inputs!B:B,,0)</f>
        <v>4870</v>
      </c>
      <c r="C53" s="57">
        <f>_xlfn.XLOOKUP($A53,Inputs!$A:$A,Inputs!C:C,,0)</f>
        <v>3353</v>
      </c>
      <c r="D53" s="57">
        <f>_xlfn.XLOOKUP($A53,Inputs!$A:$A,Inputs!D:D,,0)</f>
        <v>3450</v>
      </c>
      <c r="E53" s="57">
        <f>_xlfn.XLOOKUP($A53,Inputs!$A:$A,Inputs!E:E,,0)</f>
        <v>2599</v>
      </c>
      <c r="F53" s="57">
        <f>_xlfn.XLOOKUP($A53,Inputs!$A:$A,Inputs!F:F,,0)</f>
        <v>3208</v>
      </c>
      <c r="G53" s="57">
        <f>_xlfn.XLOOKUP($A53,Inputs!$A:$A,Inputs!G:G,,0)</f>
        <v>2809</v>
      </c>
      <c r="H53" s="57">
        <f>_xlfn.XLOOKUP($A53,Inputs!$A:$A,Inputs!H:H,,0)</f>
        <v>3293</v>
      </c>
      <c r="I53" s="57">
        <f>_xlfn.XLOOKUP($A53,Inputs!$A:$A,Inputs!I:I,,0)</f>
        <v>3832</v>
      </c>
      <c r="J53" s="57">
        <f>_xlfn.XLOOKUP($A53,Inputs!$A:$A,Inputs!J:J,,0)</f>
        <v>3716</v>
      </c>
      <c r="K53" s="57">
        <f>_xlfn.XLOOKUP($A53,Inputs!$A:$A,Inputs!K:K,,0)</f>
        <v>2521</v>
      </c>
      <c r="L53" s="57">
        <f>_xlfn.XLOOKUP($A53,Inputs!$A:$A,Inputs!L:L,,0)</f>
        <v>3657</v>
      </c>
      <c r="M53" s="57">
        <f>_xlfn.XLOOKUP($A53,Inputs!$A:$A,Inputs!M:M,,0)</f>
        <v>3691</v>
      </c>
      <c r="N53" s="48"/>
    </row>
    <row r="54" spans="1:14" ht="12.75">
      <c r="A54" s="56" t="s">
        <v>613</v>
      </c>
      <c r="B54" s="57">
        <f>_xlfn.XLOOKUP($A54,Inputs!$A:$A,Inputs!B:B,,0)</f>
        <v>0</v>
      </c>
      <c r="C54" s="57">
        <f>_xlfn.XLOOKUP($A54,Inputs!$A:$A,Inputs!C:C,,0)</f>
        <v>0</v>
      </c>
      <c r="D54" s="57">
        <f>_xlfn.XLOOKUP($A54,Inputs!$A:$A,Inputs!D:D,,0)</f>
        <v>0</v>
      </c>
      <c r="E54" s="57">
        <f>_xlfn.XLOOKUP($A54,Inputs!$A:$A,Inputs!E:E,,0)</f>
        <v>0</v>
      </c>
      <c r="F54" s="57">
        <f>_xlfn.XLOOKUP($A54,Inputs!$A:$A,Inputs!F:F,,0)</f>
        <v>0</v>
      </c>
      <c r="G54" s="57">
        <f>_xlfn.XLOOKUP($A54,Inputs!$A:$A,Inputs!G:G,,0)</f>
        <v>0</v>
      </c>
      <c r="H54" s="57">
        <f>_xlfn.XLOOKUP($A54,Inputs!$A:$A,Inputs!H:H,,0)</f>
        <v>0</v>
      </c>
      <c r="I54" s="57">
        <f>_xlfn.XLOOKUP($A54,Inputs!$A:$A,Inputs!I:I,,0)</f>
        <v>0</v>
      </c>
      <c r="J54" s="57">
        <f>_xlfn.XLOOKUP($A54,Inputs!$A:$A,Inputs!J:J,,0)</f>
        <v>0</v>
      </c>
      <c r="K54" s="57">
        <f>_xlfn.XLOOKUP($A54,Inputs!$A:$A,Inputs!K:K,,0)</f>
        <v>0</v>
      </c>
      <c r="L54" s="57">
        <f>_xlfn.XLOOKUP($A54,Inputs!$A:$A,Inputs!L:L,,0)</f>
        <v>0</v>
      </c>
      <c r="M54" s="57">
        <f>_xlfn.XLOOKUP($A54,Inputs!$A:$A,Inputs!M:M,,0)</f>
        <v>0</v>
      </c>
      <c r="N54" s="48"/>
    </row>
    <row r="55" spans="1:14" ht="12.75">
      <c r="A55" s="59" t="s">
        <v>614</v>
      </c>
      <c r="B55" s="57">
        <f>_xlfn.XLOOKUP($A55,Inputs!$A:$A,Inputs!B:B,,0)</f>
        <v>2844</v>
      </c>
      <c r="C55" s="57">
        <f>_xlfn.XLOOKUP($A55,Inputs!$A:$A,Inputs!C:C,,0)</f>
        <v>1231</v>
      </c>
      <c r="D55" s="57">
        <f>_xlfn.XLOOKUP($A55,Inputs!$A:$A,Inputs!D:D,,0)</f>
        <v>853</v>
      </c>
      <c r="E55" s="57">
        <f>_xlfn.XLOOKUP($A55,Inputs!$A:$A,Inputs!E:E,,0)</f>
        <v>924</v>
      </c>
      <c r="F55" s="57">
        <f>_xlfn.XLOOKUP($A55,Inputs!$A:$A,Inputs!F:F,,0)</f>
        <v>554</v>
      </c>
      <c r="G55" s="57">
        <f>_xlfn.XLOOKUP($A55,Inputs!$A:$A,Inputs!G:G,,0)</f>
        <v>650</v>
      </c>
      <c r="H55" s="57">
        <f>_xlfn.XLOOKUP($A55,Inputs!$A:$A,Inputs!H:H,,0)</f>
        <v>1154</v>
      </c>
      <c r="I55" s="57">
        <f>_xlfn.XLOOKUP($A55,Inputs!$A:$A,Inputs!I:I,,0)</f>
        <v>713</v>
      </c>
      <c r="J55" s="57">
        <f>_xlfn.XLOOKUP($A55,Inputs!$A:$A,Inputs!J:J,,0)</f>
        <v>431</v>
      </c>
      <c r="K55" s="57">
        <f>_xlfn.XLOOKUP($A55,Inputs!$A:$A,Inputs!K:K,,0)</f>
        <v>239</v>
      </c>
      <c r="L55" s="57">
        <f>_xlfn.XLOOKUP($A55,Inputs!$A:$A,Inputs!L:L,,0)</f>
        <v>259</v>
      </c>
      <c r="M55" s="57">
        <f>_xlfn.XLOOKUP($A55,Inputs!$A:$A,Inputs!M:M,,0)</f>
        <v>189</v>
      </c>
      <c r="N55" s="48"/>
    </row>
    <row r="56" spans="1:14" ht="12.75">
      <c r="A56" s="69" t="s">
        <v>52</v>
      </c>
      <c r="B56" s="67">
        <f>_xlfn.XLOOKUP($A56,Inputs!$A:$A,Inputs!B:B,,0)</f>
        <v>16922</v>
      </c>
      <c r="C56" s="67">
        <f>_xlfn.XLOOKUP($A56,Inputs!$A:$A,Inputs!C:C,,0)</f>
        <v>11857</v>
      </c>
      <c r="D56" s="67">
        <f>_xlfn.XLOOKUP($A56,Inputs!$A:$A,Inputs!D:D,,0)</f>
        <v>9539</v>
      </c>
      <c r="E56" s="67">
        <f>_xlfn.XLOOKUP($A56,Inputs!$A:$A,Inputs!E:E,,0)</f>
        <v>9358</v>
      </c>
      <c r="F56" s="67">
        <f>_xlfn.XLOOKUP($A56,Inputs!$A:$A,Inputs!F:F,,0)</f>
        <v>9416</v>
      </c>
      <c r="G56" s="67">
        <f>_xlfn.XLOOKUP($A56,Inputs!$A:$A,Inputs!G:G,,0)</f>
        <v>8329</v>
      </c>
      <c r="H56" s="67">
        <f>_xlfn.XLOOKUP($A56,Inputs!$A:$A,Inputs!H:H,,0)</f>
        <v>9161</v>
      </c>
      <c r="I56" s="67">
        <f>_xlfn.XLOOKUP($A56,Inputs!$A:$A,Inputs!I:I,,0)</f>
        <v>8902</v>
      </c>
      <c r="J56" s="67">
        <f>_xlfn.XLOOKUP($A56,Inputs!$A:$A,Inputs!J:J,,0)</f>
        <v>7986</v>
      </c>
      <c r="K56" s="67">
        <f>_xlfn.XLOOKUP($A56,Inputs!$A:$A,Inputs!K:K,,0)</f>
        <v>6969</v>
      </c>
      <c r="L56" s="67">
        <f>_xlfn.XLOOKUP($A56,Inputs!$A:$A,Inputs!L:L,,0)</f>
        <v>7553</v>
      </c>
      <c r="M56" s="67">
        <f>_xlfn.XLOOKUP($A56,Inputs!$A:$A,Inputs!M:M,,0)</f>
        <v>7591</v>
      </c>
      <c r="N56" s="48"/>
    </row>
    <row r="57" spans="1:14" ht="12.75">
      <c r="B57"/>
      <c r="C57"/>
      <c r="D57"/>
      <c r="E57"/>
      <c r="F57"/>
      <c r="G57"/>
      <c r="H57"/>
      <c r="I57"/>
      <c r="J57"/>
      <c r="K57"/>
      <c r="L57"/>
      <c r="M57"/>
      <c r="N57" s="48"/>
    </row>
    <row r="58" spans="1:14" ht="12.75">
      <c r="A58" s="69" t="s">
        <v>576</v>
      </c>
      <c r="B58" s="67">
        <f t="shared" ref="B58:M58" si="20">B49+B53</f>
        <v>6160</v>
      </c>
      <c r="C58" s="67">
        <f t="shared" si="20"/>
        <v>4041</v>
      </c>
      <c r="D58" s="67">
        <f t="shared" si="20"/>
        <v>3947</v>
      </c>
      <c r="E58" s="67">
        <f t="shared" si="20"/>
        <v>3417</v>
      </c>
      <c r="F58" s="67">
        <f t="shared" si="20"/>
        <v>3650</v>
      </c>
      <c r="G58" s="67">
        <f t="shared" si="20"/>
        <v>3237</v>
      </c>
      <c r="H58" s="67">
        <f t="shared" si="20"/>
        <v>3406</v>
      </c>
      <c r="I58" s="67">
        <f t="shared" si="20"/>
        <v>4220</v>
      </c>
      <c r="J58" s="67">
        <f t="shared" si="20"/>
        <v>3901</v>
      </c>
      <c r="K58" s="67">
        <f t="shared" si="20"/>
        <v>2666</v>
      </c>
      <c r="L58" s="67">
        <f t="shared" si="20"/>
        <v>3874</v>
      </c>
      <c r="M58" s="68">
        <f t="shared" si="20"/>
        <v>3826</v>
      </c>
      <c r="N58" s="48"/>
    </row>
    <row r="59" spans="1:14" ht="12.75">
      <c r="A59" s="70" t="s">
        <v>77</v>
      </c>
      <c r="B59" s="60">
        <f>IFERROR(B58/B44,"-")</f>
        <v>0.22405703269923252</v>
      </c>
      <c r="C59" s="60">
        <f t="shared" ref="C59:M59" si="21">IFERROR(C58/C44,"-")</f>
        <v>0.18341503267973855</v>
      </c>
      <c r="D59" s="60">
        <f t="shared" si="21"/>
        <v>0.21730991576281453</v>
      </c>
      <c r="E59" s="60">
        <f t="shared" si="21"/>
        <v>0.19312722545639519</v>
      </c>
      <c r="F59" s="60">
        <f t="shared" si="21"/>
        <v>0.20810764581789157</v>
      </c>
      <c r="G59" s="60">
        <f t="shared" si="21"/>
        <v>0.19951923076923078</v>
      </c>
      <c r="H59" s="60">
        <f t="shared" si="21"/>
        <v>0.20353770766104937</v>
      </c>
      <c r="I59" s="60">
        <f t="shared" si="21"/>
        <v>0.26817488561260805</v>
      </c>
      <c r="J59" s="60">
        <f t="shared" si="21"/>
        <v>0.27249231628946635</v>
      </c>
      <c r="K59" s="60">
        <f t="shared" si="21"/>
        <v>0.20416602848828305</v>
      </c>
      <c r="L59" s="60">
        <f t="shared" si="21"/>
        <v>0.29123440084197866</v>
      </c>
      <c r="M59" s="60">
        <f t="shared" si="21"/>
        <v>0.29329244921425834</v>
      </c>
      <c r="N59" s="48"/>
    </row>
    <row r="60" spans="1:14" ht="12.75">
      <c r="B60"/>
      <c r="C60"/>
      <c r="D60"/>
      <c r="E60"/>
      <c r="F60"/>
      <c r="G60"/>
      <c r="H60"/>
      <c r="I60"/>
      <c r="J60"/>
      <c r="K60"/>
      <c r="L60"/>
      <c r="M60"/>
      <c r="N60" s="48"/>
    </row>
    <row r="61" spans="1:14" s="49" customFormat="1" ht="12.75">
      <c r="A61" s="69" t="s">
        <v>616</v>
      </c>
      <c r="B61" s="67">
        <f>_xlfn.XLOOKUP($A61,Inputs!$A:$A,Inputs!B:B,,0)</f>
        <v>1545</v>
      </c>
      <c r="C61" s="67">
        <f>_xlfn.XLOOKUP($A61,Inputs!$A:$A,Inputs!C:C,,0)</f>
        <v>1408</v>
      </c>
      <c r="D61" s="67">
        <f>_xlfn.XLOOKUP($A61,Inputs!$A:$A,Inputs!D:D,,0)</f>
        <v>1276</v>
      </c>
      <c r="E61" s="67">
        <f>_xlfn.XLOOKUP($A61,Inputs!$A:$A,Inputs!E:E,,0)</f>
        <v>1362</v>
      </c>
      <c r="F61" s="67">
        <f>_xlfn.XLOOKUP($A61,Inputs!$A:$A,Inputs!F:F,,0)</f>
        <v>1613</v>
      </c>
      <c r="G61" s="67">
        <f>_xlfn.XLOOKUP($A61,Inputs!$A:$A,Inputs!G:G,,0)</f>
        <v>1560</v>
      </c>
      <c r="H61" s="67">
        <f>_xlfn.XLOOKUP($A61,Inputs!$A:$A,Inputs!H:H,,0)</f>
        <v>1448</v>
      </c>
      <c r="I61" s="67">
        <f>_xlfn.XLOOKUP($A61,Inputs!$A:$A,Inputs!I:I,,0)</f>
        <v>863</v>
      </c>
      <c r="J61" s="67">
        <f>_xlfn.XLOOKUP($A61,Inputs!$A:$A,Inputs!J:J,,0)</f>
        <v>549</v>
      </c>
      <c r="K61" s="67">
        <f>_xlfn.XLOOKUP($A61,Inputs!$A:$A,Inputs!K:K,,0)</f>
        <v>418</v>
      </c>
      <c r="L61" s="67">
        <f>_xlfn.XLOOKUP($A61,Inputs!$A:$A,Inputs!L:L,,0)</f>
        <v>325</v>
      </c>
      <c r="M61" s="67">
        <f>_xlfn.XLOOKUP($A61,Inputs!$A:$A,Inputs!M:M,,0)</f>
        <v>127</v>
      </c>
      <c r="N61" s="50"/>
    </row>
    <row r="62" spans="1:14" ht="12.75">
      <c r="B62"/>
      <c r="C62"/>
      <c r="D62"/>
      <c r="E62"/>
      <c r="F62"/>
      <c r="G62"/>
      <c r="H62"/>
      <c r="I62"/>
      <c r="J62"/>
      <c r="K62"/>
      <c r="L62"/>
      <c r="M62"/>
      <c r="N62" s="48"/>
    </row>
    <row r="63" spans="1:14" ht="12.75">
      <c r="A63" s="69" t="s">
        <v>617</v>
      </c>
      <c r="B63" s="67">
        <f>_xlfn.XLOOKUP($A63,Inputs!$A:$A,Inputs!B:B,,0)</f>
        <v>9026</v>
      </c>
      <c r="C63" s="67">
        <f>_xlfn.XLOOKUP($A63,Inputs!$A:$A,Inputs!C:C,,0)</f>
        <v>8767</v>
      </c>
      <c r="D63" s="67">
        <f>_xlfn.XLOOKUP($A63,Inputs!$A:$A,Inputs!D:D,,0)</f>
        <v>7348</v>
      </c>
      <c r="E63" s="67">
        <f>_xlfn.XLOOKUP($A63,Inputs!$A:$A,Inputs!E:E,,0)</f>
        <v>6973</v>
      </c>
      <c r="F63" s="67">
        <f>_xlfn.XLOOKUP($A63,Inputs!$A:$A,Inputs!F:F,,0)</f>
        <v>6510</v>
      </c>
      <c r="G63" s="67">
        <f>_xlfn.XLOOKUP($A63,Inputs!$A:$A,Inputs!G:G,,0)</f>
        <v>6335</v>
      </c>
      <c r="H63" s="67">
        <f>_xlfn.XLOOKUP($A63,Inputs!$A:$A,Inputs!H:H,,0)</f>
        <v>6125</v>
      </c>
      <c r="I63" s="67">
        <f>_xlfn.XLOOKUP($A63,Inputs!$A:$A,Inputs!I:I,,0)</f>
        <v>5971</v>
      </c>
      <c r="J63" s="67">
        <f>_xlfn.XLOOKUP($A63,Inputs!$A:$A,Inputs!J:J,,0)</f>
        <v>5781</v>
      </c>
      <c r="K63" s="67">
        <f>_xlfn.XLOOKUP($A63,Inputs!$A:$A,Inputs!K:K,,0)</f>
        <v>5671</v>
      </c>
      <c r="L63" s="67">
        <f>_xlfn.XLOOKUP($A63,Inputs!$A:$A,Inputs!L:L,,0)</f>
        <v>5424</v>
      </c>
      <c r="M63" s="67">
        <f>_xlfn.XLOOKUP($A63,Inputs!$A:$A,Inputs!M:M,,0)</f>
        <v>5327</v>
      </c>
      <c r="N63" s="48"/>
    </row>
    <row r="64" spans="1:14" ht="12" customHeight="1">
      <c r="K64" s="44"/>
      <c r="L64" s="44"/>
      <c r="M64" s="44"/>
      <c r="N64" s="48"/>
    </row>
    <row r="65" spans="1:236" ht="12" customHeight="1">
      <c r="K65" s="44"/>
      <c r="L65" s="44"/>
      <c r="M65" s="44"/>
      <c r="N65" s="48"/>
    </row>
    <row r="66" spans="1:236" ht="20.25">
      <c r="A66" s="1086" t="s">
        <v>619</v>
      </c>
      <c r="B66" s="1086"/>
      <c r="C66" s="1086"/>
      <c r="D66" s="1086"/>
      <c r="E66" s="1086"/>
      <c r="F66" s="1086"/>
      <c r="G66" s="1086"/>
      <c r="H66" s="1086"/>
      <c r="I66" s="1086"/>
      <c r="J66" s="1086"/>
      <c r="K66" s="1086"/>
      <c r="L66" s="1086"/>
      <c r="M66" s="1086"/>
    </row>
    <row r="67" spans="1:236" ht="12.75">
      <c r="A67" s="56" t="s">
        <v>620</v>
      </c>
      <c r="B67" s="57" t="e">
        <f>_xlfn.XLOOKUP($A67,Inputs!$A:$A,Inputs!B:B,,0)</f>
        <v>#N/A</v>
      </c>
      <c r="C67" s="57" t="e">
        <f>_xlfn.XLOOKUP($A67,Inputs!$A:$A,Inputs!C:C,,0)</f>
        <v>#N/A</v>
      </c>
      <c r="D67" s="57" t="e">
        <f>_xlfn.XLOOKUP($A67,Inputs!$A:$A,Inputs!D:D,,0)</f>
        <v>#N/A</v>
      </c>
      <c r="E67" s="57" t="e">
        <f>_xlfn.XLOOKUP($A67,Inputs!$A:$A,Inputs!E:E,,0)</f>
        <v>#N/A</v>
      </c>
      <c r="F67" s="57" t="e">
        <f>_xlfn.XLOOKUP($A67,Inputs!$A:$A,Inputs!F:F,,0)</f>
        <v>#N/A</v>
      </c>
      <c r="G67" s="57" t="e">
        <f>_xlfn.XLOOKUP($A67,Inputs!$A:$A,Inputs!G:G,,0)</f>
        <v>#N/A</v>
      </c>
      <c r="H67" s="57" t="e">
        <f>_xlfn.XLOOKUP($A67,Inputs!$A:$A,Inputs!H:H,,0)</f>
        <v>#N/A</v>
      </c>
      <c r="I67" s="57" t="e">
        <f>_xlfn.XLOOKUP($A67,Inputs!$A:$A,Inputs!I:I,,0)</f>
        <v>#N/A</v>
      </c>
      <c r="J67" s="57" t="e">
        <f>_xlfn.XLOOKUP($A67,Inputs!$A:$A,Inputs!J:J,,0)</f>
        <v>#N/A</v>
      </c>
      <c r="K67" s="57" t="e">
        <f>_xlfn.XLOOKUP($A67,Inputs!$A:$A,Inputs!K:K,,0)</f>
        <v>#N/A</v>
      </c>
      <c r="L67" s="57" t="e">
        <f>_xlfn.XLOOKUP($A67,Inputs!$A:$A,Inputs!L:L,,0)</f>
        <v>#N/A</v>
      </c>
      <c r="M67" s="57" t="e">
        <f>_xlfn.XLOOKUP($A67,Inputs!$A:$A,Inputs!M:M,,0)</f>
        <v>#N/A</v>
      </c>
    </row>
    <row r="68" spans="1:236" ht="12.75">
      <c r="A68" s="70" t="s">
        <v>621</v>
      </c>
      <c r="B68" s="57" t="e">
        <f>_xlfn.XLOOKUP($A68,Inputs!$A:$A,Inputs!B:B,,0)</f>
        <v>#N/A</v>
      </c>
      <c r="C68" s="57" t="e">
        <f>_xlfn.XLOOKUP($A68,Inputs!$A:$A,Inputs!C:C,,0)</f>
        <v>#N/A</v>
      </c>
      <c r="D68" s="57" t="e">
        <f>_xlfn.XLOOKUP($A68,Inputs!$A:$A,Inputs!D:D,,0)</f>
        <v>#N/A</v>
      </c>
      <c r="E68" s="57" t="e">
        <f>_xlfn.XLOOKUP($A68,Inputs!$A:$A,Inputs!E:E,,0)</f>
        <v>#N/A</v>
      </c>
      <c r="F68" s="57" t="e">
        <f>_xlfn.XLOOKUP($A68,Inputs!$A:$A,Inputs!F:F,,0)</f>
        <v>#N/A</v>
      </c>
      <c r="G68" s="57" t="e">
        <f>_xlfn.XLOOKUP($A68,Inputs!$A:$A,Inputs!G:G,,0)</f>
        <v>#N/A</v>
      </c>
      <c r="H68" s="57" t="e">
        <f>_xlfn.XLOOKUP($A68,Inputs!$A:$A,Inputs!H:H,,0)</f>
        <v>#N/A</v>
      </c>
      <c r="I68" s="57" t="e">
        <f>_xlfn.XLOOKUP($A68,Inputs!$A:$A,Inputs!I:I,,0)</f>
        <v>#N/A</v>
      </c>
      <c r="J68" s="57" t="e">
        <f>_xlfn.XLOOKUP($A68,Inputs!$A:$A,Inputs!J:J,,0)</f>
        <v>#N/A</v>
      </c>
      <c r="K68" s="57" t="e">
        <f>_xlfn.XLOOKUP($A68,Inputs!$A:$A,Inputs!K:K,,0)</f>
        <v>#N/A</v>
      </c>
      <c r="L68" s="57" t="e">
        <f>_xlfn.XLOOKUP($A68,Inputs!$A:$A,Inputs!L:L,,0)</f>
        <v>#N/A</v>
      </c>
      <c r="M68" s="57" t="e">
        <f>_xlfn.XLOOKUP($A68,Inputs!$A:$A,Inputs!M:M,,0)</f>
        <v>#N/A</v>
      </c>
    </row>
    <row r="69" spans="1:236" ht="12.75">
      <c r="A69" s="56" t="s">
        <v>50</v>
      </c>
      <c r="B69" s="57">
        <f>_xlfn.XLOOKUP($A69,Inputs!$A:$A,Inputs!B:B,,0)</f>
        <v>0.28485576923076922</v>
      </c>
      <c r="C69" s="57" t="str">
        <f>_xlfn.XLOOKUP($A69,Inputs!$A:$A,Inputs!C:C,,0)</f>
        <v>Yahoo finance</v>
      </c>
      <c r="D69" s="57">
        <f>_xlfn.XLOOKUP($A69,Inputs!$A:$A,Inputs!D:D,,0)</f>
        <v>0</v>
      </c>
      <c r="E69" s="57">
        <f>_xlfn.XLOOKUP($A69,Inputs!$A:$A,Inputs!E:E,,0)</f>
        <v>0</v>
      </c>
      <c r="F69" s="57">
        <f>_xlfn.XLOOKUP($A69,Inputs!$A:$A,Inputs!F:F,,0)</f>
        <v>0</v>
      </c>
      <c r="G69" s="57">
        <f>_xlfn.XLOOKUP($A69,Inputs!$A:$A,Inputs!G:G,,0)</f>
        <v>0</v>
      </c>
      <c r="H69" s="57">
        <f>_xlfn.XLOOKUP($A69,Inputs!$A:$A,Inputs!H:H,,0)</f>
        <v>0</v>
      </c>
      <c r="I69" s="57">
        <f>_xlfn.XLOOKUP($A69,Inputs!$A:$A,Inputs!I:I,,0)</f>
        <v>0</v>
      </c>
      <c r="J69" s="57">
        <f>_xlfn.XLOOKUP($A69,Inputs!$A:$A,Inputs!J:J,,0)</f>
        <v>0</v>
      </c>
      <c r="K69" s="57">
        <f>_xlfn.XLOOKUP($A69,Inputs!$A:$A,Inputs!K:K,,0)</f>
        <v>0</v>
      </c>
      <c r="L69" s="57">
        <f>_xlfn.XLOOKUP($A69,Inputs!$A:$A,Inputs!L:L,,0)</f>
        <v>0</v>
      </c>
      <c r="M69" s="57">
        <f>_xlfn.XLOOKUP($A69,Inputs!$A:$A,Inputs!M:M,,0)</f>
        <v>0</v>
      </c>
    </row>
    <row r="70" spans="1:236" ht="12.75">
      <c r="A70" s="70" t="s">
        <v>55</v>
      </c>
      <c r="B70" s="57" t="str">
        <f>_xlfn.XLOOKUP($A70,Inputs!$A:$A,Inputs!B:B,,0)</f>
        <v>71.20%</v>
      </c>
      <c r="C70" s="57" t="str">
        <f>_xlfn.XLOOKUP($A70,Inputs!$A:$A,Inputs!C:C,,0)</f>
        <v>Yahoo finance</v>
      </c>
      <c r="D70" s="57">
        <f>_xlfn.XLOOKUP($A70,Inputs!$A:$A,Inputs!D:D,,0)</f>
        <v>0</v>
      </c>
      <c r="E70" s="57">
        <f>_xlfn.XLOOKUP($A70,Inputs!$A:$A,Inputs!E:E,,0)</f>
        <v>0</v>
      </c>
      <c r="F70" s="57">
        <f>_xlfn.XLOOKUP($A70,Inputs!$A:$A,Inputs!F:F,,0)</f>
        <v>0</v>
      </c>
      <c r="G70" s="57">
        <f>_xlfn.XLOOKUP($A70,Inputs!$A:$A,Inputs!G:G,,0)</f>
        <v>0</v>
      </c>
      <c r="H70" s="57">
        <f>_xlfn.XLOOKUP($A70,Inputs!$A:$A,Inputs!H:H,,0)</f>
        <v>0</v>
      </c>
      <c r="I70" s="57">
        <f>_xlfn.XLOOKUP($A70,Inputs!$A:$A,Inputs!I:I,,0)</f>
        <v>0</v>
      </c>
      <c r="J70" s="57">
        <f>_xlfn.XLOOKUP($A70,Inputs!$A:$A,Inputs!J:J,,0)</f>
        <v>0</v>
      </c>
      <c r="K70" s="57">
        <f>_xlfn.XLOOKUP($A70,Inputs!$A:$A,Inputs!K:K,,0)</f>
        <v>0</v>
      </c>
      <c r="L70" s="57">
        <f>_xlfn.XLOOKUP($A70,Inputs!$A:$A,Inputs!L:L,,0)</f>
        <v>0</v>
      </c>
      <c r="M70" s="57">
        <f>_xlfn.XLOOKUP($A70,Inputs!$A:$A,Inputs!M:M,,0)</f>
        <v>0</v>
      </c>
    </row>
    <row r="71" spans="1:236" ht="12.75">
      <c r="A71" s="56" t="s">
        <v>622</v>
      </c>
      <c r="B71" s="57" t="str">
        <f>_xlfn.XLOOKUP($A71,Inputs!$A:$A,Inputs!B:B,,0)</f>
        <v>BBB</v>
      </c>
      <c r="C71" s="57" t="str">
        <f>_xlfn.XLOOKUP($A71,Inputs!$A:$A,Inputs!C:C,,0)</f>
        <v>10-K</v>
      </c>
      <c r="D71" s="57">
        <f>_xlfn.XLOOKUP($A71,Inputs!$A:$A,Inputs!D:D,,0)</f>
        <v>0</v>
      </c>
      <c r="E71" s="57">
        <f>_xlfn.XLOOKUP($A71,Inputs!$A:$A,Inputs!E:E,,0)</f>
        <v>0</v>
      </c>
      <c r="F71" s="57">
        <f>_xlfn.XLOOKUP($A71,Inputs!$A:$A,Inputs!F:F,,0)</f>
        <v>0</v>
      </c>
      <c r="G71" s="57">
        <f>_xlfn.XLOOKUP($A71,Inputs!$A:$A,Inputs!G:G,,0)</f>
        <v>0</v>
      </c>
      <c r="H71" s="57">
        <f>_xlfn.XLOOKUP($A71,Inputs!$A:$A,Inputs!H:H,,0)</f>
        <v>0</v>
      </c>
      <c r="I71" s="57">
        <f>_xlfn.XLOOKUP($A71,Inputs!$A:$A,Inputs!I:I,,0)</f>
        <v>0</v>
      </c>
      <c r="J71" s="57">
        <f>_xlfn.XLOOKUP($A71,Inputs!$A:$A,Inputs!J:J,,0)</f>
        <v>0</v>
      </c>
      <c r="K71" s="57">
        <f>_xlfn.XLOOKUP($A71,Inputs!$A:$A,Inputs!K:K,,0)</f>
        <v>0</v>
      </c>
      <c r="L71" s="57">
        <f>_xlfn.XLOOKUP($A71,Inputs!$A:$A,Inputs!L:L,,0)</f>
        <v>0</v>
      </c>
      <c r="M71" s="57">
        <f>_xlfn.XLOOKUP($A71,Inputs!$A:$A,Inputs!M:M,,0)</f>
        <v>0</v>
      </c>
    </row>
    <row r="72" spans="1:236" ht="12.75">
      <c r="A72" s="56" t="s">
        <v>623</v>
      </c>
      <c r="B72" s="57" t="e">
        <f>_xlfn.XLOOKUP($A72,Inputs!$A:$A,Inputs!B:B,,0)</f>
        <v>#N/A</v>
      </c>
      <c r="C72" s="57" t="e">
        <f>_xlfn.XLOOKUP($A72,Inputs!$A:$A,Inputs!C:C,,0)</f>
        <v>#N/A</v>
      </c>
      <c r="D72" s="57" t="e">
        <f>_xlfn.XLOOKUP($A72,Inputs!$A:$A,Inputs!D:D,,0)</f>
        <v>#N/A</v>
      </c>
      <c r="E72" s="57" t="e">
        <f>_xlfn.XLOOKUP($A72,Inputs!$A:$A,Inputs!E:E,,0)</f>
        <v>#N/A</v>
      </c>
      <c r="F72" s="57" t="e">
        <f>_xlfn.XLOOKUP($A72,Inputs!$A:$A,Inputs!F:F,,0)</f>
        <v>#N/A</v>
      </c>
      <c r="G72" s="57" t="e">
        <f>_xlfn.XLOOKUP($A72,Inputs!$A:$A,Inputs!G:G,,0)</f>
        <v>#N/A</v>
      </c>
      <c r="H72" s="57" t="e">
        <f>_xlfn.XLOOKUP($A72,Inputs!$A:$A,Inputs!H:H,,0)</f>
        <v>#N/A</v>
      </c>
      <c r="I72" s="57" t="e">
        <f>_xlfn.XLOOKUP($A72,Inputs!$A:$A,Inputs!I:I,,0)</f>
        <v>#N/A</v>
      </c>
      <c r="J72" s="57" t="e">
        <f>_xlfn.XLOOKUP($A72,Inputs!$A:$A,Inputs!J:J,,0)</f>
        <v>#N/A</v>
      </c>
      <c r="K72" s="57" t="e">
        <f>_xlfn.XLOOKUP($A72,Inputs!$A:$A,Inputs!K:K,,0)</f>
        <v>#N/A</v>
      </c>
      <c r="L72" s="57" t="e">
        <f>_xlfn.XLOOKUP($A72,Inputs!$A:$A,Inputs!L:L,,0)</f>
        <v>#N/A</v>
      </c>
      <c r="M72" s="57" t="e">
        <f>_xlfn.XLOOKUP($A72,Inputs!$A:$A,Inputs!M:M,,0)</f>
        <v>#N/A</v>
      </c>
    </row>
    <row r="73" spans="1:236" ht="12.75">
      <c r="A73" s="70" t="s">
        <v>624</v>
      </c>
      <c r="B73" s="57">
        <f>_xlfn.XLOOKUP($A73,Inputs!$A:$A,Inputs!B:B,,0)</f>
        <v>858</v>
      </c>
      <c r="C73" s="57" t="str">
        <f>_xlfn.XLOOKUP($A73,Inputs!$A:$A,Inputs!C:C,,0)</f>
        <v>Yahoo Finance</v>
      </c>
      <c r="D73" s="57">
        <f>_xlfn.XLOOKUP($A73,Inputs!$A:$A,Inputs!D:D,,0)</f>
        <v>0</v>
      </c>
      <c r="E73" s="57">
        <f>_xlfn.XLOOKUP($A73,Inputs!$A:$A,Inputs!E:E,,0)</f>
        <v>0</v>
      </c>
      <c r="F73" s="57">
        <f>_xlfn.XLOOKUP($A73,Inputs!$A:$A,Inputs!F:F,,0)</f>
        <v>0</v>
      </c>
      <c r="G73" s="57">
        <f>_xlfn.XLOOKUP($A73,Inputs!$A:$A,Inputs!G:G,,0)</f>
        <v>0</v>
      </c>
      <c r="H73" s="57">
        <f>_xlfn.XLOOKUP($A73,Inputs!$A:$A,Inputs!H:H,,0)</f>
        <v>0</v>
      </c>
      <c r="I73" s="57">
        <f>_xlfn.XLOOKUP($A73,Inputs!$A:$A,Inputs!I:I,,0)</f>
        <v>0</v>
      </c>
      <c r="J73" s="57">
        <f>_xlfn.XLOOKUP($A73,Inputs!$A:$A,Inputs!J:J,,0)</f>
        <v>0</v>
      </c>
      <c r="K73" s="57">
        <f>_xlfn.XLOOKUP($A73,Inputs!$A:$A,Inputs!K:K,,0)</f>
        <v>0</v>
      </c>
      <c r="L73" s="57">
        <f>_xlfn.XLOOKUP($A73,Inputs!$A:$A,Inputs!L:L,,0)</f>
        <v>0</v>
      </c>
      <c r="M73" s="57">
        <f>_xlfn.XLOOKUP($A73,Inputs!$A:$A,Inputs!M:M,,0)</f>
        <v>0</v>
      </c>
      <c r="IB73" s="44"/>
    </row>
    <row r="74" spans="1:236" ht="12" customHeight="1">
      <c r="B74" s="47"/>
      <c r="C74" s="47"/>
      <c r="D74" s="47"/>
      <c r="E74" s="47"/>
      <c r="F74" s="47"/>
      <c r="G74" s="47"/>
      <c r="H74" s="47"/>
      <c r="I74" s="47"/>
      <c r="J74" s="47"/>
      <c r="K74" s="47"/>
      <c r="L74" s="47"/>
      <c r="M74" s="47"/>
      <c r="IB74" s="44"/>
    </row>
    <row r="75" spans="1:236" ht="12" customHeight="1">
      <c r="B75" s="45">
        <v>2020</v>
      </c>
      <c r="C75" s="45">
        <v>2021</v>
      </c>
      <c r="D75" s="45">
        <v>2022</v>
      </c>
      <c r="G75" s="45"/>
      <c r="H75" s="47"/>
      <c r="I75" s="47"/>
      <c r="J75" s="47"/>
      <c r="K75" s="47"/>
      <c r="L75" s="47"/>
      <c r="M75" s="47"/>
      <c r="IB75" s="44"/>
    </row>
    <row r="76" spans="1:236" ht="12.75">
      <c r="A76" s="56" t="s">
        <v>625</v>
      </c>
      <c r="B76" s="63">
        <v>0</v>
      </c>
      <c r="C76" s="63">
        <v>0</v>
      </c>
      <c r="D76" s="64">
        <v>0</v>
      </c>
      <c r="G76" s="47"/>
      <c r="H76" s="47"/>
      <c r="I76" s="47"/>
      <c r="J76" s="47"/>
      <c r="K76" s="47"/>
      <c r="L76" s="47"/>
      <c r="M76" s="47"/>
      <c r="IB76" s="44"/>
    </row>
    <row r="77" spans="1:236" ht="12.75">
      <c r="A77" s="70" t="s">
        <v>79</v>
      </c>
      <c r="B77" s="63">
        <v>0</v>
      </c>
      <c r="C77" s="63">
        <v>0</v>
      </c>
      <c r="D77" s="64">
        <v>0</v>
      </c>
    </row>
    <row r="78" spans="1:236" ht="12" customHeight="1"/>
    <row r="79" spans="1:236">
      <c r="A79" s="46" t="s">
        <v>626</v>
      </c>
      <c r="B79" s="45" t="s">
        <v>627</v>
      </c>
      <c r="C79" s="45" t="s">
        <v>628</v>
      </c>
      <c r="D79" s="45" t="s">
        <v>629</v>
      </c>
      <c r="E79" s="45" t="s">
        <v>630</v>
      </c>
      <c r="G79" s="45"/>
    </row>
    <row r="80" spans="1:236" ht="12.75">
      <c r="B80" s="71" t="e">
        <f>VLOOKUP($A80,Inputs!$A$5:$M$98,MATCH(B$4,Inputs!$B$5:$M$5,0)+1,FALSE)</f>
        <v>#N/A</v>
      </c>
      <c r="C80" s="71" t="e">
        <f>VLOOKUP($A80,Inputs!$A$5:$M$98,MATCH(C$4,Inputs!$B$5:$M$5,0)+1,FALSE)</f>
        <v>#N/A</v>
      </c>
      <c r="D80" s="71" t="e">
        <f>VLOOKUP($A80,Inputs!$A$5:$M$98,MATCH(D$4,Inputs!$B$5:$M$5,0)+1,FALSE)</f>
        <v>#N/A</v>
      </c>
      <c r="E80" s="71" t="e">
        <f>VLOOKUP($A80,Inputs!$A$5:$M$98,MATCH(E$4,Inputs!$B$5:$M$5,0)+1,FALSE)</f>
        <v>#N/A</v>
      </c>
    </row>
    <row r="81" spans="2:6" ht="12.75">
      <c r="B81" s="72"/>
      <c r="C81" s="72"/>
      <c r="D81" s="2"/>
      <c r="E81" s="72"/>
      <c r="F81" s="2"/>
    </row>
    <row r="82" spans="2:6" ht="12.75">
      <c r="B82" s="72"/>
      <c r="C82" s="72"/>
      <c r="D82" s="2"/>
      <c r="E82" s="72"/>
      <c r="F82" s="2"/>
    </row>
    <row r="83" spans="2:6" ht="12.75">
      <c r="B83" s="72"/>
      <c r="C83" s="72"/>
      <c r="D83" s="2"/>
      <c r="E83" s="72"/>
      <c r="F83" s="2"/>
    </row>
    <row r="84" spans="2:6" ht="12.75">
      <c r="B84" s="72"/>
      <c r="C84" s="72"/>
      <c r="D84" s="2"/>
      <c r="E84" s="72"/>
      <c r="F84" s="2"/>
    </row>
    <row r="85" spans="2:6" ht="12.75">
      <c r="B85" s="72"/>
      <c r="C85" s="72"/>
      <c r="D85" s="2"/>
      <c r="E85" s="72"/>
      <c r="F85" s="2"/>
    </row>
    <row r="86" spans="2:6" ht="12.75">
      <c r="B86" s="72"/>
      <c r="C86" s="72"/>
      <c r="D86" s="2"/>
      <c r="E86" s="72"/>
      <c r="F86" s="2"/>
    </row>
    <row r="87" spans="2:6" ht="12.75">
      <c r="B87" s="72"/>
      <c r="C87" s="72"/>
      <c r="D87" s="2"/>
      <c r="E87" s="72"/>
      <c r="F87" s="2"/>
    </row>
    <row r="88" spans="2:6" ht="12.75">
      <c r="B88" s="72"/>
      <c r="C88" s="72"/>
      <c r="D88" s="2"/>
      <c r="E88" s="72"/>
      <c r="F88" s="2"/>
    </row>
  </sheetData>
  <mergeCells count="6">
    <mergeCell ref="A66:M66"/>
    <mergeCell ref="A1:M1"/>
    <mergeCell ref="A2:M2"/>
    <mergeCell ref="A3:M3"/>
    <mergeCell ref="A38:M38"/>
    <mergeCell ref="A47:M47"/>
  </mergeCells>
  <pageMargins left="0.7" right="0.7" top="0.75" bottom="0.75"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7115-0CBC-4ABB-BE5B-970F623C3B18}">
  <dimension ref="A1:EV100"/>
  <sheetViews>
    <sheetView topLeftCell="A74" zoomScale="108" workbookViewId="0">
      <selection activeCell="C4" sqref="C4"/>
    </sheetView>
  </sheetViews>
  <sheetFormatPr defaultColWidth="10.42578125" defaultRowHeight="14.25"/>
  <cols>
    <col min="1" max="1" width="40" style="22" bestFit="1" customWidth="1"/>
    <col min="2" max="5" width="13.42578125" style="22" customWidth="1"/>
    <col min="6" max="6" width="13.140625" style="22" customWidth="1"/>
    <col min="7" max="9" width="13.42578125" style="22" customWidth="1"/>
    <col min="10" max="10" width="14.140625" style="22" customWidth="1"/>
    <col min="11" max="11" width="15.140625" style="24" customWidth="1"/>
    <col min="12" max="12" width="17" style="24" customWidth="1"/>
    <col min="13" max="13" width="14.140625" style="22" customWidth="1"/>
    <col min="14" max="14" width="21.42578125" style="22" bestFit="1" customWidth="1"/>
    <col min="15" max="15" width="32.140625" style="22" customWidth="1"/>
    <col min="16" max="16" width="11.42578125" style="22" customWidth="1"/>
    <col min="17" max="23" width="0" style="22" hidden="1" customWidth="1"/>
    <col min="24" max="24" width="15.42578125" style="22" bestFit="1" customWidth="1"/>
    <col min="25" max="25" width="28.42578125" style="22" bestFit="1" customWidth="1"/>
    <col min="26" max="33" width="0" style="22" hidden="1" customWidth="1"/>
    <col min="34" max="16384" width="10.42578125" style="22"/>
  </cols>
  <sheetData>
    <row r="1" spans="1:45" ht="15">
      <c r="B1" s="442"/>
      <c r="C1" s="442"/>
      <c r="D1" s="442"/>
      <c r="E1" s="442"/>
      <c r="F1" s="442"/>
      <c r="G1" s="442"/>
      <c r="H1" s="442"/>
      <c r="I1" s="442"/>
      <c r="J1" s="442"/>
      <c r="K1" s="442"/>
      <c r="L1" s="442"/>
      <c r="M1" s="442"/>
      <c r="N1"/>
      <c r="O1"/>
    </row>
    <row r="2" spans="1:45">
      <c r="G2" s="1091" t="s">
        <v>633</v>
      </c>
      <c r="H2" s="1091"/>
      <c r="I2" s="1091"/>
      <c r="J2" s="1091"/>
      <c r="K2" s="25"/>
      <c r="L2" s="25"/>
      <c r="M2" s="25"/>
      <c r="N2" s="25"/>
      <c r="O2" s="25"/>
    </row>
    <row r="3" spans="1:45">
      <c r="G3" s="22" t="s">
        <v>634</v>
      </c>
      <c r="H3" s="22" t="e" vm="1">
        <v>#VALUE!</v>
      </c>
      <c r="M3"/>
      <c r="N3"/>
      <c r="O3"/>
    </row>
    <row r="4" spans="1:45">
      <c r="D4" s="1091" t="s">
        <v>635</v>
      </c>
      <c r="E4" s="1091"/>
      <c r="F4" s="1091"/>
      <c r="G4" s="1091"/>
      <c r="H4" s="1091"/>
      <c r="I4" s="1091"/>
      <c r="J4" s="1091"/>
      <c r="K4" s="1091"/>
      <c r="L4" s="1091"/>
      <c r="M4" s="1091"/>
      <c r="N4"/>
      <c r="O4"/>
    </row>
    <row r="5" spans="1:45" ht="15">
      <c r="A5" s="51" t="s">
        <v>636</v>
      </c>
      <c r="B5" s="442">
        <f>OP!J19</f>
        <v>2022</v>
      </c>
      <c r="C5" s="442">
        <f>B5-1</f>
        <v>2021</v>
      </c>
      <c r="D5" s="442">
        <f t="shared" ref="D5:M5" si="0">C5-1</f>
        <v>2020</v>
      </c>
      <c r="E5" s="442">
        <f t="shared" si="0"/>
        <v>2019</v>
      </c>
      <c r="F5" s="442">
        <f t="shared" si="0"/>
        <v>2018</v>
      </c>
      <c r="G5" s="442">
        <f t="shared" si="0"/>
        <v>2017</v>
      </c>
      <c r="H5" s="442">
        <f t="shared" si="0"/>
        <v>2016</v>
      </c>
      <c r="I5" s="442">
        <f t="shared" si="0"/>
        <v>2015</v>
      </c>
      <c r="J5" s="442">
        <f t="shared" si="0"/>
        <v>2014</v>
      </c>
      <c r="K5" s="442">
        <f t="shared" si="0"/>
        <v>2013</v>
      </c>
      <c r="L5" s="442">
        <f t="shared" si="0"/>
        <v>2012</v>
      </c>
      <c r="M5" s="442">
        <f t="shared" si="0"/>
        <v>2011</v>
      </c>
      <c r="N5"/>
      <c r="O5"/>
      <c r="Q5" s="10" t="s">
        <v>637</v>
      </c>
      <c r="R5" s="1092" t="s">
        <v>638</v>
      </c>
      <c r="S5" s="1092"/>
      <c r="T5" s="22" t="s">
        <v>639</v>
      </c>
      <c r="Z5" s="51">
        <v>2016</v>
      </c>
      <c r="AA5" s="51">
        <v>2015</v>
      </c>
      <c r="AB5" s="51">
        <v>2014</v>
      </c>
      <c r="AC5" s="51">
        <v>2013</v>
      </c>
      <c r="AD5" s="51">
        <v>2012</v>
      </c>
      <c r="AE5" s="51">
        <v>2011</v>
      </c>
      <c r="AF5" s="51">
        <v>2010</v>
      </c>
      <c r="AG5" s="51">
        <v>2009</v>
      </c>
    </row>
    <row r="6" spans="1:45">
      <c r="A6" s="26" t="s">
        <v>131</v>
      </c>
      <c r="B6" s="333">
        <v>2372</v>
      </c>
      <c r="C6" s="333">
        <v>1758</v>
      </c>
      <c r="D6" s="333">
        <v>1731</v>
      </c>
      <c r="E6" s="333">
        <v>1824</v>
      </c>
      <c r="F6" s="333">
        <v>1696.7</v>
      </c>
      <c r="G6" s="333">
        <v>1827.2</v>
      </c>
      <c r="H6" s="333">
        <v>1650.8</v>
      </c>
      <c r="I6" s="333">
        <v>1547</v>
      </c>
      <c r="J6" s="333">
        <v>1276.7</v>
      </c>
      <c r="K6" s="333">
        <v>1316.3</v>
      </c>
      <c r="L6" s="333">
        <v>1285.0999999999999</v>
      </c>
      <c r="M6" s="333">
        <v>1068.8</v>
      </c>
      <c r="N6" s="28" t="s">
        <v>640</v>
      </c>
      <c r="O6" s="613" t="s">
        <v>641</v>
      </c>
      <c r="Q6" s="22" t="s">
        <v>642</v>
      </c>
      <c r="R6" s="22" t="s">
        <v>642</v>
      </c>
      <c r="X6" s="29"/>
      <c r="Y6" s="29"/>
      <c r="Z6" s="27">
        <v>38537</v>
      </c>
      <c r="AA6" s="27">
        <v>47011</v>
      </c>
      <c r="AB6" s="27">
        <v>55184</v>
      </c>
      <c r="AC6" s="27">
        <v>55656</v>
      </c>
      <c r="AD6" s="27">
        <v>65875</v>
      </c>
      <c r="AE6" s="27">
        <v>60138</v>
      </c>
      <c r="AF6" s="27">
        <v>42588</v>
      </c>
      <c r="AG6" s="27">
        <v>32396</v>
      </c>
    </row>
    <row r="7" spans="1:45">
      <c r="A7" s="26" t="s">
        <v>590</v>
      </c>
      <c r="B7" s="333">
        <v>1971</v>
      </c>
      <c r="C7" s="333">
        <v>1451</v>
      </c>
      <c r="D7" s="333">
        <v>1655</v>
      </c>
      <c r="E7" s="333">
        <v>1651</v>
      </c>
      <c r="F7" s="333">
        <v>1300</v>
      </c>
      <c r="G7" s="333">
        <v>1366</v>
      </c>
      <c r="H7" s="333">
        <v>1171</v>
      </c>
      <c r="I7" s="333">
        <v>1142</v>
      </c>
      <c r="J7" s="333">
        <v>903</v>
      </c>
      <c r="K7" s="333">
        <v>921</v>
      </c>
      <c r="L7" s="333">
        <v>938</v>
      </c>
      <c r="M7" s="333">
        <v>801</v>
      </c>
      <c r="N7" s="28" t="s">
        <v>640</v>
      </c>
      <c r="O7" s="613" t="str">
        <f>+A7</f>
        <v>Gross Profit</v>
      </c>
      <c r="P7"/>
      <c r="Q7" s="22" t="s">
        <v>642</v>
      </c>
      <c r="R7" s="22" t="s">
        <v>643</v>
      </c>
      <c r="Z7" s="31">
        <f>Z6-28044</f>
        <v>10493</v>
      </c>
      <c r="AA7" s="31">
        <f>AA6-33546</f>
        <v>13465</v>
      </c>
      <c r="AB7" s="31">
        <f>AB6-40718</f>
        <v>14466</v>
      </c>
      <c r="AC7" s="31">
        <f>AC6-40727</f>
        <v>14929</v>
      </c>
      <c r="AD7" s="32">
        <f>+AD6-47055</f>
        <v>18820</v>
      </c>
      <c r="AE7" s="32">
        <f>+AE6-43578</f>
        <v>16560</v>
      </c>
      <c r="AF7" s="32">
        <f>+AF6-30367</f>
        <v>12221</v>
      </c>
      <c r="AG7" s="32">
        <f>+AG6-23886</f>
        <v>8510</v>
      </c>
    </row>
    <row r="8" spans="1:45">
      <c r="A8" s="26" t="s">
        <v>297</v>
      </c>
      <c r="B8" s="333">
        <v>1411.5</v>
      </c>
      <c r="C8" s="333">
        <v>1151</v>
      </c>
      <c r="D8" s="333">
        <v>1054</v>
      </c>
      <c r="E8" s="333">
        <v>1055</v>
      </c>
      <c r="F8" s="333">
        <v>754</v>
      </c>
      <c r="G8" s="333">
        <v>803</v>
      </c>
      <c r="H8" s="444">
        <v>564</v>
      </c>
      <c r="I8" s="445">
        <v>578</v>
      </c>
      <c r="J8" s="445">
        <v>422</v>
      </c>
      <c r="K8" s="445">
        <v>473</v>
      </c>
      <c r="L8" s="445">
        <v>450</v>
      </c>
      <c r="M8" s="445">
        <v>347</v>
      </c>
      <c r="N8" s="28" t="s">
        <v>640</v>
      </c>
      <c r="O8" s="613" t="s">
        <v>297</v>
      </c>
      <c r="P8"/>
      <c r="Q8" s="22" t="s">
        <v>642</v>
      </c>
      <c r="R8" s="33" t="s">
        <v>644</v>
      </c>
      <c r="Z8" s="31">
        <f>Z7-4383</f>
        <v>6110</v>
      </c>
      <c r="AA8" s="31">
        <f>AA7-4951</f>
        <v>8514</v>
      </c>
      <c r="AB8" s="31">
        <f>AB7-6529</f>
        <v>7937</v>
      </c>
      <c r="AC8" s="31">
        <f>AC7-5547</f>
        <v>9382</v>
      </c>
      <c r="AD8" s="32">
        <f>AD7-5919-2466-797-580-485</f>
        <v>8573</v>
      </c>
      <c r="AE8" s="32">
        <f>+AE7-5203-2297-826-1081</f>
        <v>7153</v>
      </c>
      <c r="AF8" s="32">
        <f>+AF7-4248-1905-914-1191</f>
        <v>3963</v>
      </c>
      <c r="AG8" s="32">
        <f>+AG7-3645-1421-1045-1822</f>
        <v>577</v>
      </c>
    </row>
    <row r="9" spans="1:45">
      <c r="A9" s="26" t="s">
        <v>594</v>
      </c>
      <c r="B9" s="333">
        <f>-141.9-127.1-200.9-3.1</f>
        <v>-473</v>
      </c>
      <c r="C9" s="333">
        <v>-275</v>
      </c>
      <c r="D9" s="333">
        <v>-291</v>
      </c>
      <c r="E9" s="333">
        <v>-323</v>
      </c>
      <c r="F9" s="333">
        <f>-244-0.6</f>
        <v>-244.6</v>
      </c>
      <c r="G9" s="333">
        <v>-335</v>
      </c>
      <c r="H9" s="333">
        <f>-312+1</f>
        <v>-311</v>
      </c>
      <c r="I9" s="333">
        <v>-221</v>
      </c>
      <c r="J9" s="333">
        <v>-126</v>
      </c>
      <c r="K9" s="333">
        <v>-120</v>
      </c>
      <c r="L9" s="333">
        <f>-57-1</f>
        <v>-58</v>
      </c>
      <c r="M9" s="333">
        <f>-21+1</f>
        <v>-20</v>
      </c>
      <c r="N9" s="28" t="s">
        <v>640</v>
      </c>
      <c r="O9" s="613" t="s">
        <v>645</v>
      </c>
      <c r="P9"/>
      <c r="Q9" s="22" t="s">
        <v>642</v>
      </c>
      <c r="R9" s="22" t="s">
        <v>646</v>
      </c>
      <c r="S9" s="22" t="s">
        <v>647</v>
      </c>
      <c r="T9" s="22" t="s">
        <v>648</v>
      </c>
      <c r="U9" s="22" t="s">
        <v>649</v>
      </c>
      <c r="V9" s="22" t="s">
        <v>650</v>
      </c>
      <c r="Z9" s="31">
        <f>1853+596+595+1904+6+8</f>
        <v>4962</v>
      </c>
      <c r="AA9" s="31">
        <f>2119+587+2023+11</f>
        <v>4740</v>
      </c>
      <c r="AB9" s="31">
        <f>2380+624+1619-8+16</f>
        <v>4631</v>
      </c>
      <c r="AC9" s="31">
        <f>2046+727+981+6+14</f>
        <v>3774</v>
      </c>
      <c r="AD9" s="32">
        <f>-14+41</f>
        <v>27</v>
      </c>
      <c r="AE9" s="31">
        <v>53</v>
      </c>
      <c r="AF9" s="31">
        <f>58+24</f>
        <v>82</v>
      </c>
      <c r="AG9" s="31">
        <f>12-68</f>
        <v>-56</v>
      </c>
    </row>
    <row r="10" spans="1:45">
      <c r="A10" s="26" t="s">
        <v>298</v>
      </c>
      <c r="B10" s="333">
        <v>-180.1</v>
      </c>
      <c r="C10" s="333">
        <v>-131</v>
      </c>
      <c r="D10" s="333">
        <v>-124</v>
      </c>
      <c r="E10" s="333">
        <v>-174</v>
      </c>
      <c r="F10" s="333">
        <v>-133</v>
      </c>
      <c r="G10" s="333">
        <v>-144</v>
      </c>
      <c r="H10" s="444">
        <v>-159</v>
      </c>
      <c r="I10" s="445">
        <v>-145</v>
      </c>
      <c r="J10" s="333">
        <v>-154</v>
      </c>
      <c r="K10" s="333">
        <v>-161</v>
      </c>
      <c r="L10" s="333">
        <v>-220</v>
      </c>
      <c r="M10" s="333">
        <v>-210</v>
      </c>
      <c r="N10" s="28" t="s">
        <v>640</v>
      </c>
      <c r="O10" s="613" t="s">
        <v>651</v>
      </c>
      <c r="P10"/>
      <c r="Q10" s="22" t="s">
        <v>642</v>
      </c>
      <c r="R10" s="22" t="s">
        <v>652</v>
      </c>
      <c r="Z10" s="31">
        <f>505+518</f>
        <v>1023</v>
      </c>
      <c r="AA10" s="31">
        <f>507-161</f>
        <v>346</v>
      </c>
      <c r="AB10" s="31">
        <f>484-322</f>
        <v>162</v>
      </c>
      <c r="AC10" s="31">
        <f>465+35</f>
        <v>500</v>
      </c>
      <c r="AD10" s="32">
        <f>467-130</f>
        <v>337</v>
      </c>
      <c r="AE10" s="31">
        <f>396+32</f>
        <v>428</v>
      </c>
      <c r="AF10" s="31">
        <f>343-130</f>
        <v>213</v>
      </c>
      <c r="AG10" s="31">
        <f>389-381</f>
        <v>8</v>
      </c>
    </row>
    <row r="11" spans="1:45">
      <c r="A11" s="26" t="s">
        <v>299</v>
      </c>
      <c r="B11" s="333">
        <v>-142.19999999999999</v>
      </c>
      <c r="C11" s="333">
        <v>-90</v>
      </c>
      <c r="D11" s="333">
        <v>-83</v>
      </c>
      <c r="E11" s="333">
        <v>-83</v>
      </c>
      <c r="F11" s="333">
        <v>-63</v>
      </c>
      <c r="G11" s="333">
        <v>-48</v>
      </c>
      <c r="H11" s="333">
        <v>-38</v>
      </c>
      <c r="I11" s="333">
        <v>-45</v>
      </c>
      <c r="J11" s="333">
        <v>-16</v>
      </c>
      <c r="K11" s="333">
        <v>-57</v>
      </c>
      <c r="L11" s="333">
        <v>-46</v>
      </c>
      <c r="M11" s="333">
        <v>-28</v>
      </c>
      <c r="N11" s="28" t="s">
        <v>640</v>
      </c>
      <c r="O11" s="613" t="s">
        <v>299</v>
      </c>
      <c r="P11"/>
      <c r="Q11" s="22" t="s">
        <v>642</v>
      </c>
      <c r="R11" s="22" t="s">
        <v>653</v>
      </c>
      <c r="Z11" s="27">
        <v>192</v>
      </c>
      <c r="AA11" s="27">
        <v>916</v>
      </c>
      <c r="AB11" s="27">
        <v>692</v>
      </c>
      <c r="AC11" s="27">
        <v>1319</v>
      </c>
      <c r="AD11" s="30">
        <f>2528</f>
        <v>2528</v>
      </c>
      <c r="AE11" s="27">
        <f>1720</f>
        <v>1720</v>
      </c>
      <c r="AF11" s="27">
        <f>968</f>
        <v>968</v>
      </c>
      <c r="AG11" s="27">
        <f>-270</f>
        <v>-270</v>
      </c>
    </row>
    <row r="12" spans="1:45">
      <c r="A12" s="26" t="s">
        <v>74</v>
      </c>
      <c r="B12" s="333">
        <v>616.20000000000005</v>
      </c>
      <c r="C12" s="333">
        <v>655.4</v>
      </c>
      <c r="D12" s="333">
        <v>555.70000000000005</v>
      </c>
      <c r="E12" s="333">
        <v>475.1</v>
      </c>
      <c r="F12" s="333">
        <v>313.39999999999998</v>
      </c>
      <c r="G12" s="333">
        <v>275.89999999999998</v>
      </c>
      <c r="H12" s="333">
        <v>56.3</v>
      </c>
      <c r="I12" s="333">
        <v>166.6</v>
      </c>
      <c r="J12" s="333">
        <v>126</v>
      </c>
      <c r="K12" s="333">
        <v>135.1</v>
      </c>
      <c r="L12" s="333">
        <v>126.3</v>
      </c>
      <c r="M12" s="333">
        <v>88.6</v>
      </c>
      <c r="N12" s="28" t="s">
        <v>640</v>
      </c>
      <c r="O12" s="613" t="s">
        <v>74</v>
      </c>
      <c r="P12"/>
      <c r="Q12" s="22" t="s">
        <v>654</v>
      </c>
      <c r="R12" s="22" t="s">
        <v>655</v>
      </c>
      <c r="Z12" s="27">
        <v>-67</v>
      </c>
      <c r="AA12" s="27">
        <v>2512</v>
      </c>
      <c r="AB12" s="27">
        <v>2452</v>
      </c>
      <c r="AC12" s="27">
        <v>3789</v>
      </c>
      <c r="AD12" s="27">
        <v>5681</v>
      </c>
      <c r="AE12" s="27">
        <f>4928+24</f>
        <v>4952</v>
      </c>
      <c r="AF12" s="27">
        <v>2700</v>
      </c>
      <c r="AG12" s="27">
        <v>895</v>
      </c>
    </row>
    <row r="13" spans="1:45">
      <c r="B13" s="446">
        <f>SUM(B8:B11)</f>
        <v>616.20000000000005</v>
      </c>
      <c r="C13" s="446">
        <f>SUM(C8:C11)</f>
        <v>655</v>
      </c>
      <c r="D13" s="446">
        <f t="shared" ref="D13:M13" si="1">SUM(D8:D11)</f>
        <v>556</v>
      </c>
      <c r="E13" s="446">
        <f t="shared" si="1"/>
        <v>475</v>
      </c>
      <c r="F13" s="446">
        <f t="shared" si="1"/>
        <v>313.39999999999998</v>
      </c>
      <c r="G13" s="446">
        <f t="shared" si="1"/>
        <v>276</v>
      </c>
      <c r="H13" s="446">
        <f t="shared" si="1"/>
        <v>56</v>
      </c>
      <c r="I13" s="446">
        <f t="shared" si="1"/>
        <v>167</v>
      </c>
      <c r="J13" s="446">
        <f t="shared" si="1"/>
        <v>126</v>
      </c>
      <c r="K13" s="446">
        <f t="shared" si="1"/>
        <v>135</v>
      </c>
      <c r="L13" s="446">
        <f t="shared" si="1"/>
        <v>126</v>
      </c>
      <c r="M13" s="446">
        <f t="shared" si="1"/>
        <v>89</v>
      </c>
      <c r="N13"/>
      <c r="O13"/>
      <c r="P13"/>
      <c r="Z13" s="24">
        <f t="shared" ref="Z13:AG13" si="2">Z8-Z10-Z9-Z11</f>
        <v>-67</v>
      </c>
      <c r="AA13" s="24">
        <f t="shared" si="2"/>
        <v>2512</v>
      </c>
      <c r="AB13" s="24">
        <f t="shared" si="2"/>
        <v>2452</v>
      </c>
      <c r="AC13" s="24">
        <f t="shared" si="2"/>
        <v>3789</v>
      </c>
      <c r="AD13" s="24">
        <f t="shared" si="2"/>
        <v>5681</v>
      </c>
      <c r="AE13" s="24">
        <f t="shared" si="2"/>
        <v>4952</v>
      </c>
      <c r="AF13" s="24">
        <f t="shared" si="2"/>
        <v>2700</v>
      </c>
      <c r="AG13" s="24">
        <f t="shared" si="2"/>
        <v>895</v>
      </c>
    </row>
    <row r="14" spans="1:45" ht="15">
      <c r="A14" s="51" t="s">
        <v>656</v>
      </c>
      <c r="B14" s="332">
        <f>B12-B13</f>
        <v>0</v>
      </c>
      <c r="C14" s="332">
        <f>C12-C13</f>
        <v>0.39999999999997726</v>
      </c>
      <c r="D14" s="332">
        <f>D12-D13</f>
        <v>-0.29999999999995453</v>
      </c>
      <c r="E14" s="332">
        <f t="shared" ref="E14:M14" si="3">E12-E13</f>
        <v>0.10000000000002274</v>
      </c>
      <c r="F14" s="332">
        <f t="shared" si="3"/>
        <v>0</v>
      </c>
      <c r="G14" s="332">
        <f t="shared" si="3"/>
        <v>-0.10000000000002274</v>
      </c>
      <c r="H14" s="332">
        <f t="shared" si="3"/>
        <v>0.29999999999999716</v>
      </c>
      <c r="I14" s="332">
        <f t="shared" si="3"/>
        <v>-0.40000000000000568</v>
      </c>
      <c r="J14" s="332">
        <f t="shared" si="3"/>
        <v>0</v>
      </c>
      <c r="K14" s="332">
        <f t="shared" si="3"/>
        <v>9.9999999999994316E-2</v>
      </c>
      <c r="L14" s="332">
        <f t="shared" si="3"/>
        <v>0.29999999999999716</v>
      </c>
      <c r="M14" s="332">
        <f t="shared" si="3"/>
        <v>-0.40000000000000568</v>
      </c>
      <c r="N14"/>
      <c r="O14"/>
      <c r="P14"/>
      <c r="Z14" s="35">
        <f t="shared" ref="Z14:AG14" si="4">Z12-Z13</f>
        <v>0</v>
      </c>
      <c r="AA14" s="35">
        <f t="shared" si="4"/>
        <v>0</v>
      </c>
      <c r="AB14" s="35">
        <f t="shared" si="4"/>
        <v>0</v>
      </c>
      <c r="AC14" s="35">
        <f t="shared" si="4"/>
        <v>0</v>
      </c>
      <c r="AD14" s="35">
        <f t="shared" si="4"/>
        <v>0</v>
      </c>
      <c r="AE14" s="35">
        <f t="shared" si="4"/>
        <v>0</v>
      </c>
      <c r="AF14" s="35">
        <f t="shared" si="4"/>
        <v>0</v>
      </c>
      <c r="AG14" s="35">
        <f t="shared" si="4"/>
        <v>0</v>
      </c>
      <c r="AK14" s="617"/>
      <c r="AL14" s="617"/>
      <c r="AM14" s="617"/>
      <c r="AN14" s="617"/>
      <c r="AO14" s="617"/>
      <c r="AP14" s="617"/>
      <c r="AQ14" s="617"/>
      <c r="AR14" s="617"/>
      <c r="AS14" s="617"/>
    </row>
    <row r="15" spans="1:45">
      <c r="A15"/>
      <c r="B15" s="449"/>
      <c r="C15" s="449"/>
      <c r="D15" s="449"/>
      <c r="E15" s="449"/>
      <c r="F15" s="449"/>
      <c r="G15" s="449"/>
      <c r="H15" s="449"/>
      <c r="I15" s="449"/>
      <c r="J15" s="449"/>
      <c r="K15" s="449"/>
      <c r="L15" s="449"/>
      <c r="M15" s="449"/>
      <c r="N15"/>
      <c r="O15"/>
      <c r="P15"/>
      <c r="Z15" s="27"/>
      <c r="AA15" s="27"/>
      <c r="AB15" s="27"/>
      <c r="AC15" s="27"/>
      <c r="AD15" s="27"/>
      <c r="AE15" s="27"/>
      <c r="AF15" s="27"/>
      <c r="AG15" s="27"/>
    </row>
    <row r="16" spans="1:45">
      <c r="A16" s="26" t="s">
        <v>657</v>
      </c>
      <c r="B16" s="447">
        <v>961</v>
      </c>
      <c r="C16" s="447">
        <v>935</v>
      </c>
      <c r="D16" s="447">
        <v>872</v>
      </c>
      <c r="E16" s="447">
        <v>872</v>
      </c>
      <c r="F16" s="447">
        <v>872</v>
      </c>
      <c r="G16" s="447">
        <v>872</v>
      </c>
      <c r="H16" s="448">
        <v>872</v>
      </c>
      <c r="I16" s="447">
        <v>872</v>
      </c>
      <c r="J16" s="447">
        <v>872</v>
      </c>
      <c r="K16" s="447">
        <v>872</v>
      </c>
      <c r="L16" s="447">
        <v>872</v>
      </c>
      <c r="M16" s="447">
        <v>872</v>
      </c>
      <c r="N16" s="28"/>
      <c r="O16" s="613"/>
      <c r="P16"/>
      <c r="Z16" s="27"/>
      <c r="AA16" s="27"/>
      <c r="AB16" s="27"/>
      <c r="AC16" s="27"/>
      <c r="AD16" s="27"/>
      <c r="AE16" s="27"/>
      <c r="AF16" s="27"/>
      <c r="AG16" s="27"/>
    </row>
    <row r="17" spans="1:152">
      <c r="A17" s="26" t="s">
        <v>658</v>
      </c>
      <c r="B17" s="447">
        <v>961</v>
      </c>
      <c r="C17" s="447">
        <v>935</v>
      </c>
      <c r="D17" s="447">
        <v>872</v>
      </c>
      <c r="E17" s="447">
        <v>872</v>
      </c>
      <c r="F17" s="447">
        <v>872</v>
      </c>
      <c r="G17" s="447">
        <v>872</v>
      </c>
      <c r="H17" s="448">
        <v>872</v>
      </c>
      <c r="I17" s="447">
        <v>872</v>
      </c>
      <c r="J17" s="447">
        <v>872</v>
      </c>
      <c r="K17" s="447">
        <v>872</v>
      </c>
      <c r="L17" s="447">
        <v>872</v>
      </c>
      <c r="M17" s="447">
        <v>872</v>
      </c>
      <c r="N17" s="28"/>
      <c r="O17" s="613"/>
      <c r="P17"/>
      <c r="Z17" s="27"/>
      <c r="AA17" s="27"/>
      <c r="AB17" s="27"/>
      <c r="AC17" s="27"/>
      <c r="AD17" s="27"/>
      <c r="AE17" s="27"/>
      <c r="AF17" s="27"/>
      <c r="AG17" s="27"/>
    </row>
    <row r="18" spans="1:152" customFormat="1" ht="12.75">
      <c r="B18" s="449"/>
      <c r="C18" s="449"/>
      <c r="D18" s="449"/>
      <c r="E18" s="449"/>
      <c r="F18" s="449"/>
      <c r="G18" s="449"/>
      <c r="H18" s="449"/>
      <c r="I18" s="449"/>
      <c r="J18" s="449"/>
      <c r="K18" s="449"/>
      <c r="L18" s="449"/>
      <c r="M18" s="449"/>
    </row>
    <row r="19" spans="1:152">
      <c r="A19" s="26" t="s">
        <v>659</v>
      </c>
      <c r="B19" s="333">
        <v>0</v>
      </c>
      <c r="C19" s="333">
        <v>0</v>
      </c>
      <c r="D19" s="333">
        <f>+-0.22-0.099</f>
        <v>-0.31900000000000001</v>
      </c>
      <c r="E19" s="333">
        <v>0</v>
      </c>
      <c r="F19" s="333">
        <v>0</v>
      </c>
      <c r="G19" s="333">
        <v>0</v>
      </c>
      <c r="H19" s="333">
        <v>0</v>
      </c>
      <c r="I19" s="333">
        <v>0</v>
      </c>
      <c r="J19" s="333">
        <v>0</v>
      </c>
      <c r="K19" s="333">
        <v>0</v>
      </c>
      <c r="L19" s="333">
        <v>0</v>
      </c>
      <c r="M19" s="333">
        <v>0</v>
      </c>
      <c r="N19" s="28"/>
      <c r="O19" s="613"/>
      <c r="P19"/>
      <c r="Z19" s="27"/>
      <c r="AA19" s="27"/>
      <c r="AB19" s="27"/>
      <c r="AC19" s="27"/>
      <c r="AD19" s="27"/>
      <c r="AE19" s="27"/>
      <c r="AF19" s="27"/>
      <c r="AG19" s="27"/>
    </row>
    <row r="20" spans="1:152" ht="15">
      <c r="A20" s="10" t="s">
        <v>660</v>
      </c>
      <c r="B20" s="333">
        <f>355.238+258.598</f>
        <v>613.83600000000001</v>
      </c>
      <c r="C20" s="333">
        <f>-10.194+222.025</f>
        <v>211.83100000000002</v>
      </c>
      <c r="D20" s="333">
        <f>435.292+27.747</f>
        <v>463.03899999999999</v>
      </c>
      <c r="E20" s="333">
        <f>524.113+163.496</f>
        <v>687.60900000000004</v>
      </c>
      <c r="F20" s="333">
        <f>261.766+189.281</f>
        <v>451.04700000000003</v>
      </c>
      <c r="G20" s="333">
        <f>163.524+ 62.394</f>
        <v>225.91800000000001</v>
      </c>
      <c r="H20" s="443">
        <f>48.663+164.961</f>
        <v>213.62400000000002</v>
      </c>
      <c r="I20" s="333">
        <f>201.557+ 96.085</f>
        <v>297.642</v>
      </c>
      <c r="J20" s="333">
        <f>127.977+73.901</f>
        <v>201.87799999999999</v>
      </c>
      <c r="K20" s="333">
        <f>140.546+21.158</f>
        <v>161.70400000000001</v>
      </c>
      <c r="L20" s="333">
        <f>97.133+-2.612</f>
        <v>94.521000000000001</v>
      </c>
      <c r="M20" s="333">
        <f>56.052+0.598</f>
        <v>56.65</v>
      </c>
      <c r="N20" s="28"/>
      <c r="O20" s="613"/>
      <c r="P20"/>
      <c r="Z20" s="27"/>
      <c r="AA20" s="27"/>
      <c r="AB20" s="27"/>
      <c r="AC20" s="27"/>
      <c r="AD20" s="27"/>
      <c r="AE20" s="27"/>
      <c r="AF20" s="27"/>
      <c r="AG20" s="27"/>
    </row>
    <row r="21" spans="1:152" customFormat="1" ht="12.75">
      <c r="B21" s="449"/>
      <c r="C21" s="449"/>
      <c r="D21" s="449"/>
      <c r="E21" s="449"/>
      <c r="F21" s="449"/>
      <c r="G21" s="449"/>
      <c r="H21" s="449"/>
      <c r="I21" s="449"/>
      <c r="J21" s="449"/>
      <c r="K21" s="449"/>
      <c r="L21" s="449"/>
      <c r="M21" s="449"/>
    </row>
    <row r="22" spans="1:152">
      <c r="A22" s="22" t="s">
        <v>595</v>
      </c>
      <c r="B22" s="446">
        <f>B23-C23</f>
        <v>-1673.1000000000001</v>
      </c>
      <c r="C22" s="446">
        <f t="shared" ref="C22:H22" si="5">C23-D23</f>
        <v>-329.79999999999995</v>
      </c>
      <c r="D22" s="446">
        <f>D23-E23</f>
        <v>397</v>
      </c>
      <c r="E22" s="446">
        <f t="shared" si="5"/>
        <v>-14</v>
      </c>
      <c r="F22" s="446">
        <f t="shared" si="5"/>
        <v>-467</v>
      </c>
      <c r="G22" s="446">
        <f t="shared" si="5"/>
        <v>-210</v>
      </c>
      <c r="H22" s="446">
        <f t="shared" si="5"/>
        <v>139</v>
      </c>
      <c r="I22" s="446">
        <f>I23-J23</f>
        <v>-314</v>
      </c>
      <c r="J22" s="446">
        <f>J23-K23</f>
        <v>-253</v>
      </c>
      <c r="K22" s="446">
        <f>K23-L23</f>
        <v>100</v>
      </c>
      <c r="L22" s="446">
        <f>L23-M23</f>
        <v>-34</v>
      </c>
      <c r="M22" s="446">
        <f>M23-N23</f>
        <v>-412</v>
      </c>
      <c r="N22" s="34" t="s">
        <v>661</v>
      </c>
      <c r="O22" t="s">
        <v>570</v>
      </c>
      <c r="P22"/>
      <c r="Q22" s="22" t="s">
        <v>654</v>
      </c>
      <c r="Z22" s="27"/>
      <c r="AA22" s="27"/>
      <c r="AB22" s="27"/>
      <c r="AC22" s="27"/>
      <c r="AD22" s="30"/>
      <c r="AE22" s="27"/>
      <c r="AF22" s="27"/>
      <c r="AG22" s="27"/>
    </row>
    <row r="23" spans="1:152">
      <c r="A23" s="26" t="s">
        <v>662</v>
      </c>
      <c r="B23" s="333">
        <f t="shared" ref="B23:M23" si="6">B27-B42-B28</f>
        <v>-3070.9</v>
      </c>
      <c r="C23" s="333">
        <f t="shared" si="6"/>
        <v>-1397.8</v>
      </c>
      <c r="D23" s="333">
        <f t="shared" si="6"/>
        <v>-1068</v>
      </c>
      <c r="E23" s="333">
        <f t="shared" si="6"/>
        <v>-1465</v>
      </c>
      <c r="F23" s="333">
        <f t="shared" si="6"/>
        <v>-1451</v>
      </c>
      <c r="G23" s="333">
        <f t="shared" si="6"/>
        <v>-984</v>
      </c>
      <c r="H23" s="333">
        <f t="shared" si="6"/>
        <v>-774</v>
      </c>
      <c r="I23" s="333">
        <f t="shared" si="6"/>
        <v>-913</v>
      </c>
      <c r="J23" s="333">
        <f t="shared" si="6"/>
        <v>-599</v>
      </c>
      <c r="K23" s="333">
        <f>K27-K42-K28</f>
        <v>-346</v>
      </c>
      <c r="L23" s="333">
        <f t="shared" si="6"/>
        <v>-446</v>
      </c>
      <c r="M23" s="333">
        <f t="shared" si="6"/>
        <v>-412</v>
      </c>
      <c r="N23" s="34"/>
      <c r="O23"/>
      <c r="P23"/>
      <c r="Y23" s="22" t="str">
        <f>A33</f>
        <v>Property, Plant and Equipment</v>
      </c>
      <c r="Z23" s="22">
        <f t="shared" ref="Z23:AG23" si="7">B33</f>
        <v>17891</v>
      </c>
      <c r="AA23" s="22">
        <f t="shared" si="7"/>
        <v>14562</v>
      </c>
      <c r="AB23" s="22">
        <f t="shared" si="7"/>
        <v>13492</v>
      </c>
      <c r="AC23" s="22">
        <f t="shared" si="7"/>
        <v>13264</v>
      </c>
      <c r="AD23" s="22">
        <f t="shared" si="7"/>
        <v>13922</v>
      </c>
      <c r="AE23" s="22">
        <f t="shared" si="7"/>
        <v>13185</v>
      </c>
      <c r="AF23" s="22">
        <f t="shared" si="7"/>
        <v>13437</v>
      </c>
      <c r="AG23" s="22">
        <f t="shared" si="7"/>
        <v>12612</v>
      </c>
      <c r="AH23" s="333">
        <v>17891</v>
      </c>
      <c r="AI23" s="333">
        <v>14562</v>
      </c>
      <c r="AJ23" s="333">
        <v>13492</v>
      </c>
      <c r="AK23" s="333">
        <v>13264</v>
      </c>
      <c r="AL23" s="333">
        <v>13922</v>
      </c>
      <c r="AM23" s="333">
        <v>13185</v>
      </c>
      <c r="AN23" s="333">
        <v>13437</v>
      </c>
      <c r="AO23" s="333">
        <v>12612</v>
      </c>
      <c r="AP23" s="333">
        <v>11013</v>
      </c>
      <c r="AQ23" s="333">
        <v>10096</v>
      </c>
      <c r="AR23" s="333">
        <v>10537</v>
      </c>
      <c r="AS23" s="333">
        <v>10455</v>
      </c>
    </row>
    <row r="24" spans="1:152">
      <c r="A24" s="7">
        <v>2625</v>
      </c>
      <c r="B24" s="450">
        <v>2625</v>
      </c>
      <c r="C24" s="450">
        <v>2625</v>
      </c>
      <c r="D24" s="450">
        <v>2625</v>
      </c>
      <c r="E24" s="450">
        <v>2625</v>
      </c>
      <c r="F24" s="450">
        <v>2625</v>
      </c>
      <c r="G24" s="450">
        <v>2625</v>
      </c>
      <c r="H24" s="450">
        <v>2625</v>
      </c>
      <c r="I24" s="450">
        <v>2625</v>
      </c>
      <c r="J24" s="450">
        <v>2625</v>
      </c>
      <c r="K24" s="450">
        <v>2625</v>
      </c>
      <c r="L24" s="450">
        <v>2625</v>
      </c>
      <c r="M24" s="450">
        <v>2625</v>
      </c>
      <c r="N24" s="7">
        <v>2625</v>
      </c>
      <c r="O24"/>
      <c r="P24"/>
      <c r="Q24" s="22" t="s">
        <v>654</v>
      </c>
      <c r="R24" s="22" t="s">
        <v>663</v>
      </c>
      <c r="T24" s="22" t="s">
        <v>664</v>
      </c>
      <c r="Y24" s="22" t="s">
        <v>555</v>
      </c>
      <c r="Z24" s="27">
        <v>1799</v>
      </c>
      <c r="AA24" s="27">
        <v>1757</v>
      </c>
      <c r="AB24" s="27">
        <v>1620</v>
      </c>
      <c r="AC24" s="27">
        <v>1111</v>
      </c>
      <c r="AD24" s="27">
        <v>1617</v>
      </c>
      <c r="AE24" s="27">
        <v>1159</v>
      </c>
      <c r="AF24" s="27">
        <v>1084</v>
      </c>
      <c r="AG24" s="27">
        <v>1029</v>
      </c>
      <c r="AH24" s="22">
        <v>-6280</v>
      </c>
      <c r="AI24" s="22">
        <v>-5546</v>
      </c>
      <c r="AJ24" s="22">
        <v>-4942</v>
      </c>
      <c r="AK24" s="22">
        <v>-4994</v>
      </c>
      <c r="AL24" s="22">
        <v>-4974</v>
      </c>
      <c r="AM24" s="22">
        <v>-4353</v>
      </c>
    </row>
    <row r="25" spans="1:152" ht="15">
      <c r="A25" s="51" t="s">
        <v>474</v>
      </c>
      <c r="C25" s="664">
        <f>AVERAGE(B22:M22)</f>
        <v>-255.90833333333333</v>
      </c>
      <c r="D25" s="450">
        <v>2625</v>
      </c>
      <c r="E25" s="450">
        <v>2625</v>
      </c>
      <c r="F25" s="450">
        <v>2625</v>
      </c>
      <c r="G25" s="450">
        <v>2625</v>
      </c>
      <c r="H25" s="450">
        <v>2625</v>
      </c>
      <c r="I25" s="450">
        <v>2625</v>
      </c>
      <c r="J25" s="450">
        <v>2625</v>
      </c>
      <c r="K25" s="450">
        <v>2625</v>
      </c>
      <c r="L25" s="450">
        <v>2625</v>
      </c>
      <c r="M25" s="450">
        <v>2625</v>
      </c>
      <c r="N25" s="7">
        <v>2625</v>
      </c>
      <c r="O25"/>
      <c r="P25"/>
      <c r="Q25" s="22" t="s">
        <v>654</v>
      </c>
      <c r="R25" s="22" t="s">
        <v>665</v>
      </c>
      <c r="S25" s="22" t="s">
        <v>666</v>
      </c>
      <c r="T25" s="22" t="s">
        <v>667</v>
      </c>
      <c r="Y25" s="22" t="s">
        <v>668</v>
      </c>
      <c r="Z25" s="27">
        <v>23</v>
      </c>
      <c r="AA25" s="27">
        <f>-33+2025</f>
        <v>1992</v>
      </c>
      <c r="AB25" s="27">
        <v>3817</v>
      </c>
      <c r="AC25" s="27">
        <v>1776</v>
      </c>
      <c r="AD25" s="27">
        <v>-244</v>
      </c>
      <c r="AE25" s="27">
        <v>-312</v>
      </c>
      <c r="AF25" s="27">
        <v>-449</v>
      </c>
      <c r="AG25" s="27">
        <v>-110</v>
      </c>
      <c r="AH25" s="29">
        <f>AH23+AH24</f>
        <v>11611</v>
      </c>
      <c r="AI25" s="29">
        <f t="shared" ref="AI25:AM25" si="8">AI23+AI24</f>
        <v>9016</v>
      </c>
      <c r="AJ25" s="29">
        <f t="shared" si="8"/>
        <v>8550</v>
      </c>
      <c r="AK25" s="29">
        <f t="shared" si="8"/>
        <v>8270</v>
      </c>
      <c r="AL25" s="29">
        <f t="shared" si="8"/>
        <v>8948</v>
      </c>
      <c r="AM25" s="29">
        <f t="shared" si="8"/>
        <v>8832</v>
      </c>
    </row>
    <row r="26" spans="1:152" ht="15">
      <c r="A26" s="121" t="s">
        <v>669</v>
      </c>
      <c r="B26" s="528"/>
      <c r="C26" s="528"/>
      <c r="D26" s="528"/>
      <c r="E26" s="528"/>
      <c r="F26" s="528"/>
      <c r="G26" s="528"/>
      <c r="H26" s="528"/>
      <c r="I26" s="528"/>
      <c r="J26" s="528"/>
      <c r="K26" s="528"/>
      <c r="L26" s="528"/>
      <c r="M26" s="528"/>
      <c r="N26" s="7">
        <v>1922</v>
      </c>
      <c r="O26" s="7">
        <v>2625</v>
      </c>
      <c r="P26"/>
      <c r="Y26" s="22" t="s">
        <v>670</v>
      </c>
      <c r="Z26" s="27"/>
      <c r="AA26" s="27"/>
      <c r="AB26" s="27"/>
      <c r="AC26" s="27"/>
      <c r="AD26" s="27"/>
      <c r="AE26" s="27"/>
      <c r="AF26" s="27"/>
      <c r="AG26" s="27"/>
      <c r="AH26" s="22">
        <v>-648</v>
      </c>
      <c r="AI26" s="22">
        <v>-540</v>
      </c>
      <c r="AJ26" s="22">
        <v>-555</v>
      </c>
      <c r="AK26" s="22">
        <v>-551</v>
      </c>
      <c r="AL26" s="22">
        <v>-554</v>
      </c>
      <c r="AM26" s="22">
        <v>-530</v>
      </c>
    </row>
    <row r="27" spans="1:152" ht="15">
      <c r="A27" s="10" t="s">
        <v>671</v>
      </c>
      <c r="B27" s="332">
        <v>3556</v>
      </c>
      <c r="C27" s="332">
        <v>3211</v>
      </c>
      <c r="D27" s="332">
        <v>1532</v>
      </c>
      <c r="E27" s="332">
        <v>1575</v>
      </c>
      <c r="F27" s="332">
        <v>1352</v>
      </c>
      <c r="G27" s="332">
        <v>994</v>
      </c>
      <c r="H27" s="332">
        <v>1105</v>
      </c>
      <c r="I27" s="332">
        <v>1022</v>
      </c>
      <c r="J27" s="332">
        <v>972</v>
      </c>
      <c r="K27" s="332">
        <v>760</v>
      </c>
      <c r="L27" s="332">
        <v>937</v>
      </c>
      <c r="M27" s="332">
        <v>891</v>
      </c>
      <c r="N27" s="7"/>
      <c r="O27" s="613"/>
      <c r="P27"/>
      <c r="Y27" s="22" t="s">
        <v>672</v>
      </c>
      <c r="Z27" s="27"/>
      <c r="AA27" s="27"/>
      <c r="AB27" s="27"/>
      <c r="AC27" s="27"/>
      <c r="AD27" s="27"/>
      <c r="AE27" s="27"/>
      <c r="AF27" s="27"/>
      <c r="AG27" s="27"/>
      <c r="AH27" s="617">
        <f>-AH26/AH25</f>
        <v>5.580914649900956E-2</v>
      </c>
      <c r="AI27" s="617">
        <f t="shared" ref="AI27:AM27" si="9">-AI26/AI25</f>
        <v>5.9893522626441882E-2</v>
      </c>
      <c r="AJ27" s="617">
        <f t="shared" si="9"/>
        <v>6.491228070175438E-2</v>
      </c>
      <c r="AK27" s="617">
        <f t="shared" si="9"/>
        <v>6.6626360338573151E-2</v>
      </c>
      <c r="AL27" s="617">
        <f t="shared" si="9"/>
        <v>6.1913276709879304E-2</v>
      </c>
      <c r="AM27" s="617">
        <f t="shared" si="9"/>
        <v>6.0009057971014496E-2</v>
      </c>
    </row>
    <row r="28" spans="1:152" ht="15">
      <c r="A28" s="118" t="s">
        <v>301</v>
      </c>
      <c r="B28" s="333">
        <v>1171.9000000000001</v>
      </c>
      <c r="C28" s="333">
        <v>1003.8</v>
      </c>
      <c r="D28" s="333">
        <v>474</v>
      </c>
      <c r="E28" s="333">
        <v>582</v>
      </c>
      <c r="F28" s="333">
        <v>552</v>
      </c>
      <c r="G28" s="333">
        <v>388</v>
      </c>
      <c r="H28" s="333">
        <v>603</v>
      </c>
      <c r="I28" s="333">
        <v>437</v>
      </c>
      <c r="J28" s="333">
        <v>369</v>
      </c>
      <c r="K28" s="333">
        <v>255</v>
      </c>
      <c r="L28" s="333">
        <v>246</v>
      </c>
      <c r="M28" s="333">
        <v>220</v>
      </c>
      <c r="N28" s="37" t="s">
        <v>673</v>
      </c>
      <c r="O28" s="613" t="s">
        <v>301</v>
      </c>
      <c r="P28"/>
      <c r="Y28" s="22" t="s">
        <v>674</v>
      </c>
      <c r="Z28" s="36"/>
      <c r="AA28" s="36"/>
      <c r="AB28" s="36"/>
      <c r="AC28" s="36"/>
      <c r="AD28" s="36"/>
      <c r="AE28" s="35"/>
      <c r="AF28" s="35"/>
      <c r="AG28" s="35"/>
      <c r="AH28" s="618">
        <f>AVERAGE(AH27:AM27)</f>
        <v>6.1527274141112122E-2</v>
      </c>
    </row>
    <row r="29" spans="1:152" ht="15">
      <c r="A29" s="119" t="s">
        <v>604</v>
      </c>
      <c r="B29" s="333">
        <v>411.1</v>
      </c>
      <c r="C29" s="333">
        <v>393.4</v>
      </c>
      <c r="D29" s="333">
        <v>256</v>
      </c>
      <c r="E29" s="333">
        <v>284</v>
      </c>
      <c r="F29" s="333">
        <v>314</v>
      </c>
      <c r="G29" s="333">
        <v>323</v>
      </c>
      <c r="H29" s="333">
        <v>281</v>
      </c>
      <c r="I29" s="333">
        <v>260</v>
      </c>
      <c r="J29" s="333">
        <v>141</v>
      </c>
      <c r="K29" s="333">
        <v>202</v>
      </c>
      <c r="L29" s="333">
        <v>176</v>
      </c>
      <c r="M29" s="333">
        <v>146</v>
      </c>
      <c r="N29" s="37" t="s">
        <v>673</v>
      </c>
      <c r="O29" s="613" t="s">
        <v>604</v>
      </c>
      <c r="P29"/>
      <c r="Z29" s="36"/>
      <c r="AA29" s="36"/>
      <c r="AB29" s="36"/>
      <c r="AC29" s="36"/>
      <c r="AD29" s="36"/>
      <c r="AE29" s="35"/>
      <c r="AF29" s="35"/>
      <c r="AG29" s="35"/>
    </row>
    <row r="30" spans="1:152" ht="15">
      <c r="A30" s="118" t="s">
        <v>303</v>
      </c>
      <c r="B30" s="333">
        <v>253</v>
      </c>
      <c r="C30" s="333">
        <v>220</v>
      </c>
      <c r="D30" s="333">
        <v>55</v>
      </c>
      <c r="E30" s="333">
        <v>34</v>
      </c>
      <c r="F30" s="333">
        <v>36</v>
      </c>
      <c r="G30" s="333">
        <v>29</v>
      </c>
      <c r="H30" s="333">
        <v>24</v>
      </c>
      <c r="I30" s="333">
        <v>23</v>
      </c>
      <c r="J30" s="333">
        <v>21</v>
      </c>
      <c r="K30" s="333">
        <v>15</v>
      </c>
      <c r="L30" s="333">
        <v>16</v>
      </c>
      <c r="M30" s="333">
        <v>24</v>
      </c>
      <c r="N30" s="37" t="s">
        <v>673</v>
      </c>
      <c r="O30" s="613" t="s">
        <v>303</v>
      </c>
      <c r="P30"/>
      <c r="Q30" s="22" t="s">
        <v>675</v>
      </c>
      <c r="R30" s="22" t="s">
        <v>676</v>
      </c>
      <c r="Y30" s="10"/>
      <c r="Z30" s="10"/>
      <c r="AA30" s="10"/>
      <c r="AB30" s="10"/>
      <c r="AC30" s="10"/>
      <c r="AD30" s="10"/>
      <c r="AE30" s="10"/>
      <c r="AF30" s="10"/>
      <c r="AG30" s="10"/>
      <c r="AH30" s="10">
        <v>2022</v>
      </c>
      <c r="AI30" s="10">
        <f>AH30-1</f>
        <v>2021</v>
      </c>
      <c r="AJ30" s="10">
        <f t="shared" ref="AJ30:AR30" si="10">AI30-1</f>
        <v>2020</v>
      </c>
      <c r="AK30" s="10">
        <f t="shared" si="10"/>
        <v>2019</v>
      </c>
      <c r="AL30" s="10">
        <f t="shared" si="10"/>
        <v>2018</v>
      </c>
      <c r="AM30" s="10">
        <f t="shared" si="10"/>
        <v>2017</v>
      </c>
      <c r="AN30" s="10">
        <f t="shared" si="10"/>
        <v>2016</v>
      </c>
      <c r="AO30" s="10">
        <f t="shared" si="10"/>
        <v>2015</v>
      </c>
      <c r="AP30" s="10">
        <f t="shared" si="10"/>
        <v>2014</v>
      </c>
      <c r="AQ30" s="10">
        <f t="shared" si="10"/>
        <v>2013</v>
      </c>
      <c r="AR30" s="10">
        <f t="shared" si="10"/>
        <v>2012</v>
      </c>
      <c r="AS30" s="10">
        <f>AR30-1</f>
        <v>2011</v>
      </c>
    </row>
    <row r="31" spans="1:152" s="23" customFormat="1">
      <c r="A31" s="118" t="s">
        <v>677</v>
      </c>
      <c r="B31" s="333">
        <f>B27-SUM(B28:B30)</f>
        <v>1720</v>
      </c>
      <c r="C31" s="333">
        <f t="shared" ref="C31:M31" si="11">C27-SUM(C28:C30)</f>
        <v>1593.8000000000002</v>
      </c>
      <c r="D31" s="333">
        <f t="shared" si="11"/>
        <v>747</v>
      </c>
      <c r="E31" s="333">
        <f t="shared" si="11"/>
        <v>675</v>
      </c>
      <c r="F31" s="333">
        <f t="shared" si="11"/>
        <v>450</v>
      </c>
      <c r="G31" s="333">
        <f t="shared" si="11"/>
        <v>254</v>
      </c>
      <c r="H31" s="333">
        <f t="shared" si="11"/>
        <v>197</v>
      </c>
      <c r="I31" s="333">
        <f t="shared" si="11"/>
        <v>302</v>
      </c>
      <c r="J31" s="333">
        <f t="shared" si="11"/>
        <v>441</v>
      </c>
      <c r="K31" s="333">
        <f t="shared" si="11"/>
        <v>288</v>
      </c>
      <c r="L31" s="333">
        <f t="shared" si="11"/>
        <v>499</v>
      </c>
      <c r="M31" s="333">
        <f t="shared" si="11"/>
        <v>501</v>
      </c>
      <c r="N31" s="37" t="s">
        <v>673</v>
      </c>
      <c r="O31" s="613" t="s">
        <v>303</v>
      </c>
      <c r="P31"/>
      <c r="Q31" s="22" t="s">
        <v>675</v>
      </c>
      <c r="R31" s="22" t="s">
        <v>678</v>
      </c>
      <c r="S31" s="22" t="s">
        <v>679</v>
      </c>
      <c r="T31" s="22" t="s">
        <v>680</v>
      </c>
      <c r="U31" s="22"/>
      <c r="V31" s="22"/>
      <c r="W31" s="22"/>
      <c r="X31" s="22"/>
      <c r="Y31" s="22" t="s">
        <v>570</v>
      </c>
      <c r="Z31" s="22"/>
      <c r="AA31" s="22"/>
      <c r="AB31" s="22"/>
      <c r="AC31" s="22"/>
      <c r="AD31" s="22"/>
      <c r="AE31" s="22"/>
      <c r="AF31" s="22"/>
      <c r="AG31" s="22"/>
      <c r="AH31" s="29">
        <f>-B43+B30+B29</f>
        <v>-2254.9</v>
      </c>
      <c r="AI31" s="29">
        <f t="shared" ref="AI31:AS31" si="12">-C43+C30+C29</f>
        <v>-1075.5999999999999</v>
      </c>
      <c r="AJ31" s="29">
        <f t="shared" si="12"/>
        <v>-1035</v>
      </c>
      <c r="AK31" s="29">
        <f t="shared" si="12"/>
        <v>-951</v>
      </c>
      <c r="AL31" s="29">
        <f t="shared" si="12"/>
        <v>-826</v>
      </c>
      <c r="AM31" s="29">
        <f t="shared" si="12"/>
        <v>-333</v>
      </c>
      <c r="AN31" s="29">
        <f t="shared" si="12"/>
        <v>-505</v>
      </c>
      <c r="AO31" s="29">
        <f t="shared" si="12"/>
        <v>-504</v>
      </c>
      <c r="AP31" s="29">
        <f t="shared" si="12"/>
        <v>-526</v>
      </c>
      <c r="AQ31" s="29">
        <f t="shared" si="12"/>
        <v>-257</v>
      </c>
      <c r="AR31" s="29">
        <f t="shared" si="12"/>
        <v>-513</v>
      </c>
      <c r="AS31" s="29">
        <f t="shared" si="12"/>
        <v>-538</v>
      </c>
      <c r="AT31" s="22"/>
      <c r="AU31" s="22"/>
      <c r="AV31" s="22"/>
      <c r="AW31" s="22"/>
      <c r="AX31" s="22"/>
      <c r="AY31" s="22"/>
      <c r="AZ31" s="22"/>
      <c r="BA31" s="22"/>
      <c r="BB31" s="22"/>
      <c r="BC31" s="22"/>
      <c r="BD31" s="22"/>
      <c r="BE31" s="22"/>
      <c r="BF31" s="22"/>
      <c r="BG31" s="22"/>
      <c r="BH31" s="22"/>
      <c r="BI31" s="22"/>
      <c r="BJ31" s="22"/>
      <c r="BK31" s="22"/>
      <c r="BL31" s="22"/>
      <c r="BM31" s="22"/>
      <c r="BN31" s="22"/>
      <c r="BO31" s="22"/>
      <c r="BP31" s="22"/>
      <c r="BQ31" s="22"/>
      <c r="BR31" s="22"/>
      <c r="BS31" s="22"/>
      <c r="BT31" s="22"/>
      <c r="BU31" s="22"/>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row>
    <row r="32" spans="1:152" s="23" customFormat="1" ht="15">
      <c r="A32" s="10" t="s">
        <v>681</v>
      </c>
      <c r="B32" s="332">
        <f>B38-B27</f>
        <v>23937</v>
      </c>
      <c r="C32" s="332">
        <f>C38-C27</f>
        <v>18821</v>
      </c>
      <c r="D32" s="332">
        <f t="shared" ref="D32:M32" si="13">D38-D27</f>
        <v>16631</v>
      </c>
      <c r="E32" s="332">
        <f t="shared" si="13"/>
        <v>16118</v>
      </c>
      <c r="F32" s="332">
        <f t="shared" si="13"/>
        <v>16187</v>
      </c>
      <c r="G32" s="332">
        <f t="shared" si="13"/>
        <v>15230</v>
      </c>
      <c r="H32" s="332">
        <f t="shared" si="13"/>
        <v>15629</v>
      </c>
      <c r="I32" s="332">
        <f t="shared" si="13"/>
        <v>14714</v>
      </c>
      <c r="J32" s="332">
        <f>J38-J27</f>
        <v>13344</v>
      </c>
      <c r="K32" s="332">
        <f t="shared" si="13"/>
        <v>12298</v>
      </c>
      <c r="L32" s="332">
        <f t="shared" si="13"/>
        <v>12365</v>
      </c>
      <c r="M32" s="332">
        <f t="shared" si="13"/>
        <v>12154</v>
      </c>
      <c r="N32" s="37"/>
      <c r="O32"/>
      <c r="P32"/>
      <c r="Q32" s="22"/>
      <c r="R32" s="22"/>
      <c r="S32" s="22"/>
      <c r="T32" s="22"/>
      <c r="U32" s="22"/>
      <c r="V32" s="22"/>
      <c r="W32" s="22"/>
      <c r="X32" s="22"/>
      <c r="Y32" s="22"/>
      <c r="Z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c r="BO32" s="22"/>
      <c r="BP32" s="22"/>
      <c r="BQ32" s="22"/>
      <c r="BR32" s="22"/>
      <c r="BS32" s="22"/>
      <c r="BT32" s="22"/>
      <c r="BU32" s="22"/>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c r="DA32" s="22"/>
      <c r="DB32" s="22"/>
      <c r="DC32" s="22"/>
      <c r="DD32" s="22"/>
      <c r="DE32" s="22"/>
      <c r="DF32" s="22"/>
      <c r="DG32" s="22"/>
      <c r="DH32" s="22"/>
      <c r="DI32" s="22"/>
      <c r="DJ32" s="22"/>
      <c r="DK32" s="22"/>
      <c r="DL32" s="22"/>
      <c r="DM32" s="22"/>
      <c r="DN32" s="22"/>
      <c r="DO32" s="22"/>
      <c r="DP32" s="22"/>
      <c r="DQ32" s="22"/>
      <c r="DR32" s="22"/>
      <c r="DS32" s="22"/>
      <c r="DT32" s="22"/>
      <c r="DU32" s="22"/>
      <c r="DV32" s="22"/>
      <c r="DW32" s="22"/>
      <c r="DX32" s="22"/>
      <c r="DY32" s="22"/>
      <c r="DZ32" s="22"/>
      <c r="EA32" s="22"/>
      <c r="EB32" s="22"/>
      <c r="EC32" s="22"/>
      <c r="ED32" s="22"/>
      <c r="EE32" s="22"/>
      <c r="EF32" s="22"/>
      <c r="EG32" s="22"/>
      <c r="EH32" s="22"/>
      <c r="EI32" s="22"/>
      <c r="EJ32" s="22"/>
      <c r="EK32" s="22"/>
      <c r="EL32" s="22"/>
      <c r="EM32" s="22"/>
      <c r="EN32" s="22"/>
      <c r="EO32" s="22"/>
      <c r="EP32" s="22"/>
      <c r="EQ32" s="22"/>
      <c r="ER32" s="22"/>
      <c r="ES32" s="22"/>
      <c r="ET32" s="22"/>
      <c r="EU32" s="22"/>
      <c r="EV32" s="22"/>
    </row>
    <row r="33" spans="1:45">
      <c r="A33" s="120" t="s">
        <v>605</v>
      </c>
      <c r="B33" s="333">
        <v>17891</v>
      </c>
      <c r="C33" s="333">
        <v>14562</v>
      </c>
      <c r="D33" s="333">
        <v>13492</v>
      </c>
      <c r="E33" s="333">
        <v>13264</v>
      </c>
      <c r="F33" s="333">
        <v>13922</v>
      </c>
      <c r="G33" s="333">
        <v>13185</v>
      </c>
      <c r="H33" s="333">
        <v>13437</v>
      </c>
      <c r="I33" s="333">
        <v>12612</v>
      </c>
      <c r="J33" s="333">
        <v>11013</v>
      </c>
      <c r="K33" s="333">
        <v>10096</v>
      </c>
      <c r="L33" s="333">
        <v>10537</v>
      </c>
      <c r="M33" s="333">
        <v>10455</v>
      </c>
      <c r="N33" s="37"/>
      <c r="O33" s="613"/>
      <c r="P33"/>
      <c r="Q33" s="22" t="s">
        <v>675</v>
      </c>
      <c r="R33" s="22" t="s">
        <v>682</v>
      </c>
      <c r="Y33" s="22" t="s">
        <v>683</v>
      </c>
      <c r="AH33" s="29">
        <f t="shared" ref="AH33:AQ33" si="14">AH31-AI31</f>
        <v>-1179.3000000000002</v>
      </c>
      <c r="AI33" s="29">
        <f t="shared" si="14"/>
        <v>-40.599999999999909</v>
      </c>
      <c r="AJ33" s="29">
        <f t="shared" si="14"/>
        <v>-84</v>
      </c>
      <c r="AK33" s="29">
        <f t="shared" si="14"/>
        <v>-125</v>
      </c>
      <c r="AL33" s="29">
        <f t="shared" si="14"/>
        <v>-493</v>
      </c>
      <c r="AM33" s="29">
        <f t="shared" si="14"/>
        <v>172</v>
      </c>
      <c r="AN33" s="29">
        <f t="shared" si="14"/>
        <v>-1</v>
      </c>
      <c r="AO33" s="29">
        <f t="shared" si="14"/>
        <v>22</v>
      </c>
      <c r="AP33" s="29">
        <f t="shared" si="14"/>
        <v>-269</v>
      </c>
      <c r="AQ33" s="29">
        <f t="shared" si="14"/>
        <v>256</v>
      </c>
      <c r="AR33" s="29">
        <f>AR31-AS31</f>
        <v>25</v>
      </c>
    </row>
    <row r="34" spans="1:45">
      <c r="A34" s="120" t="s">
        <v>684</v>
      </c>
      <c r="B34" s="333" t="s">
        <v>508</v>
      </c>
      <c r="C34" s="333" t="s">
        <v>508</v>
      </c>
      <c r="D34" s="333" t="s">
        <v>508</v>
      </c>
      <c r="E34" s="333" t="s">
        <v>508</v>
      </c>
      <c r="F34" s="333">
        <v>1149</v>
      </c>
      <c r="G34" s="333">
        <v>1107</v>
      </c>
      <c r="H34" s="333">
        <v>1272</v>
      </c>
      <c r="I34" s="333">
        <v>1026</v>
      </c>
      <c r="J34" s="333">
        <v>777</v>
      </c>
      <c r="K34" s="333">
        <v>742</v>
      </c>
      <c r="L34" s="333">
        <v>978</v>
      </c>
      <c r="M34" s="333">
        <v>919</v>
      </c>
      <c r="N34" s="37"/>
      <c r="O34" s="613"/>
      <c r="P34"/>
      <c r="Z34" s="27"/>
      <c r="AA34" s="27"/>
      <c r="AB34" s="27"/>
      <c r="AC34" s="27"/>
      <c r="AD34" s="27"/>
      <c r="AE34" s="27"/>
      <c r="AF34" s="27"/>
      <c r="AG34" s="27"/>
    </row>
    <row r="35" spans="1:45">
      <c r="A35" s="120" t="s">
        <v>685</v>
      </c>
      <c r="B35" s="333">
        <f>1157+43</f>
        <v>1200</v>
      </c>
      <c r="C35" s="333">
        <f>989+15</f>
        <v>1004</v>
      </c>
      <c r="D35" s="333">
        <f>475+13</f>
        <v>488</v>
      </c>
      <c r="E35" s="333">
        <f>460+16</f>
        <v>476</v>
      </c>
      <c r="F35" s="333">
        <f>349+8</f>
        <v>357</v>
      </c>
      <c r="G35" s="333">
        <v>311</v>
      </c>
      <c r="H35" s="333">
        <v>348</v>
      </c>
      <c r="I35" s="333">
        <v>340</v>
      </c>
      <c r="J35" s="333">
        <v>376</v>
      </c>
      <c r="K35" s="333">
        <f>339+7</f>
        <v>346</v>
      </c>
      <c r="L35" s="333">
        <v>47</v>
      </c>
      <c r="M35" s="333">
        <v>51</v>
      </c>
      <c r="N35" s="37"/>
      <c r="O35" s="613"/>
      <c r="P35"/>
      <c r="Z35" s="27"/>
      <c r="AA35" s="27"/>
      <c r="AB35" s="27"/>
      <c r="AC35" s="27"/>
      <c r="AD35" s="27"/>
      <c r="AE35" s="27"/>
      <c r="AF35" s="27"/>
      <c r="AG35" s="27"/>
      <c r="AH35" s="29">
        <f>AVERAGE(B62:M62)</f>
        <v>-19.166666666666668</v>
      </c>
    </row>
    <row r="36" spans="1:45">
      <c r="A36" s="120" t="s">
        <v>686</v>
      </c>
      <c r="B36" s="333">
        <f>B32-SUM(B33:B35)</f>
        <v>4846</v>
      </c>
      <c r="C36" s="333">
        <f t="shared" ref="C36" si="15">C32-SUM(C33:C35)</f>
        <v>3255</v>
      </c>
      <c r="D36" s="333">
        <f t="shared" ref="D36" si="16">D32-SUM(D33:D35)</f>
        <v>2651</v>
      </c>
      <c r="E36" s="333">
        <f>E32-SUM(E33:E35)</f>
        <v>2378</v>
      </c>
      <c r="F36" s="333">
        <f t="shared" ref="F36" si="17">F32-SUM(F33:F35)</f>
        <v>759</v>
      </c>
      <c r="G36" s="333">
        <f t="shared" ref="G36" si="18">G32-SUM(G33:G35)</f>
        <v>627</v>
      </c>
      <c r="H36" s="333">
        <f t="shared" ref="H36" si="19">H32-SUM(H33:H35)</f>
        <v>572</v>
      </c>
      <c r="I36" s="333">
        <f t="shared" ref="I36" si="20">I32-SUM(I33:I35)</f>
        <v>736</v>
      </c>
      <c r="J36" s="333">
        <f t="shared" ref="J36" si="21">J32-SUM(J33:J35)</f>
        <v>1178</v>
      </c>
      <c r="K36" s="333">
        <f t="shared" ref="K36" si="22">K32-SUM(K33:K35)</f>
        <v>1114</v>
      </c>
      <c r="L36" s="333">
        <f t="shared" ref="L36" si="23">L32-SUM(L33:L35)</f>
        <v>803</v>
      </c>
      <c r="M36" s="333">
        <f t="shared" ref="M36" si="24">M32-SUM(M33:M35)</f>
        <v>729</v>
      </c>
      <c r="N36" s="37" t="s">
        <v>673</v>
      </c>
      <c r="O36" s="613" t="s">
        <v>605</v>
      </c>
      <c r="P36"/>
      <c r="Z36" s="27"/>
      <c r="AA36" s="27"/>
      <c r="AB36" s="27"/>
      <c r="AC36" s="27"/>
      <c r="AD36" s="27"/>
      <c r="AE36" s="27"/>
      <c r="AF36" s="27"/>
      <c r="AG36" s="27"/>
    </row>
    <row r="37" spans="1:45">
      <c r="A37" s="22" t="s">
        <v>606</v>
      </c>
      <c r="B37" s="446">
        <f>B31+B36</f>
        <v>6566</v>
      </c>
      <c r="C37" s="446">
        <f>C31+C36</f>
        <v>4848.8</v>
      </c>
      <c r="D37" s="446">
        <f t="shared" ref="D37:M37" si="25">D31+D36</f>
        <v>3398</v>
      </c>
      <c r="E37" s="446">
        <f t="shared" si="25"/>
        <v>3053</v>
      </c>
      <c r="F37" s="446">
        <f t="shared" si="25"/>
        <v>1209</v>
      </c>
      <c r="G37" s="446">
        <f t="shared" si="25"/>
        <v>881</v>
      </c>
      <c r="H37" s="446">
        <f t="shared" si="25"/>
        <v>769</v>
      </c>
      <c r="I37" s="446">
        <f t="shared" si="25"/>
        <v>1038</v>
      </c>
      <c r="J37" s="446">
        <f t="shared" si="25"/>
        <v>1619</v>
      </c>
      <c r="K37" s="446">
        <f t="shared" si="25"/>
        <v>1402</v>
      </c>
      <c r="L37" s="446">
        <f t="shared" si="25"/>
        <v>1302</v>
      </c>
      <c r="M37" s="446">
        <f t="shared" si="25"/>
        <v>1230</v>
      </c>
      <c r="N37" s="37" t="s">
        <v>673</v>
      </c>
      <c r="O37" s="613"/>
      <c r="P37"/>
      <c r="Y37" s="22" t="s">
        <v>687</v>
      </c>
      <c r="Z37" s="27"/>
      <c r="AA37" s="27"/>
      <c r="AB37" s="27"/>
      <c r="AC37" s="27"/>
      <c r="AD37" s="27"/>
      <c r="AE37" s="27"/>
      <c r="AF37" s="27"/>
      <c r="AG37" s="27"/>
      <c r="AH37" s="617">
        <f>-B65/B6</f>
        <v>1.4527824620573355</v>
      </c>
      <c r="AI37" s="617">
        <f>-C65/C6</f>
        <v>1.4516496018202503</v>
      </c>
      <c r="AJ37" s="617">
        <f t="shared" ref="AJ37:AS37" si="26">-D65/D6</f>
        <v>1.2131715771230502</v>
      </c>
      <c r="AK37" s="617">
        <f t="shared" si="26"/>
        <v>0.60800438596491224</v>
      </c>
      <c r="AL37" s="617">
        <f t="shared" si="26"/>
        <v>0.75145871397418518</v>
      </c>
      <c r="AM37" s="617">
        <f t="shared" si="26"/>
        <v>0.55125328371278459</v>
      </c>
      <c r="AN37" s="617">
        <f t="shared" si="26"/>
        <v>0.62333414102253459</v>
      </c>
      <c r="AO37" s="617">
        <f t="shared" si="26"/>
        <v>0.57203619909502257</v>
      </c>
      <c r="AP37" s="617">
        <f t="shared" si="26"/>
        <v>0.42139891908827443</v>
      </c>
      <c r="AQ37" s="617">
        <f t="shared" si="26"/>
        <v>0.32895236648180509</v>
      </c>
      <c r="AR37" s="617">
        <f t="shared" si="26"/>
        <v>0.47622753093144504</v>
      </c>
      <c r="AS37" s="617">
        <f t="shared" si="26"/>
        <v>0.72148203592814375</v>
      </c>
    </row>
    <row r="38" spans="1:45" ht="15">
      <c r="A38" s="10" t="s">
        <v>46</v>
      </c>
      <c r="B38" s="332">
        <v>27493</v>
      </c>
      <c r="C38" s="332">
        <v>22032</v>
      </c>
      <c r="D38" s="332">
        <v>18163</v>
      </c>
      <c r="E38" s="332">
        <v>17693</v>
      </c>
      <c r="F38" s="332">
        <v>17539</v>
      </c>
      <c r="G38" s="332">
        <v>16224</v>
      </c>
      <c r="H38" s="332">
        <v>16734</v>
      </c>
      <c r="I38" s="332">
        <v>15736</v>
      </c>
      <c r="J38" s="332">
        <v>14316</v>
      </c>
      <c r="K38" s="332">
        <v>13058</v>
      </c>
      <c r="L38" s="332">
        <v>13302</v>
      </c>
      <c r="M38" s="332">
        <v>13045</v>
      </c>
      <c r="N38" s="37" t="s">
        <v>673</v>
      </c>
      <c r="O38" s="613" t="s">
        <v>46</v>
      </c>
      <c r="P38"/>
      <c r="Q38" s="22" t="s">
        <v>675</v>
      </c>
      <c r="R38" s="22" t="s">
        <v>688</v>
      </c>
      <c r="Y38" s="22" t="s">
        <v>689</v>
      </c>
      <c r="Z38" s="27">
        <v>15322</v>
      </c>
      <c r="AA38" s="27">
        <v>16090</v>
      </c>
      <c r="AB38" s="27">
        <f>16577</f>
        <v>16577</v>
      </c>
      <c r="AC38" s="27">
        <v>17075</v>
      </c>
      <c r="AD38" s="27">
        <v>16461</v>
      </c>
      <c r="AE38" s="27">
        <v>14395</v>
      </c>
      <c r="AF38" s="27">
        <v>12539</v>
      </c>
      <c r="AG38" s="27">
        <v>12386</v>
      </c>
      <c r="AH38" s="618">
        <f>AVERAGE(AH37:AS37)</f>
        <v>0.76431260143331203</v>
      </c>
    </row>
    <row r="39" spans="1:45">
      <c r="B39" s="446"/>
      <c r="C39" s="446"/>
      <c r="D39" s="446"/>
      <c r="E39" s="446"/>
      <c r="F39" s="446"/>
      <c r="G39" s="446"/>
      <c r="H39" s="446"/>
      <c r="I39" s="446"/>
      <c r="J39" s="446"/>
      <c r="K39" s="446"/>
      <c r="L39" s="446"/>
      <c r="M39" s="446"/>
      <c r="N39" s="37" t="s">
        <v>673</v>
      </c>
      <c r="O39"/>
      <c r="P39"/>
      <c r="Y39" s="22" t="s">
        <v>690</v>
      </c>
      <c r="Z39" s="24">
        <f t="shared" ref="Z39:AG39" si="27">Z40-SUM(Z30:Z38)</f>
        <v>59382</v>
      </c>
      <c r="AA39" s="24">
        <f t="shared" si="27"/>
        <v>62252</v>
      </c>
      <c r="AB39" s="24">
        <f t="shared" si="27"/>
        <v>68104</v>
      </c>
      <c r="AC39" s="24">
        <f t="shared" si="27"/>
        <v>67821</v>
      </c>
      <c r="AD39" s="24">
        <f t="shared" si="27"/>
        <v>72895</v>
      </c>
      <c r="AE39" s="24">
        <f t="shared" si="27"/>
        <v>67051</v>
      </c>
      <c r="AF39" s="24">
        <f t="shared" si="27"/>
        <v>51481</v>
      </c>
      <c r="AG39" s="24">
        <f t="shared" si="27"/>
        <v>47652</v>
      </c>
      <c r="AH39" s="618">
        <f>AVERAGE(AH37:AJ37)</f>
        <v>1.3725345470002122</v>
      </c>
    </row>
    <row r="40" spans="1:45" ht="15">
      <c r="B40" s="529"/>
      <c r="C40" s="446"/>
      <c r="D40" s="446"/>
      <c r="E40" s="446"/>
      <c r="F40" s="446"/>
      <c r="G40" s="446"/>
      <c r="H40" s="446"/>
      <c r="I40" s="446"/>
      <c r="J40" s="446"/>
      <c r="K40" s="446"/>
      <c r="L40" s="446"/>
      <c r="M40" s="446"/>
      <c r="N40" s="37" t="s">
        <v>673</v>
      </c>
      <c r="O40"/>
      <c r="P40"/>
      <c r="Q40" s="22" t="s">
        <v>675</v>
      </c>
      <c r="R40" s="22" t="s">
        <v>691</v>
      </c>
      <c r="Y40" s="22" t="s">
        <v>692</v>
      </c>
      <c r="Z40" s="38">
        <v>74704</v>
      </c>
      <c r="AA40" s="38">
        <v>78342</v>
      </c>
      <c r="AB40" s="38">
        <v>84681</v>
      </c>
      <c r="AC40" s="38">
        <v>84896</v>
      </c>
      <c r="AD40" s="38">
        <v>89356</v>
      </c>
      <c r="AE40" s="38">
        <v>81446</v>
      </c>
      <c r="AF40" s="38">
        <v>64020</v>
      </c>
      <c r="AG40" s="38">
        <v>60038</v>
      </c>
      <c r="AH40" s="617">
        <f>-B10/(B44+B48)</f>
        <v>2.9237012987012985E-2</v>
      </c>
      <c r="AI40" s="617">
        <f t="shared" ref="AI40:AS40" si="28">-C10/(C44+C48)</f>
        <v>3.2417718386537987E-2</v>
      </c>
      <c r="AJ40" s="617">
        <f t="shared" si="28"/>
        <v>3.1416265518115022E-2</v>
      </c>
      <c r="AK40" s="617">
        <f t="shared" si="28"/>
        <v>5.0921861281826165E-2</v>
      </c>
      <c r="AL40" s="617">
        <f t="shared" si="28"/>
        <v>3.643835616438356E-2</v>
      </c>
      <c r="AM40" s="617">
        <f t="shared" si="28"/>
        <v>4.4485634847080631E-2</v>
      </c>
      <c r="AN40" s="617">
        <f t="shared" si="28"/>
        <v>4.668232530827951E-2</v>
      </c>
      <c r="AO40" s="617">
        <f t="shared" si="28"/>
        <v>3.4360189573459717E-2</v>
      </c>
      <c r="AP40" s="617">
        <f t="shared" si="28"/>
        <v>3.9477057164829528E-2</v>
      </c>
      <c r="AQ40" s="617">
        <f t="shared" si="28"/>
        <v>6.0390097524381098E-2</v>
      </c>
      <c r="AR40" s="617">
        <f t="shared" si="28"/>
        <v>5.6788848735157459E-2</v>
      </c>
      <c r="AS40" s="617">
        <f t="shared" si="28"/>
        <v>5.4887611082070048E-2</v>
      </c>
    </row>
    <row r="41" spans="1:45" ht="15">
      <c r="A41" s="121" t="s">
        <v>693</v>
      </c>
      <c r="B41" s="332"/>
      <c r="C41" s="332"/>
      <c r="D41" s="332"/>
      <c r="E41" s="332"/>
      <c r="F41" s="332"/>
      <c r="G41" s="332"/>
      <c r="H41" s="332"/>
      <c r="I41" s="332"/>
      <c r="J41" s="332"/>
      <c r="K41" s="332"/>
      <c r="L41" s="332"/>
      <c r="M41" s="332"/>
      <c r="N41" s="37" t="s">
        <v>673</v>
      </c>
      <c r="O41"/>
      <c r="P41"/>
      <c r="Y41" s="22" t="s">
        <v>674</v>
      </c>
      <c r="Z41" s="29"/>
      <c r="AA41" s="29"/>
      <c r="AB41" s="29"/>
      <c r="AC41" s="29"/>
      <c r="AD41" s="29"/>
      <c r="AE41" s="29"/>
      <c r="AF41" s="29"/>
      <c r="AG41" s="29"/>
      <c r="AH41" s="618">
        <f>AVERAGE(AH40:AS40)</f>
        <v>4.3125248214427814E-2</v>
      </c>
    </row>
    <row r="42" spans="1:45" ht="15">
      <c r="A42" s="10" t="s">
        <v>307</v>
      </c>
      <c r="B42" s="332">
        <v>5455</v>
      </c>
      <c r="C42" s="332">
        <v>3605</v>
      </c>
      <c r="D42" s="332">
        <v>2126</v>
      </c>
      <c r="E42" s="332">
        <v>2458</v>
      </c>
      <c r="F42" s="332">
        <v>2251</v>
      </c>
      <c r="G42" s="332">
        <v>1590</v>
      </c>
      <c r="H42" s="332">
        <v>1276</v>
      </c>
      <c r="I42" s="332">
        <v>1498</v>
      </c>
      <c r="J42" s="332">
        <v>1202</v>
      </c>
      <c r="K42" s="332">
        <v>851</v>
      </c>
      <c r="L42" s="332">
        <v>1137</v>
      </c>
      <c r="M42" s="332">
        <v>1083</v>
      </c>
      <c r="N42" s="37" t="s">
        <v>673</v>
      </c>
      <c r="O42" s="613" t="s">
        <v>307</v>
      </c>
      <c r="P42"/>
      <c r="Z42" s="29"/>
      <c r="AA42" s="29"/>
      <c r="AB42" s="29"/>
      <c r="AC42" s="29"/>
      <c r="AD42" s="29"/>
      <c r="AE42" s="29"/>
      <c r="AF42" s="29"/>
      <c r="AG42" s="29"/>
    </row>
    <row r="43" spans="1:45">
      <c r="A43" s="118" t="s">
        <v>694</v>
      </c>
      <c r="B43" s="333">
        <v>2919</v>
      </c>
      <c r="C43" s="333">
        <v>1689</v>
      </c>
      <c r="D43" s="333">
        <v>1346</v>
      </c>
      <c r="E43" s="333">
        <v>1269</v>
      </c>
      <c r="F43" s="333">
        <v>1176</v>
      </c>
      <c r="G43" s="333">
        <v>685</v>
      </c>
      <c r="H43" s="333">
        <v>810</v>
      </c>
      <c r="I43" s="333">
        <v>787</v>
      </c>
      <c r="J43" s="333">
        <v>688</v>
      </c>
      <c r="K43" s="333">
        <v>474</v>
      </c>
      <c r="L43" s="333">
        <v>705</v>
      </c>
      <c r="M43" s="333">
        <v>708</v>
      </c>
      <c r="N43" s="37"/>
      <c r="O43" s="613"/>
      <c r="P43"/>
      <c r="Z43" s="31"/>
      <c r="AA43" s="31"/>
      <c r="AB43" s="31"/>
      <c r="AC43" s="31"/>
      <c r="AD43" s="31"/>
      <c r="AE43" s="31"/>
      <c r="AF43" s="31"/>
      <c r="AG43" s="31"/>
    </row>
    <row r="44" spans="1:45" s="10" customFormat="1" ht="15">
      <c r="A44" s="26" t="s">
        <v>608</v>
      </c>
      <c r="B44" s="333">
        <v>1290</v>
      </c>
      <c r="C44" s="333">
        <v>688</v>
      </c>
      <c r="D44" s="333">
        <v>497</v>
      </c>
      <c r="E44" s="333">
        <v>818</v>
      </c>
      <c r="F44" s="333">
        <v>442</v>
      </c>
      <c r="G44" s="333">
        <v>428</v>
      </c>
      <c r="H44" s="333">
        <v>113</v>
      </c>
      <c r="I44" s="333">
        <v>388</v>
      </c>
      <c r="J44" s="333">
        <v>185</v>
      </c>
      <c r="K44" s="333">
        <v>145</v>
      </c>
      <c r="L44" s="333">
        <v>217</v>
      </c>
      <c r="M44" s="333">
        <v>135</v>
      </c>
      <c r="N44" s="37" t="s">
        <v>673</v>
      </c>
      <c r="O44" s="613" t="s">
        <v>695</v>
      </c>
      <c r="P44"/>
      <c r="Q44" s="22" t="s">
        <v>675</v>
      </c>
      <c r="R44" s="10" t="s">
        <v>696</v>
      </c>
      <c r="Y44" s="22" t="s">
        <v>697</v>
      </c>
      <c r="Z44" s="24" t="e">
        <f>#REF!-Z46</f>
        <v>#REF!</v>
      </c>
      <c r="AA44" s="24" t="e">
        <f>#REF!-AA46</f>
        <v>#REF!</v>
      </c>
      <c r="AB44" s="24" t="e">
        <f>#REF!-AB46</f>
        <v>#REF!</v>
      </c>
      <c r="AC44" s="24" t="e">
        <f>#REF!-AC46</f>
        <v>#REF!</v>
      </c>
      <c r="AD44" s="24" t="e">
        <f>#REF!-AD46</f>
        <v>#REF!</v>
      </c>
      <c r="AE44" s="24" t="e">
        <f>#REF!-AE46</f>
        <v>#REF!</v>
      </c>
      <c r="AF44" s="24" t="e">
        <f>#REF!-AF46</f>
        <v>#REF!</v>
      </c>
      <c r="AG44" s="24" t="e">
        <f>#REF!-AG46</f>
        <v>#REF!</v>
      </c>
      <c r="AH44" s="22">
        <f>DCF!D44/DCF!D12</f>
        <v>2.286922764934237</v>
      </c>
      <c r="AI44" s="22">
        <f>DCF!E44/DCF!E12</f>
        <v>2.3639873639873636</v>
      </c>
      <c r="AJ44" s="22">
        <f>DCF!F44/DCF!F12</f>
        <v>3.1059345535219078</v>
      </c>
      <c r="AK44" s="22"/>
      <c r="AL44" s="22"/>
      <c r="AM44" s="22"/>
      <c r="AN44" s="22"/>
      <c r="AO44" s="22"/>
      <c r="AP44" s="22"/>
      <c r="AQ44" s="22"/>
      <c r="AR44" s="22"/>
      <c r="AS44" s="22"/>
    </row>
    <row r="45" spans="1:45" s="10" customFormat="1" ht="15">
      <c r="A45" s="26" t="s">
        <v>609</v>
      </c>
      <c r="B45" s="333"/>
      <c r="C45" s="333"/>
      <c r="D45" s="333"/>
      <c r="E45" s="333"/>
      <c r="F45" s="333"/>
      <c r="G45" s="333"/>
      <c r="H45" s="333"/>
      <c r="I45" s="333"/>
      <c r="J45" s="333"/>
      <c r="K45" s="333"/>
      <c r="L45" s="333"/>
      <c r="M45" s="333"/>
      <c r="N45" s="37"/>
      <c r="O45" s="614"/>
      <c r="P45"/>
      <c r="Q45" s="22"/>
      <c r="Y45" s="10" t="s">
        <v>674</v>
      </c>
      <c r="Z45" s="38" t="e">
        <f>61491-#REF!</f>
        <v>#REF!</v>
      </c>
      <c r="AA45" s="38" t="e">
        <f>63457-#REF!</f>
        <v>#REF!</v>
      </c>
      <c r="AB45" s="38" t="e">
        <f>67855-#REF!</f>
        <v>#REF!</v>
      </c>
      <c r="AC45" s="38">
        <v>36721</v>
      </c>
      <c r="AD45" s="38">
        <v>41973</v>
      </c>
      <c r="AE45" s="38">
        <f>8415+16529+10956+3583</f>
        <v>39483</v>
      </c>
      <c r="AF45" s="38">
        <f>4505+15932+7584+2654</f>
        <v>30675</v>
      </c>
      <c r="AG45" s="38">
        <f>5652+16195+7420+2179</f>
        <v>31446</v>
      </c>
      <c r="AH45" s="10">
        <f>AVERAGE(AH44:AJ44)</f>
        <v>2.5856148941478359</v>
      </c>
    </row>
    <row r="46" spans="1:45">
      <c r="A46" s="118" t="s">
        <v>610</v>
      </c>
      <c r="B46" s="333">
        <v>1010</v>
      </c>
      <c r="C46" s="333">
        <v>968</v>
      </c>
      <c r="D46" s="333">
        <v>168</v>
      </c>
      <c r="E46" s="333">
        <v>245</v>
      </c>
      <c r="F46" s="333">
        <v>540</v>
      </c>
      <c r="G46" s="333">
        <v>381</v>
      </c>
      <c r="H46" s="333">
        <v>259</v>
      </c>
      <c r="I46" s="333">
        <v>202</v>
      </c>
      <c r="J46" s="333">
        <v>272</v>
      </c>
      <c r="K46" s="333">
        <v>135</v>
      </c>
      <c r="L46" s="333">
        <v>158</v>
      </c>
      <c r="M46" s="333">
        <v>189</v>
      </c>
      <c r="N46" s="37" t="s">
        <v>673</v>
      </c>
      <c r="O46" s="613"/>
      <c r="P46"/>
      <c r="R46" s="22" t="s">
        <v>698</v>
      </c>
      <c r="Z46" s="31"/>
      <c r="AA46" s="31"/>
      <c r="AB46" s="31"/>
      <c r="AC46" s="31"/>
      <c r="AD46" s="31"/>
      <c r="AE46" s="31"/>
      <c r="AF46" s="31"/>
      <c r="AG46" s="31"/>
      <c r="AH46" s="618"/>
    </row>
    <row r="47" spans="1:45" ht="15">
      <c r="A47" s="10" t="s">
        <v>611</v>
      </c>
      <c r="B47" s="332">
        <f>B51-B42</f>
        <v>11467</v>
      </c>
      <c r="C47" s="332">
        <f>C51-C42</f>
        <v>8252</v>
      </c>
      <c r="D47" s="332">
        <f t="shared" ref="D47:M47" si="29">D51-D42</f>
        <v>7413</v>
      </c>
      <c r="E47" s="332">
        <f t="shared" si="29"/>
        <v>6900</v>
      </c>
      <c r="F47" s="332">
        <f t="shared" si="29"/>
        <v>7165</v>
      </c>
      <c r="G47" s="332">
        <f t="shared" si="29"/>
        <v>6739</v>
      </c>
      <c r="H47" s="332">
        <f t="shared" si="29"/>
        <v>7885</v>
      </c>
      <c r="I47" s="332">
        <f t="shared" si="29"/>
        <v>7404</v>
      </c>
      <c r="J47" s="332">
        <f t="shared" si="29"/>
        <v>6784</v>
      </c>
      <c r="K47" s="332">
        <f t="shared" si="29"/>
        <v>6118</v>
      </c>
      <c r="L47" s="332">
        <f t="shared" si="29"/>
        <v>6416</v>
      </c>
      <c r="M47" s="332">
        <f t="shared" si="29"/>
        <v>6508</v>
      </c>
      <c r="N47" s="37" t="s">
        <v>673</v>
      </c>
      <c r="O47" s="613" t="s">
        <v>699</v>
      </c>
      <c r="P47"/>
      <c r="Y47" s="22" t="s">
        <v>700</v>
      </c>
      <c r="AH47" s="29">
        <f>B66</f>
        <v>-1170</v>
      </c>
      <c r="AI47" s="29">
        <f t="shared" ref="AI47:AS47" si="30">C66</f>
        <v>-88</v>
      </c>
      <c r="AJ47" s="29">
        <f t="shared" si="30"/>
        <v>-580</v>
      </c>
      <c r="AK47" s="29">
        <f t="shared" si="30"/>
        <v>-13</v>
      </c>
      <c r="AL47" s="29">
        <f t="shared" si="30"/>
        <v>0</v>
      </c>
      <c r="AM47" s="29">
        <f t="shared" si="30"/>
        <v>-12</v>
      </c>
      <c r="AN47" s="29">
        <f t="shared" si="30"/>
        <v>-53</v>
      </c>
      <c r="AO47" s="29">
        <f t="shared" si="30"/>
        <v>-159</v>
      </c>
      <c r="AP47" s="29">
        <f t="shared" si="30"/>
        <v>-20</v>
      </c>
      <c r="AQ47" s="29">
        <f t="shared" si="30"/>
        <v>-47</v>
      </c>
      <c r="AR47" s="29">
        <f t="shared" si="30"/>
        <v>-29</v>
      </c>
      <c r="AS47" s="29">
        <f t="shared" si="30"/>
        <v>-263</v>
      </c>
    </row>
    <row r="48" spans="1:45">
      <c r="A48" s="26" t="s">
        <v>612</v>
      </c>
      <c r="B48" s="333">
        <v>4870</v>
      </c>
      <c r="C48" s="333">
        <v>3353</v>
      </c>
      <c r="D48" s="333">
        <v>3450</v>
      </c>
      <c r="E48" s="333">
        <v>2599</v>
      </c>
      <c r="F48" s="333">
        <v>3208</v>
      </c>
      <c r="G48" s="333">
        <v>2809</v>
      </c>
      <c r="H48" s="333">
        <v>3293</v>
      </c>
      <c r="I48" s="333">
        <v>3832</v>
      </c>
      <c r="J48" s="333">
        <v>3716</v>
      </c>
      <c r="K48" s="333">
        <v>2521</v>
      </c>
      <c r="L48" s="333">
        <v>3657</v>
      </c>
      <c r="M48" s="333">
        <v>3691</v>
      </c>
      <c r="N48" s="37" t="s">
        <v>673</v>
      </c>
      <c r="O48" s="613" t="s">
        <v>701</v>
      </c>
      <c r="P48"/>
      <c r="Y48" s="22" t="s">
        <v>702</v>
      </c>
      <c r="AH48" s="617">
        <f>-AH47/-B65</f>
        <v>0.33952408589669181</v>
      </c>
      <c r="AI48" s="617">
        <f t="shared" ref="AI48:AS48" si="31">-AI47/-C65</f>
        <v>3.4482758620689655E-2</v>
      </c>
      <c r="AJ48" s="617">
        <f t="shared" si="31"/>
        <v>0.27619047619047621</v>
      </c>
      <c r="AK48" s="617">
        <f t="shared" si="31"/>
        <v>1.1722272317403066E-2</v>
      </c>
      <c r="AL48" s="617">
        <f t="shared" si="31"/>
        <v>0</v>
      </c>
      <c r="AM48" s="617">
        <f t="shared" si="31"/>
        <v>1.1913626209977662E-2</v>
      </c>
      <c r="AN48" s="617">
        <f t="shared" si="31"/>
        <v>5.1506316812439258E-2</v>
      </c>
      <c r="AO48" s="617">
        <f t="shared" si="31"/>
        <v>0.17967319818292768</v>
      </c>
      <c r="AP48" s="617">
        <f t="shared" si="31"/>
        <v>3.717472118959108E-2</v>
      </c>
      <c r="AQ48" s="617">
        <f t="shared" si="31"/>
        <v>0.10854503464203233</v>
      </c>
      <c r="AR48" s="617">
        <f t="shared" si="31"/>
        <v>4.7385620915032678E-2</v>
      </c>
      <c r="AS48" s="617">
        <f t="shared" si="31"/>
        <v>0.34106235086627246</v>
      </c>
    </row>
    <row r="49" spans="1:45" s="10" customFormat="1" ht="15">
      <c r="A49" s="26" t="s">
        <v>613</v>
      </c>
      <c r="B49" s="333"/>
      <c r="C49" s="333"/>
      <c r="D49" s="333"/>
      <c r="E49" s="333"/>
      <c r="F49" s="333"/>
      <c r="G49" s="333"/>
      <c r="H49" s="333"/>
      <c r="I49" s="333"/>
      <c r="J49" s="333"/>
      <c r="K49" s="333"/>
      <c r="L49" s="333"/>
      <c r="M49" s="333"/>
      <c r="N49" s="37"/>
      <c r="O49" s="614"/>
      <c r="P49"/>
      <c r="Q49" s="22" t="s">
        <v>675</v>
      </c>
      <c r="R49" s="10" t="s">
        <v>703</v>
      </c>
      <c r="Y49" s="10" t="s">
        <v>704</v>
      </c>
      <c r="AH49" s="620">
        <f>-AH47/B33</f>
        <v>6.5396009166620084E-2</v>
      </c>
      <c r="AI49" s="620">
        <f t="shared" ref="AI49:AS49" si="32">-AI47/C33</f>
        <v>6.0431259442384287E-3</v>
      </c>
      <c r="AJ49" s="620">
        <f t="shared" si="32"/>
        <v>4.2988437592647498E-2</v>
      </c>
      <c r="AK49" s="620">
        <f t="shared" si="32"/>
        <v>9.8009650180940888E-4</v>
      </c>
      <c r="AL49" s="620">
        <f t="shared" si="32"/>
        <v>0</v>
      </c>
      <c r="AM49" s="620">
        <f t="shared" si="32"/>
        <v>9.1012514220705344E-4</v>
      </c>
      <c r="AN49" s="620">
        <f t="shared" si="32"/>
        <v>3.9443328123837168E-3</v>
      </c>
      <c r="AO49" s="620">
        <f t="shared" si="32"/>
        <v>1.2607040913415794E-2</v>
      </c>
      <c r="AP49" s="620">
        <f t="shared" si="32"/>
        <v>1.8160355942976483E-3</v>
      </c>
      <c r="AQ49" s="620">
        <f t="shared" si="32"/>
        <v>4.6553090332805075E-3</v>
      </c>
      <c r="AR49" s="620">
        <f t="shared" si="32"/>
        <v>2.7522065103919523E-3</v>
      </c>
      <c r="AS49" s="620">
        <f t="shared" si="32"/>
        <v>2.5155428024868483E-2</v>
      </c>
    </row>
    <row r="50" spans="1:45">
      <c r="A50" s="118" t="s">
        <v>614</v>
      </c>
      <c r="B50" s="333">
        <v>2844</v>
      </c>
      <c r="C50" s="333">
        <v>1231</v>
      </c>
      <c r="D50" s="333">
        <v>853</v>
      </c>
      <c r="E50" s="333">
        <v>924</v>
      </c>
      <c r="F50" s="333">
        <v>554</v>
      </c>
      <c r="G50" s="333">
        <v>650</v>
      </c>
      <c r="H50" s="333">
        <v>1154</v>
      </c>
      <c r="I50" s="333">
        <v>713</v>
      </c>
      <c r="J50" s="333">
        <v>431</v>
      </c>
      <c r="K50" s="333">
        <v>239</v>
      </c>
      <c r="L50" s="333">
        <v>259</v>
      </c>
      <c r="M50" s="333">
        <v>189</v>
      </c>
      <c r="N50" s="37" t="s">
        <v>673</v>
      </c>
      <c r="O50" s="613" t="s">
        <v>705</v>
      </c>
      <c r="P50"/>
      <c r="R50" s="22" t="s">
        <v>706</v>
      </c>
      <c r="Y50" s="22" t="s">
        <v>707</v>
      </c>
      <c r="Z50" s="27">
        <v>22818</v>
      </c>
      <c r="AA50" s="27">
        <v>25169</v>
      </c>
      <c r="AB50" s="27">
        <v>27784</v>
      </c>
      <c r="AC50" s="27">
        <v>26719</v>
      </c>
      <c r="AD50" s="27">
        <v>27752</v>
      </c>
      <c r="AE50" s="27">
        <v>24944</v>
      </c>
      <c r="AF50" s="27">
        <v>20437</v>
      </c>
      <c r="AG50" s="27">
        <v>21847</v>
      </c>
      <c r="AH50" s="688">
        <f>-AH47/C12</f>
        <v>1.7851693622215441</v>
      </c>
      <c r="AI50" s="688"/>
    </row>
    <row r="51" spans="1:45" ht="15">
      <c r="A51" s="10" t="s">
        <v>52</v>
      </c>
      <c r="B51" s="332">
        <v>16922</v>
      </c>
      <c r="C51" s="332">
        <v>11857</v>
      </c>
      <c r="D51" s="332">
        <v>9539</v>
      </c>
      <c r="E51" s="332">
        <v>9358</v>
      </c>
      <c r="F51" s="332">
        <v>9416</v>
      </c>
      <c r="G51" s="332">
        <v>8329</v>
      </c>
      <c r="H51" s="332">
        <v>9161</v>
      </c>
      <c r="I51" s="332">
        <v>8902</v>
      </c>
      <c r="J51" s="332">
        <v>7986</v>
      </c>
      <c r="K51" s="332">
        <v>6969</v>
      </c>
      <c r="L51" s="332">
        <v>7553</v>
      </c>
      <c r="M51" s="332">
        <v>7591</v>
      </c>
      <c r="N51" s="37" t="s">
        <v>673</v>
      </c>
      <c r="O51" s="613" t="s">
        <v>52</v>
      </c>
      <c r="P51"/>
      <c r="Z51" s="27"/>
      <c r="AA51" s="27"/>
      <c r="AB51" s="27"/>
      <c r="AC51" s="27"/>
      <c r="AD51" s="27"/>
      <c r="AE51" s="27"/>
      <c r="AF51" s="27"/>
      <c r="AG51" s="27"/>
    </row>
    <row r="52" spans="1:45">
      <c r="B52" s="446"/>
      <c r="C52" s="446"/>
      <c r="D52" s="446"/>
      <c r="E52" s="446"/>
      <c r="F52" s="446"/>
      <c r="G52" s="446"/>
      <c r="H52" s="446"/>
      <c r="I52" s="446"/>
      <c r="J52" s="446"/>
      <c r="K52" s="446"/>
      <c r="L52" s="446"/>
      <c r="M52" s="446"/>
      <c r="N52" s="37" t="s">
        <v>673</v>
      </c>
      <c r="O52"/>
      <c r="P52"/>
      <c r="Y52" s="22" t="s">
        <v>708</v>
      </c>
      <c r="Z52" s="24" t="e">
        <f t="shared" ref="Z52:AG52" si="33">Z45-Z50</f>
        <v>#REF!</v>
      </c>
      <c r="AA52" s="24" t="e">
        <f t="shared" si="33"/>
        <v>#REF!</v>
      </c>
      <c r="AB52" s="24" t="e">
        <f t="shared" si="33"/>
        <v>#REF!</v>
      </c>
      <c r="AC52" s="24">
        <f t="shared" si="33"/>
        <v>10002</v>
      </c>
      <c r="AD52" s="24">
        <f t="shared" si="33"/>
        <v>14221</v>
      </c>
      <c r="AE52" s="24">
        <f t="shared" si="33"/>
        <v>14539</v>
      </c>
      <c r="AF52" s="24">
        <f t="shared" si="33"/>
        <v>10238</v>
      </c>
      <c r="AG52" s="24">
        <f t="shared" si="33"/>
        <v>9599</v>
      </c>
      <c r="AH52" s="617">
        <f>-B73/B12</f>
        <v>0.25154170723790975</v>
      </c>
      <c r="AI52" s="617">
        <f>-C73/C12</f>
        <v>0.17393957888312481</v>
      </c>
      <c r="AJ52" s="617">
        <f t="shared" ref="AJ52:AS52" si="34">-D73/D12</f>
        <v>0.19254993701637574</v>
      </c>
      <c r="AK52" s="617">
        <f t="shared" si="34"/>
        <v>0.20837718375078929</v>
      </c>
      <c r="AL52" s="617">
        <f t="shared" si="34"/>
        <v>0.36056158264199112</v>
      </c>
      <c r="AM52" s="617">
        <f t="shared" si="34"/>
        <v>0.33345415005436757</v>
      </c>
      <c r="AN52" s="617">
        <f t="shared" si="34"/>
        <v>1.5097690941385435</v>
      </c>
      <c r="AO52" s="617">
        <f t="shared" si="34"/>
        <v>0.46818727490996398</v>
      </c>
      <c r="AP52" s="617">
        <f t="shared" si="34"/>
        <v>0.53968253968253965</v>
      </c>
      <c r="AQ52" s="617">
        <f t="shared" si="34"/>
        <v>0.38490007401924503</v>
      </c>
      <c r="AR52" s="617">
        <f t="shared" si="34"/>
        <v>3.9588281868566902E-2</v>
      </c>
      <c r="AS52" s="617">
        <f t="shared" si="34"/>
        <v>7.900677200902935E-2</v>
      </c>
    </row>
    <row r="53" spans="1:45" s="10" customFormat="1" ht="15">
      <c r="A53" s="22"/>
      <c r="B53" s="446">
        <f>B48+B44</f>
        <v>6160</v>
      </c>
      <c r="C53" s="446">
        <f>C48+C44</f>
        <v>4041</v>
      </c>
      <c r="D53" s="446">
        <f>D48+D44</f>
        <v>3947</v>
      </c>
      <c r="E53" s="446"/>
      <c r="F53" s="446"/>
      <c r="G53" s="446"/>
      <c r="H53" s="446"/>
      <c r="I53" s="446"/>
      <c r="J53" s="446"/>
      <c r="K53" s="446"/>
      <c r="L53" s="446"/>
      <c r="M53" s="446"/>
      <c r="N53" s="37" t="s">
        <v>673</v>
      </c>
      <c r="O53"/>
      <c r="P53"/>
      <c r="Y53" s="10" t="s">
        <v>674</v>
      </c>
      <c r="Z53" s="35" t="e">
        <f>+Z45+#REF!</f>
        <v>#REF!</v>
      </c>
      <c r="AA53" s="35" t="e">
        <f>+AA45+#REF!</f>
        <v>#REF!</v>
      </c>
      <c r="AB53" s="35" t="e">
        <f>+AB45+#REF!</f>
        <v>#REF!</v>
      </c>
      <c r="AC53" s="35" t="e">
        <f>#REF!+AC45</f>
        <v>#REF!</v>
      </c>
      <c r="AD53" s="35" t="e">
        <f>AD45+#REF!</f>
        <v>#REF!</v>
      </c>
      <c r="AE53" s="35" t="e">
        <f>AE45+#REF!</f>
        <v>#REF!</v>
      </c>
      <c r="AF53" s="35" t="e">
        <f>AF45+#REF!</f>
        <v>#REF!</v>
      </c>
      <c r="AG53" s="35" t="e">
        <f>AG45+#REF!</f>
        <v>#REF!</v>
      </c>
      <c r="AH53" s="621">
        <f>AVERAGE(AH52:AM52)</f>
        <v>0.253404023264093</v>
      </c>
    </row>
    <row r="54" spans="1:45" ht="15">
      <c r="A54" s="39" t="s">
        <v>616</v>
      </c>
      <c r="B54" s="653">
        <v>1545</v>
      </c>
      <c r="C54" s="653">
        <v>1408</v>
      </c>
      <c r="D54" s="653">
        <v>1276</v>
      </c>
      <c r="E54" s="653">
        <v>1362</v>
      </c>
      <c r="F54" s="653">
        <v>1613</v>
      </c>
      <c r="G54" s="653">
        <v>1560</v>
      </c>
      <c r="H54" s="653">
        <v>1448</v>
      </c>
      <c r="I54" s="653">
        <v>863</v>
      </c>
      <c r="J54" s="653">
        <v>549</v>
      </c>
      <c r="K54" s="653">
        <v>418</v>
      </c>
      <c r="L54" s="653">
        <v>325</v>
      </c>
      <c r="M54" s="653">
        <v>127</v>
      </c>
      <c r="N54" s="37" t="s">
        <v>673</v>
      </c>
      <c r="O54" s="613" t="s">
        <v>616</v>
      </c>
      <c r="P54"/>
    </row>
    <row r="55" spans="1:45">
      <c r="B55" s="446"/>
      <c r="C55" s="446"/>
      <c r="D55" s="446"/>
      <c r="E55" s="446"/>
      <c r="F55" s="446"/>
      <c r="G55" s="446"/>
      <c r="H55" s="446"/>
      <c r="I55" s="446"/>
      <c r="J55" s="446"/>
      <c r="K55" s="446"/>
      <c r="L55" s="446"/>
      <c r="M55" s="446"/>
      <c r="N55" s="37" t="s">
        <v>673</v>
      </c>
      <c r="O55"/>
      <c r="P55"/>
      <c r="Y55" s="22" t="s">
        <v>709</v>
      </c>
      <c r="AH55" s="29">
        <f>AVERAGE(B62:L62)</f>
        <v>-18.818181818181817</v>
      </c>
    </row>
    <row r="56" spans="1:45" s="10" customFormat="1" ht="15">
      <c r="A56" s="10" t="s">
        <v>617</v>
      </c>
      <c r="B56" s="332">
        <f>B38-B51-B54</f>
        <v>9026</v>
      </c>
      <c r="C56" s="332">
        <f t="shared" ref="C56:M56" si="35">C38-C51-C54</f>
        <v>8767</v>
      </c>
      <c r="D56" s="332">
        <f t="shared" si="35"/>
        <v>7348</v>
      </c>
      <c r="E56" s="332">
        <f>E38-E51-E54</f>
        <v>6973</v>
      </c>
      <c r="F56" s="332">
        <f t="shared" si="35"/>
        <v>6510</v>
      </c>
      <c r="G56" s="332">
        <f t="shared" si="35"/>
        <v>6335</v>
      </c>
      <c r="H56" s="332">
        <f t="shared" si="35"/>
        <v>6125</v>
      </c>
      <c r="I56" s="332">
        <f t="shared" si="35"/>
        <v>5971</v>
      </c>
      <c r="J56" s="332">
        <f>J38-J51-J54</f>
        <v>5781</v>
      </c>
      <c r="K56" s="332">
        <f>K38-K51-K54</f>
        <v>5671</v>
      </c>
      <c r="L56" s="332">
        <f t="shared" si="35"/>
        <v>5424</v>
      </c>
      <c r="M56" s="332">
        <f t="shared" si="35"/>
        <v>5327</v>
      </c>
      <c r="N56" s="37" t="s">
        <v>673</v>
      </c>
      <c r="O56" s="613"/>
      <c r="P56"/>
      <c r="Q56" s="22" t="s">
        <v>675</v>
      </c>
      <c r="R56" s="10" t="s">
        <v>710</v>
      </c>
    </row>
    <row r="57" spans="1:45" ht="15">
      <c r="A57" s="10"/>
      <c r="B57" s="332"/>
      <c r="C57" s="332"/>
      <c r="D57" s="332"/>
      <c r="E57" s="332"/>
      <c r="F57" s="332"/>
      <c r="G57" s="332"/>
      <c r="H57" s="332"/>
      <c r="I57" s="332"/>
      <c r="J57" s="332"/>
      <c r="K57" s="332"/>
      <c r="L57" s="332"/>
      <c r="M57" s="332"/>
      <c r="N57" s="37"/>
      <c r="O57"/>
      <c r="P57"/>
    </row>
    <row r="58" spans="1:45" ht="15">
      <c r="A58" s="51" t="s">
        <v>711</v>
      </c>
      <c r="B58" s="332"/>
      <c r="C58" s="332"/>
      <c r="D58" s="332"/>
      <c r="E58" s="332"/>
      <c r="F58" s="332"/>
      <c r="G58" s="332"/>
      <c r="H58" s="332"/>
      <c r="I58" s="332"/>
      <c r="J58" s="332"/>
      <c r="K58" s="332"/>
      <c r="L58" s="332"/>
      <c r="M58" s="332"/>
      <c r="N58" s="37"/>
      <c r="O58"/>
      <c r="P58"/>
    </row>
    <row r="59" spans="1:45" ht="15">
      <c r="A59" s="10" t="s">
        <v>137</v>
      </c>
      <c r="B59" s="332">
        <v>1049</v>
      </c>
      <c r="C59" s="332">
        <v>811</v>
      </c>
      <c r="D59" s="332">
        <v>908</v>
      </c>
      <c r="E59" s="332">
        <v>1090</v>
      </c>
      <c r="F59" s="332">
        <v>985</v>
      </c>
      <c r="G59" s="332">
        <v>981</v>
      </c>
      <c r="H59" s="332">
        <v>934</v>
      </c>
      <c r="I59" s="332">
        <v>757</v>
      </c>
      <c r="J59" s="332">
        <v>707</v>
      </c>
      <c r="K59" s="332">
        <v>677</v>
      </c>
      <c r="L59" s="332">
        <v>666</v>
      </c>
      <c r="M59" s="332">
        <v>643</v>
      </c>
      <c r="N59" s="37"/>
      <c r="O59" s="613"/>
      <c r="P59"/>
      <c r="AH59" s="617">
        <f>95/B12</f>
        <v>0.15417072379097693</v>
      </c>
    </row>
    <row r="60" spans="1:45">
      <c r="A60" s="26" t="s">
        <v>74</v>
      </c>
      <c r="B60" s="333">
        <f>B12</f>
        <v>616.20000000000005</v>
      </c>
      <c r="C60" s="333">
        <f t="shared" ref="C60:L60" si="36">C12</f>
        <v>655.4</v>
      </c>
      <c r="D60" s="333">
        <f t="shared" si="36"/>
        <v>555.70000000000005</v>
      </c>
      <c r="E60" s="333">
        <f t="shared" si="36"/>
        <v>475.1</v>
      </c>
      <c r="F60" s="333">
        <f t="shared" si="36"/>
        <v>313.39999999999998</v>
      </c>
      <c r="G60" s="333">
        <f t="shared" si="36"/>
        <v>275.89999999999998</v>
      </c>
      <c r="H60" s="333">
        <f>H12</f>
        <v>56.3</v>
      </c>
      <c r="I60" s="333">
        <f t="shared" si="36"/>
        <v>166.6</v>
      </c>
      <c r="J60" s="333">
        <f t="shared" si="36"/>
        <v>126</v>
      </c>
      <c r="K60" s="333">
        <f t="shared" si="36"/>
        <v>135.1</v>
      </c>
      <c r="L60" s="333">
        <f t="shared" si="36"/>
        <v>126.3</v>
      </c>
      <c r="M60" s="333">
        <f>M12</f>
        <v>88.6</v>
      </c>
      <c r="N60" s="37"/>
      <c r="O60" s="613"/>
      <c r="P60"/>
    </row>
    <row r="61" spans="1:45">
      <c r="A61" s="118" t="s">
        <v>64</v>
      </c>
      <c r="B61" s="333">
        <v>716.3</v>
      </c>
      <c r="C61" s="333">
        <v>623.29999999999995</v>
      </c>
      <c r="D61" s="333">
        <v>616.1</v>
      </c>
      <c r="E61" s="333">
        <v>593.5</v>
      </c>
      <c r="F61" s="333">
        <v>555.20000000000005</v>
      </c>
      <c r="G61" s="333">
        <v>532.6</v>
      </c>
      <c r="H61" s="333">
        <v>621.1</v>
      </c>
      <c r="I61" s="333">
        <v>565.79999999999995</v>
      </c>
      <c r="J61" s="333">
        <v>472.5</v>
      </c>
      <c r="K61" s="333">
        <v>452.5</v>
      </c>
      <c r="L61" s="333">
        <v>502.8</v>
      </c>
      <c r="M61" s="333">
        <v>433</v>
      </c>
      <c r="N61" s="37"/>
      <c r="O61" s="613"/>
      <c r="P61"/>
      <c r="AH61" s="617">
        <f>-B10/B28</f>
        <v>0.15368205478283128</v>
      </c>
      <c r="AI61" s="617">
        <f t="shared" ref="AI61:AS61" si="37">-C10/C28</f>
        <v>0.13050408447897988</v>
      </c>
      <c r="AJ61" s="617">
        <f t="shared" si="37"/>
        <v>0.26160337552742619</v>
      </c>
      <c r="AK61" s="617">
        <f t="shared" si="37"/>
        <v>0.29896907216494845</v>
      </c>
      <c r="AL61" s="617">
        <f t="shared" si="37"/>
        <v>0.24094202898550723</v>
      </c>
      <c r="AM61" s="617">
        <f t="shared" si="37"/>
        <v>0.37113402061855671</v>
      </c>
      <c r="AN61" s="617">
        <f t="shared" si="37"/>
        <v>0.26368159203980102</v>
      </c>
      <c r="AO61" s="617">
        <f t="shared" si="37"/>
        <v>0.33180778032036612</v>
      </c>
      <c r="AP61" s="617">
        <f t="shared" si="37"/>
        <v>0.41734417344173441</v>
      </c>
      <c r="AQ61" s="617">
        <f t="shared" si="37"/>
        <v>0.63137254901960782</v>
      </c>
      <c r="AR61" s="617">
        <f t="shared" si="37"/>
        <v>0.89430894308943087</v>
      </c>
      <c r="AS61" s="617">
        <f t="shared" si="37"/>
        <v>0.95454545454545459</v>
      </c>
    </row>
    <row r="62" spans="1:45">
      <c r="A62" s="118" t="s">
        <v>712</v>
      </c>
      <c r="B62" s="333">
        <v>-249</v>
      </c>
      <c r="C62" s="333">
        <v>-194</v>
      </c>
      <c r="D62" s="333">
        <v>552</v>
      </c>
      <c r="E62" s="333">
        <v>-100</v>
      </c>
      <c r="F62" s="333">
        <v>2</v>
      </c>
      <c r="G62" s="333">
        <v>-62</v>
      </c>
      <c r="H62" s="333">
        <v>-43</v>
      </c>
      <c r="I62" s="333">
        <v>-127</v>
      </c>
      <c r="J62" s="333">
        <v>192</v>
      </c>
      <c r="K62" s="333">
        <v>-180</v>
      </c>
      <c r="L62" s="333">
        <v>2</v>
      </c>
      <c r="M62" s="333">
        <v>-23</v>
      </c>
      <c r="N62" s="37"/>
      <c r="O62" s="613"/>
      <c r="P62"/>
      <c r="AH62" s="618">
        <f>AVERAGE(AH61:AS61)</f>
        <v>0.41249126075122033</v>
      </c>
    </row>
    <row r="63" spans="1:45">
      <c r="A63" s="118" t="s">
        <v>713</v>
      </c>
      <c r="B63" s="333">
        <f>B59-B60-B61-B62</f>
        <v>-34.5</v>
      </c>
      <c r="C63" s="333">
        <f t="shared" ref="C63" si="38">C59-C60-C61-C62</f>
        <v>-273.69999999999993</v>
      </c>
      <c r="D63" s="333">
        <f>D59-D60-D61-D62</f>
        <v>-815.80000000000007</v>
      </c>
      <c r="E63" s="333">
        <f t="shared" ref="E63:M63" si="39">E59-E60-E61-E62</f>
        <v>121.39999999999998</v>
      </c>
      <c r="F63" s="333">
        <f t="shared" si="39"/>
        <v>114.39999999999998</v>
      </c>
      <c r="G63" s="333">
        <f t="shared" si="39"/>
        <v>234.5</v>
      </c>
      <c r="H63" s="333">
        <f t="shared" si="39"/>
        <v>299.60000000000002</v>
      </c>
      <c r="I63" s="333">
        <f t="shared" si="39"/>
        <v>151.60000000000002</v>
      </c>
      <c r="J63" s="333">
        <f t="shared" si="39"/>
        <v>-83.5</v>
      </c>
      <c r="K63" s="333">
        <f t="shared" si="39"/>
        <v>269.39999999999998</v>
      </c>
      <c r="L63" s="333">
        <f>L59-L60-L61-L62</f>
        <v>34.900000000000034</v>
      </c>
      <c r="M63" s="333">
        <f t="shared" si="39"/>
        <v>144.39999999999998</v>
      </c>
      <c r="N63" s="37"/>
      <c r="O63" s="613"/>
      <c r="P63"/>
    </row>
    <row r="64" spans="1:45" ht="15">
      <c r="A64" s="10" t="s">
        <v>138</v>
      </c>
      <c r="B64" s="332">
        <v>-1919</v>
      </c>
      <c r="C64" s="332">
        <v>-1962</v>
      </c>
      <c r="D64" s="332">
        <v>-1637</v>
      </c>
      <c r="E64" s="332">
        <v>-568</v>
      </c>
      <c r="F64" s="332">
        <v>-587</v>
      </c>
      <c r="G64" s="332">
        <v>-997</v>
      </c>
      <c r="H64" s="332">
        <v>-1030</v>
      </c>
      <c r="I64" s="332">
        <v>-747</v>
      </c>
      <c r="J64" s="332">
        <v>-612</v>
      </c>
      <c r="K64" s="332">
        <v>-885</v>
      </c>
      <c r="L64" s="332">
        <v>-603</v>
      </c>
      <c r="M64" s="332">
        <v>-1037</v>
      </c>
      <c r="N64" s="37"/>
      <c r="O64" s="613"/>
      <c r="P64"/>
    </row>
    <row r="65" spans="1:43">
      <c r="A65" s="118" t="s">
        <v>139</v>
      </c>
      <c r="B65" s="333">
        <v>-3446</v>
      </c>
      <c r="C65" s="333">
        <v>-2552</v>
      </c>
      <c r="D65" s="333">
        <v>-2100</v>
      </c>
      <c r="E65" s="333">
        <v>-1109</v>
      </c>
      <c r="F65" s="333">
        <v>-1275</v>
      </c>
      <c r="G65" s="333">
        <f>(1-0.21)*F65</f>
        <v>-1007.25</v>
      </c>
      <c r="H65" s="333">
        <v>-1029</v>
      </c>
      <c r="I65" s="333">
        <f>(1-0.14)*H65</f>
        <v>-884.93999999999994</v>
      </c>
      <c r="J65" s="333">
        <v>-538</v>
      </c>
      <c r="K65" s="333">
        <f>J65+105</f>
        <v>-433</v>
      </c>
      <c r="L65" s="333">
        <v>-612</v>
      </c>
      <c r="M65" s="333">
        <f>1.26*L65</f>
        <v>-771.12</v>
      </c>
      <c r="N65" s="37"/>
      <c r="O65" s="28"/>
      <c r="P65"/>
    </row>
    <row r="66" spans="1:43">
      <c r="A66" s="118" t="s">
        <v>140</v>
      </c>
      <c r="B66" s="333">
        <v>-1170</v>
      </c>
      <c r="C66" s="333">
        <v>-88</v>
      </c>
      <c r="D66" s="333">
        <v>-580</v>
      </c>
      <c r="E66" s="333">
        <v>-13</v>
      </c>
      <c r="F66" s="333">
        <v>0</v>
      </c>
      <c r="G66" s="333">
        <v>-12</v>
      </c>
      <c r="H66" s="333">
        <v>-53</v>
      </c>
      <c r="I66" s="333">
        <v>-159</v>
      </c>
      <c r="J66" s="333">
        <v>-20</v>
      </c>
      <c r="K66" s="333">
        <v>-47</v>
      </c>
      <c r="L66" s="333">
        <v>-29</v>
      </c>
      <c r="M66" s="333">
        <v>-263</v>
      </c>
      <c r="N66" s="37"/>
      <c r="O66" s="613"/>
      <c r="P66"/>
    </row>
    <row r="67" spans="1:43">
      <c r="A67" s="118" t="s">
        <v>714</v>
      </c>
      <c r="B67" s="333">
        <f>B64-B65-B66</f>
        <v>2697</v>
      </c>
      <c r="C67" s="333">
        <f>C64-C65-C66</f>
        <v>678</v>
      </c>
      <c r="D67" s="333">
        <f>D64-D65-D66</f>
        <v>1043</v>
      </c>
      <c r="E67" s="333">
        <f t="shared" ref="E67" si="40">E64-E65-E66</f>
        <v>554</v>
      </c>
      <c r="F67" s="333">
        <v>-24</v>
      </c>
      <c r="G67" s="333">
        <v>4</v>
      </c>
      <c r="H67" s="333">
        <v>20</v>
      </c>
      <c r="I67" s="333">
        <v>31</v>
      </c>
      <c r="J67" s="333">
        <v>10</v>
      </c>
      <c r="K67" s="333">
        <v>39</v>
      </c>
      <c r="L67" s="333">
        <v>41</v>
      </c>
      <c r="M67" s="333">
        <v>28</v>
      </c>
      <c r="N67" s="37"/>
      <c r="O67" s="613"/>
      <c r="P67"/>
      <c r="AH67" s="617"/>
      <c r="AI67" s="617"/>
      <c r="AJ67" s="617"/>
      <c r="AK67" s="617"/>
      <c r="AL67" s="617"/>
      <c r="AM67" s="617"/>
      <c r="AN67" s="617"/>
      <c r="AO67" s="617"/>
      <c r="AP67" s="617"/>
      <c r="AQ67" s="617"/>
    </row>
    <row r="68" spans="1:43" ht="15">
      <c r="A68" s="10" t="s">
        <v>141</v>
      </c>
      <c r="B68" s="332">
        <v>966</v>
      </c>
      <c r="C68" s="332">
        <v>1673</v>
      </c>
      <c r="D68" s="332">
        <v>675</v>
      </c>
      <c r="E68" s="332">
        <v>-499</v>
      </c>
      <c r="F68" s="332">
        <v>-236</v>
      </c>
      <c r="G68" s="332">
        <v>-130</v>
      </c>
      <c r="H68" s="332">
        <v>309</v>
      </c>
      <c r="I68" s="332">
        <v>111</v>
      </c>
      <c r="J68" s="332">
        <v>3</v>
      </c>
      <c r="K68" s="332">
        <v>225</v>
      </c>
      <c r="L68" s="332">
        <v>-33</v>
      </c>
      <c r="M68" s="332">
        <v>124</v>
      </c>
      <c r="N68" s="37"/>
      <c r="O68" s="613"/>
      <c r="P68"/>
    </row>
    <row r="69" spans="1:43">
      <c r="A69" s="118" t="s">
        <v>715</v>
      </c>
      <c r="B69" s="333">
        <f>(B44+B48)-(C44+C48)</f>
        <v>2119</v>
      </c>
      <c r="C69" s="333">
        <f t="shared" ref="C69:L69" si="41">(C44+C48)-(D44+D48)</f>
        <v>94</v>
      </c>
      <c r="D69" s="333">
        <f t="shared" si="41"/>
        <v>530</v>
      </c>
      <c r="E69" s="333">
        <f t="shared" si="41"/>
        <v>-233</v>
      </c>
      <c r="F69" s="333">
        <f t="shared" si="41"/>
        <v>413</v>
      </c>
      <c r="G69" s="333">
        <f t="shared" si="41"/>
        <v>-169</v>
      </c>
      <c r="H69" s="333">
        <f t="shared" si="41"/>
        <v>-814</v>
      </c>
      <c r="I69" s="333">
        <f t="shared" si="41"/>
        <v>319</v>
      </c>
      <c r="J69" s="333">
        <f t="shared" si="41"/>
        <v>1235</v>
      </c>
      <c r="K69" s="333">
        <f t="shared" si="41"/>
        <v>-1208</v>
      </c>
      <c r="L69" s="333">
        <f t="shared" si="41"/>
        <v>48</v>
      </c>
      <c r="M69" s="333"/>
      <c r="N69" s="37"/>
      <c r="O69" s="28"/>
      <c r="P69"/>
    </row>
    <row r="70" spans="1:43">
      <c r="A70" s="118" t="s">
        <v>716</v>
      </c>
      <c r="B70" s="333">
        <v>0</v>
      </c>
      <c r="C70" s="333">
        <v>0</v>
      </c>
      <c r="D70" s="333">
        <v>0</v>
      </c>
      <c r="E70" s="333">
        <v>0</v>
      </c>
      <c r="F70" s="333">
        <v>0</v>
      </c>
      <c r="G70" s="333">
        <v>0</v>
      </c>
      <c r="H70" s="333">
        <v>0</v>
      </c>
      <c r="I70" s="333">
        <v>0</v>
      </c>
      <c r="J70" s="333">
        <v>0</v>
      </c>
      <c r="K70" s="333">
        <v>0</v>
      </c>
      <c r="L70" s="333">
        <v>0</v>
      </c>
      <c r="M70" s="333">
        <v>0</v>
      </c>
      <c r="N70" s="37"/>
      <c r="O70" s="614"/>
      <c r="P70"/>
    </row>
    <row r="71" spans="1:43">
      <c r="A71" s="118" t="s">
        <v>717</v>
      </c>
      <c r="B71" s="333">
        <v>0</v>
      </c>
      <c r="C71" s="333">
        <v>0</v>
      </c>
      <c r="D71" s="333">
        <v>0</v>
      </c>
      <c r="E71" s="333">
        <v>0</v>
      </c>
      <c r="F71" s="333">
        <v>0</v>
      </c>
      <c r="G71" s="333">
        <v>0</v>
      </c>
      <c r="H71" s="333">
        <v>0</v>
      </c>
      <c r="I71" s="333">
        <v>0</v>
      </c>
      <c r="J71" s="333">
        <v>0</v>
      </c>
      <c r="K71" s="333">
        <v>0</v>
      </c>
      <c r="L71" s="333">
        <v>0</v>
      </c>
      <c r="M71" s="333">
        <v>0</v>
      </c>
      <c r="N71" s="37"/>
      <c r="O71" s="614"/>
      <c r="P71"/>
    </row>
    <row r="72" spans="1:43">
      <c r="A72" s="118" t="s">
        <v>718</v>
      </c>
      <c r="B72" s="333">
        <v>-55</v>
      </c>
      <c r="C72" s="333">
        <v>-44</v>
      </c>
      <c r="D72" s="333">
        <v>-44</v>
      </c>
      <c r="E72" s="333">
        <v>-41</v>
      </c>
      <c r="F72" s="333">
        <v>0</v>
      </c>
      <c r="G72" s="333">
        <v>0</v>
      </c>
      <c r="H72" s="333">
        <v>0</v>
      </c>
      <c r="I72" s="333">
        <v>0</v>
      </c>
      <c r="J72" s="333">
        <v>0</v>
      </c>
      <c r="K72" s="333">
        <v>0</v>
      </c>
      <c r="L72" s="333">
        <v>0</v>
      </c>
      <c r="M72" s="333">
        <v>0</v>
      </c>
      <c r="N72" s="37"/>
      <c r="O72" s="613"/>
      <c r="P72"/>
    </row>
    <row r="73" spans="1:43">
      <c r="A73" s="118" t="s">
        <v>142</v>
      </c>
      <c r="B73" s="333">
        <v>-155</v>
      </c>
      <c r="C73" s="333">
        <v>-114</v>
      </c>
      <c r="D73" s="333">
        <v>-107</v>
      </c>
      <c r="E73" s="333">
        <v>-99</v>
      </c>
      <c r="F73" s="333">
        <v>-113</v>
      </c>
      <c r="G73" s="333">
        <v>-92</v>
      </c>
      <c r="H73" s="443">
        <v>-85</v>
      </c>
      <c r="I73" s="333">
        <v>-78</v>
      </c>
      <c r="J73" s="443">
        <v>-68</v>
      </c>
      <c r="K73" s="333">
        <v>-52</v>
      </c>
      <c r="L73" s="333">
        <v>-5</v>
      </c>
      <c r="M73" s="333">
        <v>-7</v>
      </c>
      <c r="N73" s="34" t="s">
        <v>719</v>
      </c>
      <c r="O73" s="613" t="s">
        <v>720</v>
      </c>
      <c r="P73"/>
    </row>
    <row r="74" spans="1:43">
      <c r="A74" s="118" t="s">
        <v>599</v>
      </c>
      <c r="B74" s="333">
        <v>0</v>
      </c>
      <c r="C74" s="333">
        <v>0</v>
      </c>
      <c r="D74" s="333">
        <v>0</v>
      </c>
      <c r="E74" s="333">
        <v>0</v>
      </c>
      <c r="F74" s="333">
        <v>0</v>
      </c>
      <c r="G74" s="333">
        <v>0</v>
      </c>
      <c r="H74" s="443">
        <v>0</v>
      </c>
      <c r="I74" s="333">
        <v>0</v>
      </c>
      <c r="J74" s="443">
        <v>0</v>
      </c>
      <c r="K74" s="333">
        <v>0</v>
      </c>
      <c r="L74" s="333">
        <v>0</v>
      </c>
      <c r="M74" s="333">
        <v>0</v>
      </c>
      <c r="N74" s="34" t="s">
        <v>719</v>
      </c>
      <c r="O74" s="28" t="str">
        <f>+A74</f>
        <v>Share buyback</v>
      </c>
      <c r="P74"/>
    </row>
    <row r="75" spans="1:43">
      <c r="A75" s="118" t="s">
        <v>714</v>
      </c>
      <c r="B75" s="333">
        <f>B68-B69-B70-B71-B72-B73-B74</f>
        <v>-943</v>
      </c>
      <c r="C75" s="333">
        <f>C68-C69-C70-C71-C72-C73-C74</f>
        <v>1737</v>
      </c>
      <c r="D75" s="333">
        <f t="shared" ref="D75:M75" si="42">D68-D69-D70-D71-D72-D73-D74</f>
        <v>296</v>
      </c>
      <c r="E75" s="333">
        <f t="shared" si="42"/>
        <v>-126</v>
      </c>
      <c r="F75" s="333">
        <f t="shared" si="42"/>
        <v>-536</v>
      </c>
      <c r="G75" s="333">
        <f t="shared" si="42"/>
        <v>131</v>
      </c>
      <c r="H75" s="333">
        <f t="shared" si="42"/>
        <v>1208</v>
      </c>
      <c r="I75" s="333">
        <f t="shared" si="42"/>
        <v>-130</v>
      </c>
      <c r="J75" s="333">
        <f t="shared" si="42"/>
        <v>-1164</v>
      </c>
      <c r="K75" s="333">
        <f t="shared" si="42"/>
        <v>1485</v>
      </c>
      <c r="L75" s="333">
        <f t="shared" si="42"/>
        <v>-76</v>
      </c>
      <c r="M75" s="333">
        <f t="shared" si="42"/>
        <v>131</v>
      </c>
      <c r="N75" s="37"/>
      <c r="O75" s="613"/>
      <c r="P75"/>
    </row>
    <row r="76" spans="1:43" ht="15">
      <c r="A76" s="10" t="s">
        <v>145</v>
      </c>
      <c r="B76" s="332">
        <v>72</v>
      </c>
      <c r="C76" s="332">
        <v>6</v>
      </c>
      <c r="D76" s="332">
        <v>-52</v>
      </c>
      <c r="E76" s="332">
        <v>8</v>
      </c>
      <c r="F76" s="332">
        <v>2</v>
      </c>
      <c r="G76" s="332">
        <v>-70</v>
      </c>
      <c r="H76" s="332">
        <v>19</v>
      </c>
      <c r="I76" s="332">
        <v>2</v>
      </c>
      <c r="J76" s="332">
        <v>14</v>
      </c>
      <c r="K76" s="332">
        <v>-7</v>
      </c>
      <c r="L76" s="332">
        <v>-5</v>
      </c>
      <c r="M76" s="332">
        <v>-10</v>
      </c>
      <c r="N76" s="37"/>
      <c r="O76" s="613"/>
      <c r="P76"/>
    </row>
    <row r="77" spans="1:43" ht="15">
      <c r="A77" s="10" t="s">
        <v>618</v>
      </c>
      <c r="B77" s="332">
        <f>B59+B64+B68+B76</f>
        <v>168</v>
      </c>
      <c r="C77" s="332">
        <f t="shared" ref="C77:M77" si="43">C59+C64+C68+C76</f>
        <v>528</v>
      </c>
      <c r="D77" s="332">
        <f t="shared" si="43"/>
        <v>-106</v>
      </c>
      <c r="E77" s="332">
        <f t="shared" si="43"/>
        <v>31</v>
      </c>
      <c r="F77" s="332">
        <f>F59+F64+F68+F76</f>
        <v>164</v>
      </c>
      <c r="G77" s="332">
        <f>G59+G64+G68+G76</f>
        <v>-216</v>
      </c>
      <c r="H77" s="332">
        <f t="shared" si="43"/>
        <v>232</v>
      </c>
      <c r="I77" s="332">
        <f t="shared" si="43"/>
        <v>123</v>
      </c>
      <c r="J77" s="332">
        <f t="shared" si="43"/>
        <v>112</v>
      </c>
      <c r="K77" s="332">
        <f t="shared" si="43"/>
        <v>10</v>
      </c>
      <c r="L77" s="332">
        <f t="shared" si="43"/>
        <v>25</v>
      </c>
      <c r="M77" s="332">
        <f t="shared" si="43"/>
        <v>-280</v>
      </c>
      <c r="N77" s="37"/>
      <c r="O77" s="613"/>
      <c r="P77"/>
    </row>
    <row r="78" spans="1:43">
      <c r="M78" s="24"/>
      <c r="N78"/>
      <c r="O78" t="s">
        <v>721</v>
      </c>
      <c r="P78"/>
    </row>
    <row r="79" spans="1:43" ht="15">
      <c r="A79" s="51" t="s">
        <v>722</v>
      </c>
      <c r="B79" s="51"/>
      <c r="C79" s="51"/>
      <c r="D79" s="51"/>
      <c r="E79" s="1092" t="s">
        <v>626</v>
      </c>
      <c r="F79" s="1092"/>
      <c r="G79" s="1092"/>
      <c r="H79" s="1092" t="s">
        <v>723</v>
      </c>
      <c r="I79" s="1092"/>
      <c r="J79" s="51" t="s">
        <v>628</v>
      </c>
      <c r="K79" s="51" t="s">
        <v>629</v>
      </c>
      <c r="L79" s="51" t="s">
        <v>630</v>
      </c>
      <c r="M79" s="35"/>
      <c r="N79"/>
      <c r="O79"/>
      <c r="P79"/>
    </row>
    <row r="80" spans="1:43">
      <c r="A80" s="26" t="s">
        <v>724</v>
      </c>
      <c r="B80" s="27">
        <v>3086</v>
      </c>
      <c r="C80" s="40" t="s">
        <v>725</v>
      </c>
      <c r="D80" s="24"/>
      <c r="E80" s="1089"/>
      <c r="F80" s="1089"/>
      <c r="G80" s="1089"/>
      <c r="H80" s="1090"/>
      <c r="I80" s="1090"/>
      <c r="J80" s="79"/>
      <c r="K80" s="78"/>
      <c r="L80" s="78"/>
      <c r="M80" s="24"/>
      <c r="N80" s="40" t="s">
        <v>726</v>
      </c>
      <c r="O80"/>
      <c r="P80"/>
    </row>
    <row r="81" spans="1:16">
      <c r="A81" s="26" t="s">
        <v>727</v>
      </c>
      <c r="B81" s="27">
        <v>1020000</v>
      </c>
      <c r="C81" s="40" t="s">
        <v>728</v>
      </c>
      <c r="D81" s="24"/>
      <c r="E81" s="1089"/>
      <c r="F81" s="1089"/>
      <c r="G81" s="1089"/>
      <c r="H81" s="1090"/>
      <c r="I81" s="1090"/>
      <c r="J81" s="79"/>
      <c r="K81" s="78"/>
      <c r="L81" s="78"/>
      <c r="M81" s="24"/>
      <c r="N81" s="40" t="s">
        <v>726</v>
      </c>
      <c r="O81"/>
      <c r="P81"/>
    </row>
    <row r="82" spans="1:16">
      <c r="A82" s="26" t="s">
        <v>50</v>
      </c>
      <c r="B82" s="73">
        <f>OP!M19</f>
        <v>0.28485576923076922</v>
      </c>
      <c r="C82" s="40" t="s">
        <v>728</v>
      </c>
      <c r="D82" s="80"/>
      <c r="E82" s="1089"/>
      <c r="F82" s="1089"/>
      <c r="G82" s="1089"/>
      <c r="H82" s="1090"/>
      <c r="I82" s="1090"/>
      <c r="J82" s="79"/>
      <c r="K82" s="78"/>
      <c r="L82" s="78"/>
      <c r="M82" s="82"/>
      <c r="N82" s="40" t="s">
        <v>726</v>
      </c>
      <c r="O82"/>
      <c r="P82"/>
    </row>
    <row r="83" spans="1:16">
      <c r="A83" s="26" t="s">
        <v>55</v>
      </c>
      <c r="B83" s="75" t="str">
        <f>OP!M20</f>
        <v>71.20%</v>
      </c>
      <c r="C83" s="40" t="s">
        <v>728</v>
      </c>
      <c r="D83" s="81"/>
      <c r="E83" s="1089"/>
      <c r="F83" s="1089"/>
      <c r="G83" s="1089"/>
      <c r="H83" s="1090"/>
      <c r="I83" s="1090"/>
      <c r="J83" s="79"/>
      <c r="K83" s="78"/>
      <c r="L83" s="78"/>
      <c r="M83" s="82"/>
      <c r="N83" s="40" t="s">
        <v>726</v>
      </c>
      <c r="O83"/>
      <c r="P83"/>
    </row>
    <row r="84" spans="1:16">
      <c r="A84" s="26" t="s">
        <v>622</v>
      </c>
      <c r="B84" s="27" t="str">
        <f>OP!M22</f>
        <v>BBB</v>
      </c>
      <c r="C84" s="40" t="s">
        <v>725</v>
      </c>
      <c r="D84" s="24"/>
      <c r="E84" s="1089"/>
      <c r="F84" s="1089"/>
      <c r="G84" s="1089"/>
      <c r="H84" s="1090"/>
      <c r="I84" s="1090"/>
      <c r="J84" s="79"/>
      <c r="K84" s="78"/>
      <c r="L84" s="78"/>
      <c r="M84" s="24"/>
      <c r="N84" s="40" t="s">
        <v>726</v>
      </c>
      <c r="O84"/>
      <c r="P84"/>
    </row>
    <row r="85" spans="1:16">
      <c r="A85" s="26" t="s">
        <v>729</v>
      </c>
      <c r="B85" s="76">
        <f>Peers!C35</f>
        <v>2.1574340793263906</v>
      </c>
      <c r="C85" s="40" t="s">
        <v>728</v>
      </c>
      <c r="D85" s="24"/>
      <c r="E85" s="1089"/>
      <c r="F85" s="1089"/>
      <c r="G85" s="1089"/>
      <c r="H85" s="1090"/>
      <c r="I85" s="1090"/>
      <c r="J85" s="78"/>
      <c r="K85" s="78"/>
      <c r="L85" s="78"/>
      <c r="M85" s="24"/>
      <c r="N85" s="40" t="s">
        <v>726</v>
      </c>
      <c r="O85"/>
    </row>
    <row r="86" spans="1:16">
      <c r="A86" s="26" t="s">
        <v>624</v>
      </c>
      <c r="B86" s="27">
        <v>858</v>
      </c>
      <c r="C86" s="40" t="s">
        <v>730</v>
      </c>
      <c r="D86" s="24"/>
      <c r="E86" s="1089"/>
      <c r="F86" s="1089"/>
      <c r="G86" s="1089"/>
      <c r="H86" s="1090"/>
      <c r="I86" s="1090"/>
      <c r="J86" s="78"/>
      <c r="K86" s="78"/>
      <c r="L86" s="78"/>
      <c r="M86" s="24"/>
      <c r="N86" s="40" t="s">
        <v>726</v>
      </c>
    </row>
    <row r="87" spans="1:16" ht="15">
      <c r="B87" s="51">
        <v>2020</v>
      </c>
      <c r="C87" s="51">
        <f>B87+1</f>
        <v>2021</v>
      </c>
      <c r="D87" s="51">
        <f>C87+1</f>
        <v>2022</v>
      </c>
      <c r="E87" s="41"/>
      <c r="G87" s="41"/>
      <c r="H87" s="41"/>
      <c r="I87" s="41"/>
      <c r="J87" s="41"/>
      <c r="K87" s="41"/>
      <c r="L87" s="41"/>
      <c r="M87" s="41"/>
      <c r="N87"/>
    </row>
    <row r="88" spans="1:16">
      <c r="A88" s="26" t="s">
        <v>625</v>
      </c>
      <c r="B88" s="74" t="s">
        <v>86</v>
      </c>
      <c r="C88" s="23"/>
      <c r="E88" s="40" t="s">
        <v>730</v>
      </c>
      <c r="K88" s="22"/>
      <c r="L88" s="22"/>
      <c r="O88"/>
      <c r="P88"/>
    </row>
    <row r="89" spans="1:16" ht="15">
      <c r="A89" s="26" t="s">
        <v>79</v>
      </c>
      <c r="B89" s="77">
        <v>0.63</v>
      </c>
      <c r="C89" s="77">
        <v>0.69</v>
      </c>
      <c r="D89" s="77">
        <v>0.63</v>
      </c>
      <c r="E89" s="40" t="s">
        <v>730</v>
      </c>
      <c r="F89" s="613"/>
      <c r="K89" s="22"/>
      <c r="L89" s="22"/>
      <c r="O89" s="51"/>
    </row>
    <row r="90" spans="1:16" ht="15">
      <c r="M90"/>
      <c r="N90" s="116"/>
      <c r="O90" s="51"/>
    </row>
    <row r="91" spans="1:16">
      <c r="J91" s="24"/>
      <c r="L91"/>
      <c r="M91"/>
      <c r="N91"/>
    </row>
    <row r="92" spans="1:16">
      <c r="J92" s="24"/>
      <c r="L92"/>
      <c r="M92"/>
      <c r="N92"/>
    </row>
    <row r="93" spans="1:16">
      <c r="J93" s="24"/>
      <c r="L93"/>
      <c r="M93"/>
      <c r="N93"/>
    </row>
    <row r="94" spans="1:16">
      <c r="J94" s="24"/>
      <c r="L94"/>
      <c r="M94"/>
      <c r="N94"/>
    </row>
    <row r="95" spans="1:16">
      <c r="J95" s="24"/>
      <c r="L95"/>
      <c r="M95"/>
      <c r="N95"/>
    </row>
    <row r="96" spans="1:16">
      <c r="J96" s="24"/>
      <c r="L96"/>
      <c r="M96"/>
      <c r="N96"/>
      <c r="O96"/>
    </row>
    <row r="97" spans="1:14">
      <c r="J97" s="24"/>
      <c r="L97"/>
      <c r="M97"/>
      <c r="N97"/>
    </row>
    <row r="98" spans="1:14">
      <c r="G98"/>
      <c r="M98"/>
      <c r="N98"/>
    </row>
    <row r="99" spans="1:14">
      <c r="A99"/>
      <c r="B99"/>
      <c r="C99"/>
      <c r="D99"/>
      <c r="E99"/>
      <c r="F99"/>
      <c r="G99"/>
    </row>
    <row r="100" spans="1:14">
      <c r="A100"/>
      <c r="B100"/>
      <c r="C100"/>
      <c r="D100"/>
      <c r="E100"/>
      <c r="F100"/>
      <c r="G100"/>
    </row>
  </sheetData>
  <mergeCells count="19">
    <mergeCell ref="G2:J2"/>
    <mergeCell ref="D4:M4"/>
    <mergeCell ref="R5:S5"/>
    <mergeCell ref="H79:I79"/>
    <mergeCell ref="E79:G79"/>
    <mergeCell ref="E85:G85"/>
    <mergeCell ref="E86:G86"/>
    <mergeCell ref="H80:I80"/>
    <mergeCell ref="H81:I81"/>
    <mergeCell ref="H82:I82"/>
    <mergeCell ref="H83:I83"/>
    <mergeCell ref="H84:I84"/>
    <mergeCell ref="H85:I85"/>
    <mergeCell ref="H86:I86"/>
    <mergeCell ref="E80:G80"/>
    <mergeCell ref="E81:G81"/>
    <mergeCell ref="E82:G82"/>
    <mergeCell ref="E83:G83"/>
    <mergeCell ref="E84:G84"/>
  </mergeCells>
  <pageMargins left="0.75" right="0.75" top="1" bottom="1" header="0" footer="0"/>
  <pageSetup orientation="portrait" horizontalDpi="4294967292"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BE39-AA8C-416A-BD40-1FFD3C1649A8}">
  <dimension ref="B2:AA128"/>
  <sheetViews>
    <sheetView topLeftCell="J1" workbookViewId="0"/>
  </sheetViews>
  <sheetFormatPr defaultColWidth="8.42578125" defaultRowHeight="12.75"/>
  <cols>
    <col min="1" max="9" width="0" hidden="1" customWidth="1"/>
    <col min="11" max="11" width="21.7109375" bestFit="1" customWidth="1"/>
  </cols>
  <sheetData>
    <row r="2" spans="2:27">
      <c r="E2" s="11" t="s">
        <v>731</v>
      </c>
      <c r="F2" s="11" t="s">
        <v>732</v>
      </c>
      <c r="H2" s="11" t="s">
        <v>402</v>
      </c>
      <c r="K2" s="1093" t="s">
        <v>731</v>
      </c>
      <c r="L2" s="1095" t="s">
        <v>733</v>
      </c>
      <c r="M2" s="1096"/>
      <c r="N2" s="1096"/>
      <c r="O2" s="1096"/>
      <c r="P2" s="1097"/>
      <c r="Q2" s="1096" t="s">
        <v>352</v>
      </c>
      <c r="R2" s="1096"/>
      <c r="S2" s="1096"/>
      <c r="T2" s="1096"/>
      <c r="U2" s="1096"/>
      <c r="V2" s="1096"/>
      <c r="W2" s="1096"/>
      <c r="X2" s="1096"/>
      <c r="Y2" s="1096"/>
      <c r="Z2" s="1096"/>
      <c r="AA2" s="1097"/>
    </row>
    <row r="3" spans="2:27">
      <c r="E3" t="s">
        <v>734</v>
      </c>
      <c r="F3" t="s">
        <v>735</v>
      </c>
      <c r="H3" s="11" t="s">
        <v>360</v>
      </c>
      <c r="K3" s="1094"/>
      <c r="L3" s="85" t="s">
        <v>736</v>
      </c>
      <c r="M3" s="104" t="s">
        <v>737</v>
      </c>
      <c r="N3" s="104" t="s">
        <v>738</v>
      </c>
      <c r="O3" s="104" t="s">
        <v>739</v>
      </c>
      <c r="P3" s="105" t="s">
        <v>740</v>
      </c>
      <c r="Q3" s="104" t="s">
        <v>741</v>
      </c>
      <c r="R3" s="104" t="s">
        <v>742</v>
      </c>
      <c r="S3" s="104" t="s">
        <v>359</v>
      </c>
      <c r="T3" s="104" t="s">
        <v>743</v>
      </c>
      <c r="U3" s="104" t="s">
        <v>744</v>
      </c>
      <c r="V3" s="104" t="s">
        <v>745</v>
      </c>
      <c r="W3" s="104" t="s">
        <v>746</v>
      </c>
      <c r="X3" s="104" t="s">
        <v>747</v>
      </c>
      <c r="Y3" s="104" t="s">
        <v>748</v>
      </c>
      <c r="Z3" s="104" t="s">
        <v>749</v>
      </c>
      <c r="AA3" s="105" t="s">
        <v>391</v>
      </c>
    </row>
    <row r="4" spans="2:27">
      <c r="B4" s="86"/>
      <c r="E4" t="s">
        <v>734</v>
      </c>
      <c r="F4" t="s">
        <v>750</v>
      </c>
      <c r="H4" s="11" t="s">
        <v>409</v>
      </c>
      <c r="K4" s="106" t="s">
        <v>734</v>
      </c>
      <c r="L4" s="107" t="s">
        <v>402</v>
      </c>
      <c r="M4" t="s">
        <v>402</v>
      </c>
      <c r="N4" t="s">
        <v>360</v>
      </c>
      <c r="O4" t="s">
        <v>402</v>
      </c>
      <c r="P4" s="108" t="s">
        <v>402</v>
      </c>
      <c r="Q4" t="s">
        <v>360</v>
      </c>
      <c r="R4" t="s">
        <v>360</v>
      </c>
      <c r="S4" t="s">
        <v>402</v>
      </c>
      <c r="T4" t="s">
        <v>402</v>
      </c>
      <c r="U4" t="s">
        <v>409</v>
      </c>
      <c r="V4" t="s">
        <v>402</v>
      </c>
      <c r="W4" t="s">
        <v>402</v>
      </c>
      <c r="X4" t="s">
        <v>402</v>
      </c>
      <c r="Y4" t="s">
        <v>402</v>
      </c>
      <c r="Z4" t="s">
        <v>402</v>
      </c>
      <c r="AA4" s="108" t="s">
        <v>360</v>
      </c>
    </row>
    <row r="5" spans="2:27" ht="15">
      <c r="B5" s="100" t="s">
        <v>332</v>
      </c>
      <c r="E5" t="s">
        <v>734</v>
      </c>
      <c r="F5" t="s">
        <v>751</v>
      </c>
      <c r="H5" s="11" t="s">
        <v>752</v>
      </c>
      <c r="K5" s="106" t="s">
        <v>753</v>
      </c>
      <c r="L5" s="107" t="s">
        <v>402</v>
      </c>
      <c r="M5" t="s">
        <v>402</v>
      </c>
      <c r="N5" t="s">
        <v>360</v>
      </c>
      <c r="O5" t="s">
        <v>360</v>
      </c>
      <c r="P5" s="108" t="s">
        <v>402</v>
      </c>
      <c r="Q5" t="s">
        <v>360</v>
      </c>
      <c r="R5" t="s">
        <v>360</v>
      </c>
      <c r="S5" t="s">
        <v>402</v>
      </c>
      <c r="T5" t="s">
        <v>402</v>
      </c>
      <c r="U5" t="s">
        <v>360</v>
      </c>
      <c r="V5" t="s">
        <v>360</v>
      </c>
      <c r="W5" t="s">
        <v>360</v>
      </c>
      <c r="X5" t="s">
        <v>409</v>
      </c>
      <c r="Y5" t="s">
        <v>402</v>
      </c>
      <c r="Z5" t="s">
        <v>409</v>
      </c>
      <c r="AA5" s="108" t="s">
        <v>402</v>
      </c>
    </row>
    <row r="6" spans="2:27">
      <c r="B6" s="102" t="s">
        <v>754</v>
      </c>
      <c r="E6" t="s">
        <v>734</v>
      </c>
      <c r="F6" t="s">
        <v>755</v>
      </c>
      <c r="K6" s="106" t="s">
        <v>756</v>
      </c>
      <c r="L6" s="107" t="s">
        <v>409</v>
      </c>
      <c r="M6" t="s">
        <v>752</v>
      </c>
      <c r="N6" t="s">
        <v>409</v>
      </c>
      <c r="O6" t="s">
        <v>409</v>
      </c>
      <c r="P6" s="108" t="s">
        <v>409</v>
      </c>
      <c r="Q6" t="s">
        <v>360</v>
      </c>
      <c r="R6" t="s">
        <v>409</v>
      </c>
      <c r="S6" t="s">
        <v>409</v>
      </c>
      <c r="T6" t="s">
        <v>402</v>
      </c>
      <c r="U6" t="s">
        <v>360</v>
      </c>
      <c r="V6" t="s">
        <v>360</v>
      </c>
      <c r="W6" t="s">
        <v>402</v>
      </c>
      <c r="X6" t="s">
        <v>409</v>
      </c>
      <c r="Y6" t="s">
        <v>402</v>
      </c>
      <c r="Z6" t="s">
        <v>752</v>
      </c>
      <c r="AA6" s="108" t="s">
        <v>402</v>
      </c>
    </row>
    <row r="7" spans="2:27">
      <c r="B7" s="102" t="s">
        <v>757</v>
      </c>
      <c r="E7" t="s">
        <v>734</v>
      </c>
      <c r="F7" t="s">
        <v>758</v>
      </c>
      <c r="K7" s="106" t="s">
        <v>738</v>
      </c>
      <c r="L7" s="107" t="s">
        <v>752</v>
      </c>
      <c r="M7" t="s">
        <v>752</v>
      </c>
      <c r="N7" t="s">
        <v>360</v>
      </c>
      <c r="O7" t="s">
        <v>752</v>
      </c>
      <c r="P7" s="108" t="s">
        <v>409</v>
      </c>
      <c r="Q7" t="s">
        <v>409</v>
      </c>
      <c r="R7" t="s">
        <v>360</v>
      </c>
      <c r="S7" t="s">
        <v>360</v>
      </c>
      <c r="T7" t="s">
        <v>360</v>
      </c>
      <c r="U7" t="s">
        <v>360</v>
      </c>
      <c r="V7" t="s">
        <v>409</v>
      </c>
      <c r="W7" t="s">
        <v>360</v>
      </c>
      <c r="X7" t="s">
        <v>360</v>
      </c>
      <c r="Y7" t="s">
        <v>409</v>
      </c>
      <c r="Z7" t="s">
        <v>409</v>
      </c>
      <c r="AA7" s="108" t="s">
        <v>402</v>
      </c>
    </row>
    <row r="8" spans="2:27">
      <c r="B8" s="102"/>
      <c r="K8" s="106" t="s">
        <v>313</v>
      </c>
      <c r="L8" s="107" t="s">
        <v>402</v>
      </c>
      <c r="M8" t="s">
        <v>402</v>
      </c>
      <c r="N8" t="s">
        <v>402</v>
      </c>
      <c r="O8" t="s">
        <v>360</v>
      </c>
      <c r="P8" s="108" t="s">
        <v>360</v>
      </c>
      <c r="Q8" t="s">
        <v>402</v>
      </c>
      <c r="R8" t="s">
        <v>360</v>
      </c>
      <c r="S8" t="s">
        <v>360</v>
      </c>
      <c r="T8" t="s">
        <v>409</v>
      </c>
      <c r="U8" t="s">
        <v>360</v>
      </c>
      <c r="V8" t="s">
        <v>402</v>
      </c>
      <c r="W8" t="s">
        <v>402</v>
      </c>
      <c r="X8" t="s">
        <v>360</v>
      </c>
      <c r="Y8" t="s">
        <v>360</v>
      </c>
      <c r="Z8" t="s">
        <v>409</v>
      </c>
      <c r="AA8" s="108" t="s">
        <v>402</v>
      </c>
    </row>
    <row r="9" spans="2:27">
      <c r="B9" s="102" t="s">
        <v>341</v>
      </c>
      <c r="E9" t="s">
        <v>734</v>
      </c>
      <c r="F9" t="s">
        <v>759</v>
      </c>
      <c r="K9" s="106" t="s">
        <v>760</v>
      </c>
      <c r="L9" s="107" t="s">
        <v>402</v>
      </c>
      <c r="M9" t="s">
        <v>402</v>
      </c>
      <c r="N9" t="s">
        <v>402</v>
      </c>
      <c r="O9" t="s">
        <v>402</v>
      </c>
      <c r="P9" s="108" t="s">
        <v>402</v>
      </c>
      <c r="Q9" t="s">
        <v>402</v>
      </c>
      <c r="R9" t="s">
        <v>402</v>
      </c>
      <c r="S9" t="s">
        <v>360</v>
      </c>
      <c r="T9" t="s">
        <v>409</v>
      </c>
      <c r="U9" t="s">
        <v>360</v>
      </c>
      <c r="V9" t="s">
        <v>402</v>
      </c>
      <c r="W9" t="s">
        <v>402</v>
      </c>
      <c r="X9" t="s">
        <v>402</v>
      </c>
      <c r="Y9" t="s">
        <v>402</v>
      </c>
      <c r="Z9" t="s">
        <v>360</v>
      </c>
      <c r="AA9" s="108" t="s">
        <v>402</v>
      </c>
    </row>
    <row r="10" spans="2:27">
      <c r="B10" s="102"/>
      <c r="K10" s="106" t="s">
        <v>761</v>
      </c>
      <c r="L10" s="107" t="s">
        <v>402</v>
      </c>
      <c r="M10" t="s">
        <v>360</v>
      </c>
      <c r="N10" t="s">
        <v>402</v>
      </c>
      <c r="O10" t="s">
        <v>360</v>
      </c>
      <c r="P10" s="108" t="s">
        <v>409</v>
      </c>
      <c r="Q10" t="s">
        <v>402</v>
      </c>
      <c r="R10" t="s">
        <v>402</v>
      </c>
      <c r="S10" t="s">
        <v>402</v>
      </c>
      <c r="T10" t="s">
        <v>402</v>
      </c>
      <c r="U10" t="s">
        <v>402</v>
      </c>
      <c r="V10" t="s">
        <v>402</v>
      </c>
      <c r="W10" t="s">
        <v>402</v>
      </c>
      <c r="X10" t="s">
        <v>402</v>
      </c>
      <c r="Y10" t="s">
        <v>360</v>
      </c>
      <c r="Z10" t="s">
        <v>402</v>
      </c>
      <c r="AA10" s="108" t="s">
        <v>402</v>
      </c>
    </row>
    <row r="11" spans="2:27">
      <c r="B11" s="102" t="s">
        <v>344</v>
      </c>
      <c r="E11" t="s">
        <v>734</v>
      </c>
      <c r="F11" t="s">
        <v>762</v>
      </c>
      <c r="K11" s="106" t="s">
        <v>763</v>
      </c>
      <c r="L11" s="107" t="s">
        <v>402</v>
      </c>
      <c r="M11" t="s">
        <v>360</v>
      </c>
      <c r="N11" t="s">
        <v>402</v>
      </c>
      <c r="O11" t="s">
        <v>402</v>
      </c>
      <c r="P11" s="108" t="s">
        <v>402</v>
      </c>
      <c r="Q11" t="s">
        <v>402</v>
      </c>
      <c r="R11" t="s">
        <v>402</v>
      </c>
      <c r="S11" t="s">
        <v>360</v>
      </c>
      <c r="T11" t="s">
        <v>402</v>
      </c>
      <c r="U11" t="s">
        <v>409</v>
      </c>
      <c r="V11" t="s">
        <v>402</v>
      </c>
      <c r="W11" t="s">
        <v>402</v>
      </c>
      <c r="X11" t="s">
        <v>402</v>
      </c>
      <c r="Y11" t="s">
        <v>402</v>
      </c>
      <c r="Z11" t="s">
        <v>402</v>
      </c>
      <c r="AA11" s="108" t="s">
        <v>402</v>
      </c>
    </row>
    <row r="12" spans="2:27">
      <c r="B12" s="101" t="s">
        <v>764</v>
      </c>
      <c r="E12" t="s">
        <v>734</v>
      </c>
      <c r="F12" t="s">
        <v>765</v>
      </c>
      <c r="K12" s="106" t="s">
        <v>766</v>
      </c>
      <c r="L12" s="107" t="s">
        <v>752</v>
      </c>
      <c r="M12" t="s">
        <v>752</v>
      </c>
      <c r="N12" t="s">
        <v>752</v>
      </c>
      <c r="O12" t="s">
        <v>409</v>
      </c>
      <c r="P12" s="108" t="s">
        <v>409</v>
      </c>
      <c r="Q12" t="s">
        <v>402</v>
      </c>
      <c r="R12" t="s">
        <v>360</v>
      </c>
      <c r="S12" t="s">
        <v>409</v>
      </c>
      <c r="T12" t="s">
        <v>752</v>
      </c>
      <c r="U12" t="s">
        <v>360</v>
      </c>
      <c r="V12" t="s">
        <v>752</v>
      </c>
      <c r="W12" t="s">
        <v>360</v>
      </c>
      <c r="X12" t="s">
        <v>752</v>
      </c>
      <c r="Y12" t="s">
        <v>752</v>
      </c>
      <c r="Z12" t="s">
        <v>752</v>
      </c>
      <c r="AA12" s="108" t="s">
        <v>409</v>
      </c>
    </row>
    <row r="13" spans="2:27" ht="15">
      <c r="B13" s="100" t="s">
        <v>352</v>
      </c>
      <c r="E13" t="s">
        <v>734</v>
      </c>
      <c r="F13" t="s">
        <v>767</v>
      </c>
      <c r="K13" s="106" t="s">
        <v>768</v>
      </c>
      <c r="L13" s="107" t="s">
        <v>360</v>
      </c>
      <c r="M13" t="s">
        <v>402</v>
      </c>
      <c r="N13" t="s">
        <v>409</v>
      </c>
      <c r="O13" t="s">
        <v>402</v>
      </c>
      <c r="P13" s="108" t="s">
        <v>402</v>
      </c>
      <c r="Q13" t="s">
        <v>402</v>
      </c>
      <c r="R13" t="s">
        <v>402</v>
      </c>
      <c r="S13" t="s">
        <v>402</v>
      </c>
      <c r="T13" t="s">
        <v>402</v>
      </c>
      <c r="U13" t="s">
        <v>409</v>
      </c>
      <c r="V13" t="s">
        <v>402</v>
      </c>
      <c r="W13" t="s">
        <v>402</v>
      </c>
      <c r="X13" t="s">
        <v>402</v>
      </c>
      <c r="Y13" t="s">
        <v>402</v>
      </c>
      <c r="Z13" t="s">
        <v>360</v>
      </c>
      <c r="AA13" s="108" t="s">
        <v>752</v>
      </c>
    </row>
    <row r="14" spans="2:27">
      <c r="B14" s="90" t="s">
        <v>769</v>
      </c>
      <c r="E14" t="s">
        <v>734</v>
      </c>
      <c r="F14" t="s">
        <v>770</v>
      </c>
      <c r="K14" s="106" t="s">
        <v>771</v>
      </c>
      <c r="L14" s="107" t="s">
        <v>752</v>
      </c>
      <c r="M14" t="s">
        <v>752</v>
      </c>
      <c r="N14" t="s">
        <v>752</v>
      </c>
      <c r="O14" t="s">
        <v>752</v>
      </c>
      <c r="P14" s="108" t="s">
        <v>409</v>
      </c>
      <c r="Q14" t="s">
        <v>409</v>
      </c>
      <c r="R14" t="s">
        <v>409</v>
      </c>
      <c r="S14" t="s">
        <v>360</v>
      </c>
      <c r="T14" t="s">
        <v>409</v>
      </c>
      <c r="U14" t="s">
        <v>402</v>
      </c>
      <c r="V14" t="s">
        <v>752</v>
      </c>
      <c r="W14" t="s">
        <v>360</v>
      </c>
      <c r="X14" t="s">
        <v>360</v>
      </c>
      <c r="Y14" t="s">
        <v>752</v>
      </c>
      <c r="Z14" t="s">
        <v>409</v>
      </c>
      <c r="AA14" s="108" t="s">
        <v>360</v>
      </c>
    </row>
    <row r="15" spans="2:27">
      <c r="B15" s="90" t="s">
        <v>772</v>
      </c>
      <c r="E15" t="s">
        <v>753</v>
      </c>
      <c r="F15" t="s">
        <v>773</v>
      </c>
      <c r="K15" s="106" t="s">
        <v>774</v>
      </c>
      <c r="L15" s="107" t="s">
        <v>402</v>
      </c>
      <c r="M15" t="s">
        <v>402</v>
      </c>
      <c r="N15" t="s">
        <v>360</v>
      </c>
      <c r="O15" t="s">
        <v>402</v>
      </c>
      <c r="P15" s="108" t="s">
        <v>402</v>
      </c>
      <c r="Q15" t="s">
        <v>360</v>
      </c>
      <c r="R15" t="s">
        <v>402</v>
      </c>
      <c r="S15" t="s">
        <v>402</v>
      </c>
      <c r="T15" t="s">
        <v>402</v>
      </c>
      <c r="U15" t="s">
        <v>409</v>
      </c>
      <c r="V15" t="s">
        <v>402</v>
      </c>
      <c r="W15" t="s">
        <v>360</v>
      </c>
      <c r="X15" t="s">
        <v>402</v>
      </c>
      <c r="Y15" t="s">
        <v>360</v>
      </c>
      <c r="Z15" t="s">
        <v>402</v>
      </c>
      <c r="AA15" s="108" t="s">
        <v>402</v>
      </c>
    </row>
    <row r="16" spans="2:27">
      <c r="B16" s="93" t="s">
        <v>775</v>
      </c>
      <c r="E16" t="s">
        <v>753</v>
      </c>
      <c r="F16" t="s">
        <v>776</v>
      </c>
      <c r="K16" s="109" t="s">
        <v>777</v>
      </c>
      <c r="L16" s="110" t="s">
        <v>752</v>
      </c>
      <c r="M16" s="111" t="s">
        <v>409</v>
      </c>
      <c r="N16" s="111" t="s">
        <v>409</v>
      </c>
      <c r="O16" s="111" t="s">
        <v>360</v>
      </c>
      <c r="P16" s="112" t="s">
        <v>409</v>
      </c>
      <c r="Q16" s="111" t="s">
        <v>402</v>
      </c>
      <c r="R16" s="111" t="s">
        <v>360</v>
      </c>
      <c r="S16" s="111" t="s">
        <v>360</v>
      </c>
      <c r="T16" s="111" t="s">
        <v>402</v>
      </c>
      <c r="U16" s="111" t="s">
        <v>360</v>
      </c>
      <c r="V16" s="111" t="s">
        <v>360</v>
      </c>
      <c r="W16" s="111" t="s">
        <v>360</v>
      </c>
      <c r="X16" s="111" t="s">
        <v>360</v>
      </c>
      <c r="Y16" s="111" t="s">
        <v>402</v>
      </c>
      <c r="Z16" s="111" t="s">
        <v>360</v>
      </c>
      <c r="AA16" s="112" t="s">
        <v>402</v>
      </c>
    </row>
    <row r="17" spans="2:22">
      <c r="B17" s="93" t="s">
        <v>778</v>
      </c>
      <c r="E17" t="s">
        <v>753</v>
      </c>
      <c r="F17" t="s">
        <v>779</v>
      </c>
    </row>
    <row r="18" spans="2:22" hidden="1">
      <c r="B18" s="90" t="s">
        <v>780</v>
      </c>
      <c r="E18" t="s">
        <v>753</v>
      </c>
      <c r="F18" t="s">
        <v>781</v>
      </c>
    </row>
    <row r="19" spans="2:22" hidden="1">
      <c r="B19" s="90" t="s">
        <v>782</v>
      </c>
      <c r="E19" t="s">
        <v>753</v>
      </c>
      <c r="F19" t="s">
        <v>783</v>
      </c>
      <c r="L19" s="113" t="s">
        <v>734</v>
      </c>
      <c r="M19" s="114" t="s">
        <v>753</v>
      </c>
      <c r="N19" s="114" t="s">
        <v>756</v>
      </c>
      <c r="O19" s="114" t="s">
        <v>738</v>
      </c>
      <c r="P19" s="114" t="s">
        <v>760</v>
      </c>
      <c r="Q19" s="114" t="s">
        <v>763</v>
      </c>
      <c r="R19" s="114" t="s">
        <v>766</v>
      </c>
      <c r="S19" s="114" t="s">
        <v>768</v>
      </c>
      <c r="T19" s="114" t="s">
        <v>771</v>
      </c>
      <c r="U19" s="114" t="s">
        <v>774</v>
      </c>
      <c r="V19" s="115" t="s">
        <v>777</v>
      </c>
    </row>
    <row r="20" spans="2:22" hidden="1">
      <c r="B20" s="90" t="s">
        <v>374</v>
      </c>
      <c r="E20" t="s">
        <v>753</v>
      </c>
      <c r="F20" t="s">
        <v>784</v>
      </c>
      <c r="L20" s="107" t="s">
        <v>735</v>
      </c>
      <c r="M20" t="s">
        <v>773</v>
      </c>
      <c r="N20" t="s">
        <v>785</v>
      </c>
      <c r="O20" t="s">
        <v>786</v>
      </c>
      <c r="P20" t="s">
        <v>787</v>
      </c>
      <c r="Q20" t="s">
        <v>788</v>
      </c>
      <c r="R20" t="s">
        <v>789</v>
      </c>
      <c r="S20" t="s">
        <v>790</v>
      </c>
      <c r="T20" t="s">
        <v>791</v>
      </c>
      <c r="U20" t="s">
        <v>792</v>
      </c>
      <c r="V20" s="108" t="s">
        <v>793</v>
      </c>
    </row>
    <row r="21" spans="2:22" hidden="1">
      <c r="B21" s="90" t="s">
        <v>376</v>
      </c>
      <c r="E21" t="s">
        <v>753</v>
      </c>
      <c r="F21" t="s">
        <v>794</v>
      </c>
      <c r="L21" s="107" t="s">
        <v>750</v>
      </c>
      <c r="M21" t="s">
        <v>776</v>
      </c>
      <c r="N21" t="s">
        <v>795</v>
      </c>
      <c r="O21" t="s">
        <v>796</v>
      </c>
      <c r="P21" t="s">
        <v>797</v>
      </c>
      <c r="Q21" t="s">
        <v>798</v>
      </c>
      <c r="R21" t="s">
        <v>799</v>
      </c>
      <c r="S21" t="s">
        <v>800</v>
      </c>
      <c r="T21" t="s">
        <v>801</v>
      </c>
      <c r="U21" t="s">
        <v>802</v>
      </c>
      <c r="V21" s="108" t="s">
        <v>803</v>
      </c>
    </row>
    <row r="22" spans="2:22" hidden="1">
      <c r="B22" s="90" t="s">
        <v>384</v>
      </c>
      <c r="E22" t="s">
        <v>753</v>
      </c>
      <c r="F22" t="s">
        <v>804</v>
      </c>
      <c r="L22" s="107" t="s">
        <v>751</v>
      </c>
      <c r="M22" t="s">
        <v>779</v>
      </c>
      <c r="N22" t="s">
        <v>805</v>
      </c>
      <c r="O22" t="s">
        <v>806</v>
      </c>
      <c r="P22" t="s">
        <v>807</v>
      </c>
      <c r="Q22" t="s">
        <v>808</v>
      </c>
      <c r="R22" t="s">
        <v>809</v>
      </c>
      <c r="S22" t="s">
        <v>810</v>
      </c>
      <c r="T22" t="s">
        <v>811</v>
      </c>
      <c r="U22" t="s">
        <v>812</v>
      </c>
      <c r="V22" s="108" t="s">
        <v>813</v>
      </c>
    </row>
    <row r="23" spans="2:22" hidden="1">
      <c r="B23" s="90" t="s">
        <v>389</v>
      </c>
      <c r="E23" t="s">
        <v>753</v>
      </c>
      <c r="F23" t="s">
        <v>814</v>
      </c>
      <c r="L23" s="107" t="s">
        <v>755</v>
      </c>
      <c r="M23" t="s">
        <v>781</v>
      </c>
      <c r="N23" t="s">
        <v>815</v>
      </c>
      <c r="O23" t="s">
        <v>816</v>
      </c>
      <c r="P23" t="s">
        <v>817</v>
      </c>
      <c r="Q23" t="s">
        <v>818</v>
      </c>
      <c r="R23" t="s">
        <v>819</v>
      </c>
      <c r="S23" t="s">
        <v>820</v>
      </c>
      <c r="T23" t="s">
        <v>821</v>
      </c>
      <c r="U23" t="s">
        <v>822</v>
      </c>
      <c r="V23" s="108" t="s">
        <v>823</v>
      </c>
    </row>
    <row r="24" spans="2:22" hidden="1">
      <c r="B24" s="92" t="s">
        <v>391</v>
      </c>
      <c r="E24" t="s">
        <v>753</v>
      </c>
      <c r="F24" t="s">
        <v>824</v>
      </c>
      <c r="L24" s="107" t="s">
        <v>758</v>
      </c>
      <c r="M24" t="s">
        <v>783</v>
      </c>
      <c r="N24" t="s">
        <v>825</v>
      </c>
      <c r="O24" t="s">
        <v>826</v>
      </c>
      <c r="P24" t="s">
        <v>827</v>
      </c>
      <c r="Q24" t="s">
        <v>828</v>
      </c>
      <c r="R24" t="s">
        <v>829</v>
      </c>
      <c r="S24" t="s">
        <v>830</v>
      </c>
      <c r="T24" t="s">
        <v>831</v>
      </c>
      <c r="U24" t="s">
        <v>832</v>
      </c>
      <c r="V24" s="108" t="s">
        <v>833</v>
      </c>
    </row>
    <row r="25" spans="2:22" hidden="1">
      <c r="E25" t="s">
        <v>753</v>
      </c>
      <c r="F25" t="s">
        <v>834</v>
      </c>
      <c r="L25" s="107" t="s">
        <v>759</v>
      </c>
      <c r="M25" t="s">
        <v>784</v>
      </c>
      <c r="N25" t="s">
        <v>835</v>
      </c>
      <c r="P25" t="s">
        <v>836</v>
      </c>
      <c r="Q25" t="s">
        <v>837</v>
      </c>
      <c r="R25" t="s">
        <v>838</v>
      </c>
      <c r="S25" t="s">
        <v>839</v>
      </c>
      <c r="T25" t="s">
        <v>840</v>
      </c>
      <c r="U25" t="s">
        <v>841</v>
      </c>
      <c r="V25" s="108"/>
    </row>
    <row r="26" spans="2:22" hidden="1">
      <c r="E26" t="s">
        <v>753</v>
      </c>
      <c r="F26" t="s">
        <v>842</v>
      </c>
      <c r="L26" s="107" t="s">
        <v>762</v>
      </c>
      <c r="M26" t="s">
        <v>794</v>
      </c>
      <c r="N26" t="s">
        <v>843</v>
      </c>
      <c r="P26" t="s">
        <v>844</v>
      </c>
      <c r="Q26" t="s">
        <v>845</v>
      </c>
      <c r="R26" t="s">
        <v>846</v>
      </c>
      <c r="S26" t="s">
        <v>847</v>
      </c>
      <c r="T26" t="s">
        <v>848</v>
      </c>
      <c r="U26" t="s">
        <v>849</v>
      </c>
      <c r="V26" s="108"/>
    </row>
    <row r="27" spans="2:22" hidden="1">
      <c r="E27" t="s">
        <v>753</v>
      </c>
      <c r="F27" t="s">
        <v>850</v>
      </c>
      <c r="L27" s="107" t="s">
        <v>765</v>
      </c>
      <c r="M27" t="s">
        <v>804</v>
      </c>
      <c r="N27" t="s">
        <v>851</v>
      </c>
      <c r="P27" t="s">
        <v>852</v>
      </c>
      <c r="Q27" t="s">
        <v>853</v>
      </c>
      <c r="R27" t="s">
        <v>854</v>
      </c>
      <c r="S27" t="s">
        <v>855</v>
      </c>
      <c r="T27" t="s">
        <v>856</v>
      </c>
      <c r="U27" t="s">
        <v>857</v>
      </c>
      <c r="V27" s="108"/>
    </row>
    <row r="28" spans="2:22" hidden="1">
      <c r="E28" t="s">
        <v>753</v>
      </c>
      <c r="F28" t="s">
        <v>858</v>
      </c>
      <c r="L28" s="107" t="s">
        <v>767</v>
      </c>
      <c r="M28" t="s">
        <v>814</v>
      </c>
      <c r="N28" t="s">
        <v>859</v>
      </c>
      <c r="P28" t="s">
        <v>860</v>
      </c>
      <c r="Q28" t="s">
        <v>861</v>
      </c>
      <c r="R28" t="s">
        <v>862</v>
      </c>
      <c r="S28" t="s">
        <v>863</v>
      </c>
      <c r="T28" t="s">
        <v>864</v>
      </c>
      <c r="V28" s="108"/>
    </row>
    <row r="29" spans="2:22" hidden="1">
      <c r="E29" t="s">
        <v>753</v>
      </c>
      <c r="F29" t="s">
        <v>865</v>
      </c>
      <c r="L29" s="110" t="s">
        <v>770</v>
      </c>
      <c r="M29" s="111" t="s">
        <v>824</v>
      </c>
      <c r="N29" s="111" t="s">
        <v>866</v>
      </c>
      <c r="O29" s="111"/>
      <c r="P29" s="111" t="s">
        <v>867</v>
      </c>
      <c r="Q29" s="111" t="s">
        <v>868</v>
      </c>
      <c r="R29" s="111" t="s">
        <v>869</v>
      </c>
      <c r="S29" s="111" t="s">
        <v>870</v>
      </c>
      <c r="T29" s="111" t="s">
        <v>871</v>
      </c>
      <c r="U29" s="111"/>
      <c r="V29" s="112"/>
    </row>
    <row r="30" spans="2:22" hidden="1">
      <c r="E30" t="s">
        <v>753</v>
      </c>
      <c r="F30" t="s">
        <v>872</v>
      </c>
      <c r="M30" t="s">
        <v>834</v>
      </c>
      <c r="N30" t="s">
        <v>873</v>
      </c>
      <c r="P30" t="s">
        <v>874</v>
      </c>
      <c r="R30" t="s">
        <v>875</v>
      </c>
      <c r="S30" t="s">
        <v>876</v>
      </c>
      <c r="T30" t="s">
        <v>877</v>
      </c>
    </row>
    <row r="31" spans="2:22" hidden="1">
      <c r="E31" t="s">
        <v>753</v>
      </c>
      <c r="F31" t="s">
        <v>878</v>
      </c>
      <c r="M31" t="s">
        <v>842</v>
      </c>
      <c r="N31" t="s">
        <v>879</v>
      </c>
      <c r="P31" t="s">
        <v>880</v>
      </c>
      <c r="R31" t="s">
        <v>881</v>
      </c>
      <c r="S31" t="s">
        <v>882</v>
      </c>
    </row>
    <row r="32" spans="2:22" hidden="1">
      <c r="E32" t="s">
        <v>753</v>
      </c>
      <c r="F32" t="s">
        <v>883</v>
      </c>
      <c r="M32" t="s">
        <v>850</v>
      </c>
      <c r="P32" t="s">
        <v>884</v>
      </c>
      <c r="R32" t="s">
        <v>885</v>
      </c>
      <c r="S32" t="s">
        <v>886</v>
      </c>
    </row>
    <row r="33" spans="5:18" hidden="1">
      <c r="E33" t="s">
        <v>753</v>
      </c>
      <c r="F33" t="s">
        <v>887</v>
      </c>
      <c r="M33" t="s">
        <v>858</v>
      </c>
      <c r="R33" t="s">
        <v>888</v>
      </c>
    </row>
    <row r="34" spans="5:18" hidden="1">
      <c r="E34" t="s">
        <v>753</v>
      </c>
      <c r="F34" t="s">
        <v>889</v>
      </c>
      <c r="M34" t="s">
        <v>865</v>
      </c>
      <c r="R34" t="s">
        <v>890</v>
      </c>
    </row>
    <row r="35" spans="5:18" hidden="1">
      <c r="E35" t="s">
        <v>756</v>
      </c>
      <c r="F35" t="s">
        <v>785</v>
      </c>
      <c r="M35" t="s">
        <v>872</v>
      </c>
      <c r="R35" t="s">
        <v>891</v>
      </c>
    </row>
    <row r="36" spans="5:18" hidden="1">
      <c r="E36" t="s">
        <v>756</v>
      </c>
      <c r="F36" t="s">
        <v>795</v>
      </c>
      <c r="M36" t="s">
        <v>878</v>
      </c>
      <c r="R36" t="s">
        <v>892</v>
      </c>
    </row>
    <row r="37" spans="5:18" hidden="1">
      <c r="E37" t="s">
        <v>756</v>
      </c>
      <c r="F37" t="s">
        <v>805</v>
      </c>
      <c r="M37" t="s">
        <v>883</v>
      </c>
    </row>
    <row r="38" spans="5:18" hidden="1">
      <c r="E38" t="s">
        <v>756</v>
      </c>
      <c r="F38" t="s">
        <v>815</v>
      </c>
      <c r="M38" t="s">
        <v>887</v>
      </c>
    </row>
    <row r="39" spans="5:18" hidden="1">
      <c r="E39" t="s">
        <v>756</v>
      </c>
      <c r="F39" t="s">
        <v>825</v>
      </c>
      <c r="M39" t="s">
        <v>889</v>
      </c>
    </row>
    <row r="40" spans="5:18" hidden="1">
      <c r="E40" t="s">
        <v>756</v>
      </c>
      <c r="F40" t="s">
        <v>835</v>
      </c>
    </row>
    <row r="41" spans="5:18" hidden="1">
      <c r="E41" t="s">
        <v>756</v>
      </c>
      <c r="F41" t="s">
        <v>843</v>
      </c>
    </row>
    <row r="42" spans="5:18">
      <c r="E42" t="s">
        <v>756</v>
      </c>
      <c r="F42" t="s">
        <v>851</v>
      </c>
    </row>
    <row r="43" spans="5:18">
      <c r="E43" t="s">
        <v>756</v>
      </c>
      <c r="F43" t="s">
        <v>859</v>
      </c>
    </row>
    <row r="44" spans="5:18">
      <c r="E44" t="s">
        <v>756</v>
      </c>
      <c r="F44" t="s">
        <v>866</v>
      </c>
    </row>
    <row r="45" spans="5:18">
      <c r="E45" t="s">
        <v>756</v>
      </c>
      <c r="F45" t="s">
        <v>873</v>
      </c>
    </row>
    <row r="46" spans="5:18">
      <c r="E46" t="s">
        <v>756</v>
      </c>
      <c r="F46" t="s">
        <v>879</v>
      </c>
    </row>
    <row r="47" spans="5:18">
      <c r="E47" t="s">
        <v>738</v>
      </c>
      <c r="F47" t="s">
        <v>786</v>
      </c>
    </row>
    <row r="48" spans="5:18">
      <c r="E48" t="s">
        <v>738</v>
      </c>
      <c r="F48" t="s">
        <v>796</v>
      </c>
    </row>
    <row r="49" spans="5:6">
      <c r="E49" t="s">
        <v>738</v>
      </c>
      <c r="F49" t="s">
        <v>806</v>
      </c>
    </row>
    <row r="50" spans="5:6">
      <c r="E50" t="s">
        <v>738</v>
      </c>
      <c r="F50" t="s">
        <v>816</v>
      </c>
    </row>
    <row r="51" spans="5:6">
      <c r="E51" t="s">
        <v>738</v>
      </c>
      <c r="F51" t="s">
        <v>826</v>
      </c>
    </row>
    <row r="52" spans="5:6">
      <c r="E52" t="s">
        <v>760</v>
      </c>
      <c r="F52" t="s">
        <v>787</v>
      </c>
    </row>
    <row r="53" spans="5:6">
      <c r="E53" t="s">
        <v>760</v>
      </c>
      <c r="F53" t="s">
        <v>797</v>
      </c>
    </row>
    <row r="54" spans="5:6">
      <c r="E54" t="s">
        <v>760</v>
      </c>
      <c r="F54" t="s">
        <v>807</v>
      </c>
    </row>
    <row r="55" spans="5:6">
      <c r="E55" t="s">
        <v>760</v>
      </c>
      <c r="F55" t="s">
        <v>817</v>
      </c>
    </row>
    <row r="56" spans="5:6">
      <c r="E56" t="s">
        <v>760</v>
      </c>
      <c r="F56" t="s">
        <v>827</v>
      </c>
    </row>
    <row r="57" spans="5:6">
      <c r="E57" t="s">
        <v>760</v>
      </c>
      <c r="F57" t="s">
        <v>836</v>
      </c>
    </row>
    <row r="58" spans="5:6">
      <c r="E58" t="s">
        <v>760</v>
      </c>
      <c r="F58" t="s">
        <v>844</v>
      </c>
    </row>
    <row r="59" spans="5:6">
      <c r="E59" t="s">
        <v>760</v>
      </c>
      <c r="F59" t="s">
        <v>852</v>
      </c>
    </row>
    <row r="60" spans="5:6">
      <c r="E60" t="s">
        <v>760</v>
      </c>
      <c r="F60" t="s">
        <v>860</v>
      </c>
    </row>
    <row r="61" spans="5:6">
      <c r="E61" t="s">
        <v>760</v>
      </c>
      <c r="F61" t="s">
        <v>867</v>
      </c>
    </row>
    <row r="62" spans="5:6">
      <c r="E62" t="s">
        <v>760</v>
      </c>
      <c r="F62" t="s">
        <v>874</v>
      </c>
    </row>
    <row r="63" spans="5:6">
      <c r="E63" t="s">
        <v>760</v>
      </c>
      <c r="F63" t="s">
        <v>880</v>
      </c>
    </row>
    <row r="64" spans="5:6">
      <c r="E64" t="s">
        <v>760</v>
      </c>
      <c r="F64" t="s">
        <v>884</v>
      </c>
    </row>
    <row r="65" spans="5:6">
      <c r="E65" t="s">
        <v>763</v>
      </c>
      <c r="F65" t="s">
        <v>788</v>
      </c>
    </row>
    <row r="66" spans="5:6">
      <c r="E66" t="s">
        <v>763</v>
      </c>
      <c r="F66" t="s">
        <v>798</v>
      </c>
    </row>
    <row r="67" spans="5:6">
      <c r="E67" t="s">
        <v>763</v>
      </c>
      <c r="F67" t="s">
        <v>808</v>
      </c>
    </row>
    <row r="68" spans="5:6">
      <c r="E68" t="s">
        <v>763</v>
      </c>
      <c r="F68" t="s">
        <v>818</v>
      </c>
    </row>
    <row r="69" spans="5:6">
      <c r="E69" t="s">
        <v>763</v>
      </c>
      <c r="F69" t="s">
        <v>828</v>
      </c>
    </row>
    <row r="70" spans="5:6">
      <c r="E70" t="s">
        <v>763</v>
      </c>
      <c r="F70" t="s">
        <v>837</v>
      </c>
    </row>
    <row r="71" spans="5:6">
      <c r="E71" t="s">
        <v>763</v>
      </c>
      <c r="F71" t="s">
        <v>845</v>
      </c>
    </row>
    <row r="72" spans="5:6">
      <c r="E72" t="s">
        <v>763</v>
      </c>
      <c r="F72" t="s">
        <v>853</v>
      </c>
    </row>
    <row r="73" spans="5:6">
      <c r="E73" t="s">
        <v>763</v>
      </c>
      <c r="F73" t="s">
        <v>861</v>
      </c>
    </row>
    <row r="74" spans="5:6">
      <c r="E74" t="s">
        <v>763</v>
      </c>
      <c r="F74" t="s">
        <v>868</v>
      </c>
    </row>
    <row r="75" spans="5:6">
      <c r="E75" t="s">
        <v>766</v>
      </c>
      <c r="F75" t="s">
        <v>789</v>
      </c>
    </row>
    <row r="76" spans="5:6">
      <c r="E76" t="s">
        <v>766</v>
      </c>
      <c r="F76" t="s">
        <v>799</v>
      </c>
    </row>
    <row r="77" spans="5:6">
      <c r="E77" t="s">
        <v>766</v>
      </c>
      <c r="F77" t="s">
        <v>809</v>
      </c>
    </row>
    <row r="78" spans="5:6">
      <c r="E78" t="s">
        <v>766</v>
      </c>
      <c r="F78" t="s">
        <v>819</v>
      </c>
    </row>
    <row r="79" spans="5:6">
      <c r="E79" t="s">
        <v>766</v>
      </c>
      <c r="F79" t="s">
        <v>829</v>
      </c>
    </row>
    <row r="80" spans="5:6">
      <c r="E80" t="s">
        <v>766</v>
      </c>
      <c r="F80" t="s">
        <v>838</v>
      </c>
    </row>
    <row r="81" spans="5:6">
      <c r="E81" t="s">
        <v>766</v>
      </c>
      <c r="F81" t="s">
        <v>846</v>
      </c>
    </row>
    <row r="82" spans="5:6">
      <c r="E82" t="s">
        <v>766</v>
      </c>
      <c r="F82" t="s">
        <v>854</v>
      </c>
    </row>
    <row r="83" spans="5:6">
      <c r="E83" t="s">
        <v>766</v>
      </c>
      <c r="F83" t="s">
        <v>862</v>
      </c>
    </row>
    <row r="84" spans="5:6">
      <c r="E84" t="s">
        <v>766</v>
      </c>
      <c r="F84" t="s">
        <v>869</v>
      </c>
    </row>
    <row r="85" spans="5:6">
      <c r="E85" t="s">
        <v>766</v>
      </c>
      <c r="F85" t="s">
        <v>875</v>
      </c>
    </row>
    <row r="86" spans="5:6">
      <c r="E86" t="s">
        <v>766</v>
      </c>
      <c r="F86" t="s">
        <v>881</v>
      </c>
    </row>
    <row r="87" spans="5:6">
      <c r="E87" t="s">
        <v>766</v>
      </c>
      <c r="F87" t="s">
        <v>885</v>
      </c>
    </row>
    <row r="88" spans="5:6">
      <c r="E88" t="s">
        <v>766</v>
      </c>
      <c r="F88" t="s">
        <v>888</v>
      </c>
    </row>
    <row r="89" spans="5:6">
      <c r="E89" t="s">
        <v>766</v>
      </c>
      <c r="F89" t="s">
        <v>890</v>
      </c>
    </row>
    <row r="90" spans="5:6">
      <c r="E90" t="s">
        <v>766</v>
      </c>
      <c r="F90" t="s">
        <v>891</v>
      </c>
    </row>
    <row r="91" spans="5:6">
      <c r="E91" t="s">
        <v>766</v>
      </c>
      <c r="F91" t="s">
        <v>892</v>
      </c>
    </row>
    <row r="92" spans="5:6">
      <c r="E92" t="s">
        <v>768</v>
      </c>
      <c r="F92" t="s">
        <v>790</v>
      </c>
    </row>
    <row r="93" spans="5:6">
      <c r="E93" t="s">
        <v>768</v>
      </c>
      <c r="F93" t="s">
        <v>800</v>
      </c>
    </row>
    <row r="94" spans="5:6">
      <c r="E94" t="s">
        <v>768</v>
      </c>
      <c r="F94" t="s">
        <v>810</v>
      </c>
    </row>
    <row r="95" spans="5:6">
      <c r="E95" t="s">
        <v>768</v>
      </c>
      <c r="F95" t="s">
        <v>820</v>
      </c>
    </row>
    <row r="96" spans="5:6">
      <c r="E96" t="s">
        <v>768</v>
      </c>
      <c r="F96" t="s">
        <v>830</v>
      </c>
    </row>
    <row r="97" spans="5:6">
      <c r="E97" t="s">
        <v>768</v>
      </c>
      <c r="F97" t="s">
        <v>839</v>
      </c>
    </row>
    <row r="98" spans="5:6">
      <c r="E98" t="s">
        <v>768</v>
      </c>
      <c r="F98" t="s">
        <v>847</v>
      </c>
    </row>
    <row r="99" spans="5:6">
      <c r="E99" t="s">
        <v>768</v>
      </c>
      <c r="F99" t="s">
        <v>855</v>
      </c>
    </row>
    <row r="100" spans="5:6">
      <c r="E100" t="s">
        <v>768</v>
      </c>
      <c r="F100" t="s">
        <v>863</v>
      </c>
    </row>
    <row r="101" spans="5:6">
      <c r="E101" t="s">
        <v>768</v>
      </c>
      <c r="F101" t="s">
        <v>870</v>
      </c>
    </row>
    <row r="102" spans="5:6">
      <c r="E102" t="s">
        <v>768</v>
      </c>
      <c r="F102" t="s">
        <v>876</v>
      </c>
    </row>
    <row r="103" spans="5:6">
      <c r="E103" t="s">
        <v>768</v>
      </c>
      <c r="F103" t="s">
        <v>882</v>
      </c>
    </row>
    <row r="104" spans="5:6">
      <c r="E104" t="s">
        <v>768</v>
      </c>
      <c r="F104" t="s">
        <v>886</v>
      </c>
    </row>
    <row r="105" spans="5:6">
      <c r="E105" t="s">
        <v>771</v>
      </c>
      <c r="F105" t="s">
        <v>791</v>
      </c>
    </row>
    <row r="106" spans="5:6">
      <c r="E106" t="s">
        <v>771</v>
      </c>
      <c r="F106" t="s">
        <v>801</v>
      </c>
    </row>
    <row r="107" spans="5:6">
      <c r="E107" t="s">
        <v>771</v>
      </c>
      <c r="F107" t="s">
        <v>811</v>
      </c>
    </row>
    <row r="108" spans="5:6">
      <c r="E108" t="s">
        <v>771</v>
      </c>
      <c r="F108" t="s">
        <v>821</v>
      </c>
    </row>
    <row r="109" spans="5:6">
      <c r="E109" t="s">
        <v>771</v>
      </c>
      <c r="F109" t="s">
        <v>831</v>
      </c>
    </row>
    <row r="110" spans="5:6">
      <c r="E110" t="s">
        <v>771</v>
      </c>
      <c r="F110" t="s">
        <v>840</v>
      </c>
    </row>
    <row r="111" spans="5:6">
      <c r="E111" t="s">
        <v>771</v>
      </c>
      <c r="F111" t="s">
        <v>848</v>
      </c>
    </row>
    <row r="112" spans="5:6">
      <c r="E112" t="s">
        <v>771</v>
      </c>
      <c r="F112" t="s">
        <v>856</v>
      </c>
    </row>
    <row r="113" spans="5:6">
      <c r="E113" t="s">
        <v>771</v>
      </c>
      <c r="F113" t="s">
        <v>864</v>
      </c>
    </row>
    <row r="114" spans="5:6">
      <c r="E114" t="s">
        <v>771</v>
      </c>
      <c r="F114" t="s">
        <v>871</v>
      </c>
    </row>
    <row r="115" spans="5:6">
      <c r="E115" t="s">
        <v>771</v>
      </c>
      <c r="F115" t="s">
        <v>877</v>
      </c>
    </row>
    <row r="116" spans="5:6">
      <c r="E116" t="s">
        <v>774</v>
      </c>
      <c r="F116" t="s">
        <v>792</v>
      </c>
    </row>
    <row r="117" spans="5:6">
      <c r="E117" t="s">
        <v>774</v>
      </c>
      <c r="F117" t="s">
        <v>802</v>
      </c>
    </row>
    <row r="118" spans="5:6">
      <c r="E118" t="s">
        <v>774</v>
      </c>
      <c r="F118" t="s">
        <v>812</v>
      </c>
    </row>
    <row r="119" spans="5:6">
      <c r="E119" t="s">
        <v>774</v>
      </c>
      <c r="F119" t="s">
        <v>822</v>
      </c>
    </row>
    <row r="120" spans="5:6">
      <c r="E120" t="s">
        <v>774</v>
      </c>
      <c r="F120" t="s">
        <v>832</v>
      </c>
    </row>
    <row r="121" spans="5:6">
      <c r="E121" t="s">
        <v>774</v>
      </c>
      <c r="F121" t="s">
        <v>841</v>
      </c>
    </row>
    <row r="122" spans="5:6">
      <c r="E122" t="s">
        <v>774</v>
      </c>
      <c r="F122" t="s">
        <v>849</v>
      </c>
    </row>
    <row r="123" spans="5:6">
      <c r="E123" t="s">
        <v>774</v>
      </c>
      <c r="F123" t="s">
        <v>857</v>
      </c>
    </row>
    <row r="124" spans="5:6">
      <c r="E124" t="s">
        <v>777</v>
      </c>
      <c r="F124" t="s">
        <v>793</v>
      </c>
    </row>
    <row r="125" spans="5:6">
      <c r="E125" t="s">
        <v>777</v>
      </c>
      <c r="F125" t="s">
        <v>803</v>
      </c>
    </row>
    <row r="126" spans="5:6">
      <c r="E126" t="s">
        <v>777</v>
      </c>
      <c r="F126" t="s">
        <v>813</v>
      </c>
    </row>
    <row r="127" spans="5:6">
      <c r="E127" t="s">
        <v>777</v>
      </c>
      <c r="F127" t="s">
        <v>823</v>
      </c>
    </row>
    <row r="128" spans="5:6">
      <c r="E128" t="s">
        <v>777</v>
      </c>
      <c r="F128" t="s">
        <v>833</v>
      </c>
    </row>
  </sheetData>
  <mergeCells count="3">
    <mergeCell ref="K2:K3"/>
    <mergeCell ref="L2:P2"/>
    <mergeCell ref="Q2:AA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881089C-6E2A-4FD7-A402-55E9C86C97B5}"/>
</file>

<file path=customXml/itemProps2.xml><?xml version="1.0" encoding="utf-8"?>
<ds:datastoreItem xmlns:ds="http://schemas.openxmlformats.org/officeDocument/2006/customXml" ds:itemID="{E4E33FEE-1117-4802-A5BB-FA073D1C6E04}"/>
</file>

<file path=customXml/itemProps3.xml><?xml version="1.0" encoding="utf-8"?>
<ds:datastoreItem xmlns:ds="http://schemas.openxmlformats.org/officeDocument/2006/customXml" ds:itemID="{B9FA5D16-A209-46BA-BA08-F617A2CD89BE}"/>
</file>

<file path=docProps/app.xml><?xml version="1.0" encoding="utf-8"?>
<Properties xmlns="http://schemas.openxmlformats.org/officeDocument/2006/extended-properties" xmlns:vt="http://schemas.openxmlformats.org/officeDocument/2006/docPropsVTypes">
  <Application>Microsoft Excel Online</Application>
  <Manager/>
  <Company>HIL CONSULTORES, S.C.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Cristina Lin</cp:lastModifiedBy>
  <cp:revision/>
  <dcterms:created xsi:type="dcterms:W3CDTF">2000-04-19T14:51:26Z</dcterms:created>
  <dcterms:modified xsi:type="dcterms:W3CDTF">2025-01-20T16:40:56Z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