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Tech 1 - TL Francisco Puebla/Salesforce Inc- Refinitiv/"/>
    </mc:Choice>
  </mc:AlternateContent>
  <xr:revisionPtr revIDLastSave="6035" documentId="13_ncr:1_{26D5CA1E-45FE-425A-8F05-72ED85C7BA47}" xr6:coauthVersionLast="47" xr6:coauthVersionMax="47" xr10:uidLastSave="{6DAEA07F-0D76-694F-84BC-C9C1253C8AF5}"/>
  <bookViews>
    <workbookView xWindow="14400" yWindow="0" windowWidth="14400" windowHeight="18000" tabRatio="644" xr2:uid="{00000000-000D-0000-FFFF-FFFF00000000}"/>
  </bookViews>
  <sheets>
    <sheet name="OP" sheetId="1" r:id="rId1"/>
    <sheet name="Segments" sheetId="3" r:id="rId2"/>
    <sheet name="Acuerdo" sheetId="11" state="hidden" r:id="rId3"/>
    <sheet name="Peers" sheetId="10" r:id="rId4"/>
    <sheet name="ESG" sheetId="19" r:id="rId5"/>
    <sheet name="DCF" sheetId="4" r:id="rId6"/>
    <sheet name="Assumptions" sheetId="22" r:id="rId7"/>
    <sheet name="Fin. Data" sheetId="16" r:id="rId8"/>
    <sheet name="Sector Impact" sheetId="18" state="hidden" r:id="rId9"/>
    <sheet name="Inputs" sheetId="17" r:id="rId10"/>
    <sheet name="Industry Averages" sheetId="25" r:id="rId11"/>
    <sheet name="Growth Industry Averages" sheetId="24" r:id="rId12"/>
  </sheets>
  <externalReferences>
    <externalReference r:id="rId13"/>
    <externalReference r:id="rId14"/>
  </externalReferences>
  <definedNames>
    <definedName name="_xlnm.Print_Area" localSheetId="0">OP!$A$1:$M$82</definedName>
    <definedName name="_xlnm.Print_Area" localSheetId="1">Segments!#REF!</definedName>
    <definedName name="Sectors" localSheetId="6">'[1]Sector Impact'!$K$4:$K$16</definedName>
    <definedName name="Sectors" localSheetId="11">'[2]Sector Impact'!$K$4:$K$16</definedName>
    <definedName name="Sectors" localSheetId="10">'[2]Sector Impact'!$K$4:$K$16</definedName>
    <definedName name="Sectors">'Sector Impact'!$K$4:$K$16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22" l="1"/>
  <c r="J19" i="22" s="1"/>
  <c r="H35" i="10"/>
  <c r="C13" i="19" l="1"/>
  <c r="D6" i="10" a="1"/>
  <c r="D6" i="10" s="1"/>
  <c r="D5" i="10" a="1"/>
  <c r="D5" i="10" s="1"/>
  <c r="D4" i="10" a="1"/>
  <c r="D4" i="10" s="1"/>
  <c r="D2" i="10" a="1"/>
  <c r="D2" i="10" s="1"/>
  <c r="D3" i="10" a="1"/>
  <c r="D3" i="10" s="1"/>
  <c r="M44" i="22"/>
  <c r="C20" i="1" a="1"/>
  <c r="C20" i="1" s="1"/>
  <c r="D74" i="4" s="1"/>
  <c r="B13" i="17"/>
  <c r="B14" i="17" s="1"/>
  <c r="I130" i="22" l="1"/>
  <c r="D130" i="22"/>
  <c r="E130" i="22"/>
  <c r="Q135" i="22" s="1"/>
  <c r="J27" i="22" s="1"/>
  <c r="E64" i="4" s="1"/>
  <c r="F130" i="22"/>
  <c r="C130" i="22"/>
  <c r="K130" i="22"/>
  <c r="L130" i="22" s="1"/>
  <c r="M130" i="22" s="1"/>
  <c r="N130" i="22" s="1"/>
  <c r="O130" i="22" s="1"/>
  <c r="P130" i="22" s="1"/>
  <c r="Q130" i="22" s="1"/>
  <c r="R130" i="22" s="1"/>
  <c r="S130" i="22" s="1"/>
  <c r="T130" i="22" s="1"/>
  <c r="U130" i="22" s="1"/>
  <c r="V130" i="22" s="1"/>
  <c r="W130" i="22" s="1"/>
  <c r="X130" i="22" s="1"/>
  <c r="Y130" i="22" s="1"/>
  <c r="Z130" i="22" s="1"/>
  <c r="AA130" i="22" s="1"/>
  <c r="AB130" i="22" s="1"/>
  <c r="AC130" i="22" s="1"/>
  <c r="AD130" i="22" s="1"/>
  <c r="AE130" i="22" s="1"/>
  <c r="AF130" i="22" s="1"/>
  <c r="AG130" i="22" s="1"/>
  <c r="AH130" i="22" s="1"/>
  <c r="AI130" i="22" s="1"/>
  <c r="L9" i="19"/>
  <c r="G130" i="22" l="1"/>
  <c r="H130" i="22" s="1"/>
  <c r="Q133" i="22" s="1"/>
  <c r="J28" i="22" s="1"/>
  <c r="F28" i="1"/>
  <c r="F27" i="1"/>
  <c r="G39" i="10"/>
  <c r="F39" i="10"/>
  <c r="E39" i="10"/>
  <c r="D39" i="10"/>
  <c r="C49" i="10"/>
  <c r="D22" i="10"/>
  <c r="D27" i="10"/>
  <c r="E27" i="10"/>
  <c r="F27" i="10"/>
  <c r="G27" i="10"/>
  <c r="H27" i="10"/>
  <c r="D146" i="22"/>
  <c r="D144" i="22"/>
  <c r="E144" i="22"/>
  <c r="F144" i="22"/>
  <c r="C155" i="22"/>
  <c r="F155" i="22"/>
  <c r="E155" i="22"/>
  <c r="D155" i="22"/>
  <c r="F147" i="22"/>
  <c r="E147" i="22"/>
  <c r="D147" i="22"/>
  <c r="F146" i="22"/>
  <c r="E146" i="22"/>
  <c r="E137" i="22"/>
  <c r="F137" i="22" s="1"/>
  <c r="G137" i="22" s="1"/>
  <c r="H137" i="22" s="1"/>
  <c r="I137" i="22" s="1"/>
  <c r="J137" i="22" s="1"/>
  <c r="K137" i="22" s="1"/>
  <c r="L137" i="22" s="1"/>
  <c r="M137" i="22" s="1"/>
  <c r="N137" i="22" s="1"/>
  <c r="O137" i="22" s="1"/>
  <c r="P137" i="22" s="1"/>
  <c r="Q137" i="22" s="1"/>
  <c r="R137" i="22" s="1"/>
  <c r="S137" i="22" s="1"/>
  <c r="T137" i="22" s="1"/>
  <c r="U137" i="22" s="1"/>
  <c r="V137" i="22" s="1"/>
  <c r="W137" i="22" s="1"/>
  <c r="X137" i="22" s="1"/>
  <c r="Y137" i="22" s="1"/>
  <c r="Z137" i="22" s="1"/>
  <c r="AA137" i="22" s="1"/>
  <c r="AB137" i="22" s="1"/>
  <c r="AC137" i="22" s="1"/>
  <c r="AD137" i="22" s="1"/>
  <c r="AE137" i="22" s="1"/>
  <c r="AF137" i="22" s="1"/>
  <c r="D149" i="22" l="1"/>
  <c r="D151" i="22" s="1"/>
  <c r="D21" i="4" s="1"/>
  <c r="E149" i="22"/>
  <c r="G144" i="22"/>
  <c r="F149" i="22"/>
  <c r="F151" i="22" l="1"/>
  <c r="F21" i="4" s="1"/>
  <c r="E151" i="22"/>
  <c r="E21" i="4" s="1"/>
  <c r="L68" i="22" l="1"/>
  <c r="M68" i="22" s="1"/>
  <c r="N68" i="22" s="1"/>
  <c r="O68" i="22" s="1"/>
  <c r="P68" i="22" s="1"/>
  <c r="Q68" i="22" s="1"/>
  <c r="R68" i="22" s="1"/>
  <c r="S68" i="22" s="1"/>
  <c r="T68" i="22" s="1"/>
  <c r="U68" i="22" s="1"/>
  <c r="V68" i="22" s="1"/>
  <c r="W68" i="22" s="1"/>
  <c r="X68" i="22" s="1"/>
  <c r="Y68" i="22" s="1"/>
  <c r="Z68" i="22" s="1"/>
  <c r="AA68" i="22" s="1"/>
  <c r="AB68" i="22" s="1"/>
  <c r="AC68" i="22" s="1"/>
  <c r="AD68" i="22" s="1"/>
  <c r="AE68" i="22" s="1"/>
  <c r="AF68" i="22" s="1"/>
  <c r="AG68" i="22" s="1"/>
  <c r="AH68" i="22" s="1"/>
  <c r="AI68" i="22" s="1"/>
  <c r="AJ68" i="22" s="1"/>
  <c r="H69" i="22"/>
  <c r="I69" i="22" s="1"/>
  <c r="H70" i="22"/>
  <c r="I70" i="22" s="1"/>
  <c r="H68" i="22"/>
  <c r="I68" i="22" s="1"/>
  <c r="D71" i="22"/>
  <c r="E71" i="22"/>
  <c r="G71" i="22"/>
  <c r="F71" i="22"/>
  <c r="U73" i="22" s="1"/>
  <c r="I25" i="22"/>
  <c r="J25" i="22" s="1"/>
  <c r="I27" i="22"/>
  <c r="H71" i="22" l="1"/>
  <c r="I71" i="22" s="1"/>
  <c r="W71" i="22" s="1"/>
  <c r="E55" i="4"/>
  <c r="O118" i="22"/>
  <c r="P118" i="22" s="1"/>
  <c r="Q118" i="22" s="1"/>
  <c r="R118" i="22" s="1"/>
  <c r="S118" i="22" s="1"/>
  <c r="T118" i="22" s="1"/>
  <c r="U118" i="22" s="1"/>
  <c r="V118" i="22" s="1"/>
  <c r="T110" i="22"/>
  <c r="U110" i="22"/>
  <c r="V110" i="22"/>
  <c r="W110" i="22"/>
  <c r="X110" i="22"/>
  <c r="Y110" i="22"/>
  <c r="Z110" i="22"/>
  <c r="AA110" i="22"/>
  <c r="AB110" i="22"/>
  <c r="AC110" i="22"/>
  <c r="AD110" i="22"/>
  <c r="AE110" i="22"/>
  <c r="AF110" i="22"/>
  <c r="AG110" i="22"/>
  <c r="AH110" i="22"/>
  <c r="S110" i="22"/>
  <c r="T106" i="22"/>
  <c r="U106" i="22"/>
  <c r="V106" i="22"/>
  <c r="W106" i="22"/>
  <c r="X106" i="22"/>
  <c r="Y106" i="22"/>
  <c r="Z106" i="22"/>
  <c r="AA106" i="22"/>
  <c r="AB106" i="22"/>
  <c r="AC106" i="22"/>
  <c r="AD106" i="22"/>
  <c r="AE106" i="22"/>
  <c r="AF106" i="22"/>
  <c r="AG106" i="22"/>
  <c r="AH106" i="22"/>
  <c r="S106" i="22"/>
  <c r="J104" i="22"/>
  <c r="K104" i="22" s="1"/>
  <c r="L104" i="22" s="1"/>
  <c r="M104" i="22" s="1"/>
  <c r="N104" i="22" s="1"/>
  <c r="O104" i="22" s="1"/>
  <c r="P104" i="22" s="1"/>
  <c r="Q104" i="22" s="1"/>
  <c r="R104" i="22" s="1"/>
  <c r="S104" i="22" s="1"/>
  <c r="T104" i="22" s="1"/>
  <c r="U104" i="22" s="1"/>
  <c r="V104" i="22" s="1"/>
  <c r="W104" i="22" s="1"/>
  <c r="X104" i="22" s="1"/>
  <c r="Y104" i="22" s="1"/>
  <c r="Z104" i="22" s="1"/>
  <c r="AA104" i="22" s="1"/>
  <c r="AB104" i="22" s="1"/>
  <c r="AC104" i="22" s="1"/>
  <c r="AD104" i="22" s="1"/>
  <c r="AE104" i="22" s="1"/>
  <c r="AF104" i="22" s="1"/>
  <c r="AG104" i="22" s="1"/>
  <c r="AH104" i="22" s="1"/>
  <c r="J122" i="22"/>
  <c r="K122" i="22" s="1"/>
  <c r="L122" i="22" s="1"/>
  <c r="M122" i="22" s="1"/>
  <c r="N122" i="22" s="1"/>
  <c r="O122" i="22" s="1"/>
  <c r="P122" i="22" s="1"/>
  <c r="Q122" i="22" s="1"/>
  <c r="R122" i="22" s="1"/>
  <c r="S122" i="22" s="1"/>
  <c r="T122" i="22" s="1"/>
  <c r="U122" i="22" s="1"/>
  <c r="V122" i="22" s="1"/>
  <c r="W122" i="22" s="1"/>
  <c r="X122" i="22" s="1"/>
  <c r="Y122" i="22" s="1"/>
  <c r="Z122" i="22" s="1"/>
  <c r="AA122" i="22" s="1"/>
  <c r="AB122" i="22" s="1"/>
  <c r="AC122" i="22" s="1"/>
  <c r="AD122" i="22" s="1"/>
  <c r="AE122" i="22" s="1"/>
  <c r="AF122" i="22" s="1"/>
  <c r="AG122" i="22" s="1"/>
  <c r="AH122" i="22" s="1"/>
  <c r="E57" i="4"/>
  <c r="D83" i="22"/>
  <c r="W118" i="22" l="1"/>
  <c r="G10" i="4"/>
  <c r="D33" i="10"/>
  <c r="D34" i="10"/>
  <c r="H73" i="10"/>
  <c r="E65" i="4"/>
  <c r="I28" i="22"/>
  <c r="D65" i="4" s="1"/>
  <c r="D64" i="4"/>
  <c r="E58" i="4"/>
  <c r="D60" i="4"/>
  <c r="E60" i="4"/>
  <c r="D62" i="4"/>
  <c r="E62" i="4"/>
  <c r="D66" i="4"/>
  <c r="E66" i="4"/>
  <c r="D67" i="4"/>
  <c r="E67" i="4"/>
  <c r="D53" i="4"/>
  <c r="G9" i="4" s="1"/>
  <c r="J91" i="22"/>
  <c r="K91" i="22" s="1"/>
  <c r="L91" i="22" s="1"/>
  <c r="M91" i="22" s="1"/>
  <c r="N91" i="22" s="1"/>
  <c r="O91" i="22" s="1"/>
  <c r="P91" i="22" s="1"/>
  <c r="Q91" i="22" s="1"/>
  <c r="R91" i="22" s="1"/>
  <c r="S91" i="22" s="1"/>
  <c r="T91" i="22" s="1"/>
  <c r="U91" i="22" s="1"/>
  <c r="V91" i="22" s="1"/>
  <c r="W91" i="22" s="1"/>
  <c r="X91" i="22" s="1"/>
  <c r="Y91" i="22" s="1"/>
  <c r="Z91" i="22" s="1"/>
  <c r="AA91" i="22" s="1"/>
  <c r="AB91" i="22" s="1"/>
  <c r="AC91" i="22" s="1"/>
  <c r="AD91" i="22" s="1"/>
  <c r="AE91" i="22" s="1"/>
  <c r="AF91" i="22" s="1"/>
  <c r="AG91" i="22" s="1"/>
  <c r="AH91" i="22" s="1"/>
  <c r="AG101" i="22"/>
  <c r="AB101" i="22"/>
  <c r="W101" i="22"/>
  <c r="J98" i="22"/>
  <c r="K98" i="22" s="1"/>
  <c r="L98" i="22" s="1"/>
  <c r="M98" i="22" s="1"/>
  <c r="N98" i="22" s="1"/>
  <c r="O98" i="22" s="1"/>
  <c r="P98" i="22" s="1"/>
  <c r="Q98" i="22" s="1"/>
  <c r="R98" i="22" s="1"/>
  <c r="S98" i="22" s="1"/>
  <c r="T98" i="22" s="1"/>
  <c r="U98" i="22" s="1"/>
  <c r="V98" i="22" s="1"/>
  <c r="W98" i="22" s="1"/>
  <c r="X98" i="22" s="1"/>
  <c r="Y98" i="22" s="1"/>
  <c r="Z98" i="22" s="1"/>
  <c r="AA98" i="22" s="1"/>
  <c r="AB98" i="22" s="1"/>
  <c r="AC98" i="22" s="1"/>
  <c r="AD98" i="22" s="1"/>
  <c r="AE98" i="22" s="1"/>
  <c r="AF98" i="22" s="1"/>
  <c r="AG98" i="22" s="1"/>
  <c r="AH98" i="22" s="1"/>
  <c r="J22" i="22"/>
  <c r="E59" i="4" s="1"/>
  <c r="I22" i="22"/>
  <c r="D59" i="4" s="1"/>
  <c r="J62" i="22"/>
  <c r="K62" i="22" s="1"/>
  <c r="L62" i="22" s="1"/>
  <c r="M62" i="22" s="1"/>
  <c r="N62" i="22" s="1"/>
  <c r="O62" i="22" s="1"/>
  <c r="P62" i="22" s="1"/>
  <c r="Q62" i="22" s="1"/>
  <c r="R62" i="22" s="1"/>
  <c r="S62" i="22" s="1"/>
  <c r="T62" i="22" s="1"/>
  <c r="U62" i="22" s="1"/>
  <c r="V62" i="22" s="1"/>
  <c r="W62" i="22" s="1"/>
  <c r="X62" i="22" s="1"/>
  <c r="Y62" i="22" s="1"/>
  <c r="Z62" i="22" s="1"/>
  <c r="AA62" i="22" s="1"/>
  <c r="AB62" i="22" s="1"/>
  <c r="AC62" i="22" s="1"/>
  <c r="AD62" i="22" s="1"/>
  <c r="AE62" i="22" s="1"/>
  <c r="AF62" i="22" s="1"/>
  <c r="AG62" i="22" s="1"/>
  <c r="AH62" i="22" s="1"/>
  <c r="M59" i="22"/>
  <c r="J55" i="22"/>
  <c r="K55" i="22" s="1"/>
  <c r="L55" i="22" s="1"/>
  <c r="M55" i="22" s="1"/>
  <c r="N55" i="22" s="1"/>
  <c r="O55" i="22" s="1"/>
  <c r="P55" i="22" s="1"/>
  <c r="Q55" i="22" s="1"/>
  <c r="R55" i="22" s="1"/>
  <c r="S55" i="22" s="1"/>
  <c r="T55" i="22" s="1"/>
  <c r="U55" i="22" s="1"/>
  <c r="V55" i="22" s="1"/>
  <c r="W55" i="22" s="1"/>
  <c r="X55" i="22" s="1"/>
  <c r="Y55" i="22" s="1"/>
  <c r="Z55" i="22" s="1"/>
  <c r="AA55" i="22" s="1"/>
  <c r="AB55" i="22" s="1"/>
  <c r="AC55" i="22" s="1"/>
  <c r="AD55" i="22" s="1"/>
  <c r="AE55" i="22" s="1"/>
  <c r="AF55" i="22" s="1"/>
  <c r="AG55" i="22" s="1"/>
  <c r="AH55" i="22" s="1"/>
  <c r="J48" i="22"/>
  <c r="K48" i="22" s="1"/>
  <c r="L48" i="22" s="1"/>
  <c r="M48" i="22" s="1"/>
  <c r="N48" i="22" s="1"/>
  <c r="O48" i="22" s="1"/>
  <c r="P48" i="22" s="1"/>
  <c r="Q48" i="22" s="1"/>
  <c r="R48" i="22" s="1"/>
  <c r="S48" i="22" s="1"/>
  <c r="T48" i="22" s="1"/>
  <c r="U48" i="22" s="1"/>
  <c r="V48" i="22" s="1"/>
  <c r="W48" i="22" s="1"/>
  <c r="X48" i="22" s="1"/>
  <c r="Y48" i="22" s="1"/>
  <c r="Z48" i="22" s="1"/>
  <c r="AA48" i="22" s="1"/>
  <c r="AB48" i="22" s="1"/>
  <c r="AC48" i="22" s="1"/>
  <c r="AD48" i="22" s="1"/>
  <c r="AE48" i="22" s="1"/>
  <c r="AF48" i="22" s="1"/>
  <c r="AG48" i="22" s="1"/>
  <c r="AH48" i="22" s="1"/>
  <c r="E76" i="22"/>
  <c r="E77" i="22"/>
  <c r="E78" i="22"/>
  <c r="E79" i="22"/>
  <c r="E80" i="22"/>
  <c r="E81" i="22"/>
  <c r="E82" i="22"/>
  <c r="E75" i="22"/>
  <c r="E74" i="22"/>
  <c r="J40" i="22"/>
  <c r="K40" i="22" s="1"/>
  <c r="L40" i="22" s="1"/>
  <c r="M40" i="22" s="1"/>
  <c r="N40" i="22" s="1"/>
  <c r="O40" i="22" s="1"/>
  <c r="P40" i="22" s="1"/>
  <c r="Q40" i="22" s="1"/>
  <c r="R40" i="22" s="1"/>
  <c r="S40" i="22" s="1"/>
  <c r="T40" i="22" s="1"/>
  <c r="U40" i="22" s="1"/>
  <c r="V40" i="22" s="1"/>
  <c r="W40" i="22" s="1"/>
  <c r="X40" i="22" s="1"/>
  <c r="Y40" i="22" s="1"/>
  <c r="Z40" i="22" s="1"/>
  <c r="AA40" i="22" s="1"/>
  <c r="AB40" i="22" s="1"/>
  <c r="AC40" i="22" s="1"/>
  <c r="AD40" i="22" s="1"/>
  <c r="AE40" i="22" s="1"/>
  <c r="AF40" i="22" s="1"/>
  <c r="AG40" i="22" s="1"/>
  <c r="AH40" i="22" s="1"/>
  <c r="A1" i="16"/>
  <c r="F73" i="10"/>
  <c r="E73" i="10"/>
  <c r="D73" i="10"/>
  <c r="X118" i="22" l="1"/>
  <c r="E83" i="22"/>
  <c r="F83" i="22" s="1"/>
  <c r="I20" i="22" s="1"/>
  <c r="D57" i="4" s="1"/>
  <c r="Y118" i="22" l="1"/>
  <c r="D4" i="1" a="1"/>
  <c r="D4" i="1" s="1"/>
  <c r="M20" i="1"/>
  <c r="G39" i="4"/>
  <c r="N11" i="19"/>
  <c r="O11" i="19"/>
  <c r="O9" i="19" s="1"/>
  <c r="P11" i="19"/>
  <c r="Q11" i="19"/>
  <c r="Q8" i="19" s="1"/>
  <c r="M11" i="19"/>
  <c r="M8" i="19" s="1"/>
  <c r="B87" i="17"/>
  <c r="C87" i="17" s="1"/>
  <c r="D87" i="17" s="1"/>
  <c r="M77" i="17"/>
  <c r="L77" i="17"/>
  <c r="K77" i="17"/>
  <c r="J77" i="17"/>
  <c r="I77" i="17"/>
  <c r="H77" i="17"/>
  <c r="G77" i="17"/>
  <c r="F77" i="17"/>
  <c r="E77" i="17"/>
  <c r="D77" i="17"/>
  <c r="C77" i="17"/>
  <c r="B77" i="17"/>
  <c r="M75" i="17"/>
  <c r="L75" i="17"/>
  <c r="K75" i="17"/>
  <c r="J75" i="17"/>
  <c r="I75" i="17"/>
  <c r="H75" i="17"/>
  <c r="G75" i="17"/>
  <c r="F75" i="17"/>
  <c r="E75" i="17"/>
  <c r="D75" i="17"/>
  <c r="C75" i="17"/>
  <c r="B75" i="17"/>
  <c r="O74" i="17"/>
  <c r="M67" i="17"/>
  <c r="L67" i="17"/>
  <c r="K67" i="17"/>
  <c r="J67" i="17"/>
  <c r="I67" i="17"/>
  <c r="H67" i="17"/>
  <c r="G67" i="17"/>
  <c r="F67" i="17"/>
  <c r="E67" i="17"/>
  <c r="D67" i="17"/>
  <c r="C67" i="17"/>
  <c r="B67" i="17"/>
  <c r="M60" i="17"/>
  <c r="M63" i="17" s="1"/>
  <c r="L60" i="17"/>
  <c r="L63" i="17" s="1"/>
  <c r="K60" i="17"/>
  <c r="K63" i="17" s="1"/>
  <c r="J60" i="17"/>
  <c r="J63" i="17" s="1"/>
  <c r="I60" i="17"/>
  <c r="I63" i="17" s="1"/>
  <c r="H60" i="17"/>
  <c r="H63" i="17" s="1"/>
  <c r="G60" i="17"/>
  <c r="G63" i="17" s="1"/>
  <c r="F60" i="17"/>
  <c r="F63" i="17" s="1"/>
  <c r="E60" i="17"/>
  <c r="E63" i="17" s="1"/>
  <c r="D60" i="17"/>
  <c r="D63" i="17" s="1"/>
  <c r="C60" i="17"/>
  <c r="C63" i="17" s="1"/>
  <c r="B60" i="17"/>
  <c r="B63" i="17" s="1"/>
  <c r="M56" i="17"/>
  <c r="L56" i="17"/>
  <c r="K56" i="17"/>
  <c r="J56" i="17"/>
  <c r="I56" i="17"/>
  <c r="H56" i="17"/>
  <c r="G56" i="17"/>
  <c r="F56" i="17"/>
  <c r="E56" i="17"/>
  <c r="D56" i="17"/>
  <c r="C56" i="17"/>
  <c r="B56" i="17"/>
  <c r="AD53" i="17"/>
  <c r="AC53" i="17"/>
  <c r="AD52" i="17"/>
  <c r="AC52" i="17"/>
  <c r="AG49" i="17"/>
  <c r="AF49" i="17"/>
  <c r="AE49" i="17"/>
  <c r="AE52" i="17" s="1"/>
  <c r="AB49" i="17"/>
  <c r="AB53" i="17" s="1"/>
  <c r="AA49" i="17"/>
  <c r="AA53" i="17" s="1"/>
  <c r="Z49" i="17"/>
  <c r="Z53" i="17" s="1"/>
  <c r="AD48" i="17"/>
  <c r="AC48" i="17"/>
  <c r="AB48" i="17"/>
  <c r="AA48" i="17"/>
  <c r="Z48" i="17"/>
  <c r="M47" i="17"/>
  <c r="M50" i="17" s="1"/>
  <c r="L47" i="17"/>
  <c r="L50" i="17" s="1"/>
  <c r="K47" i="17"/>
  <c r="K50" i="17" s="1"/>
  <c r="J47" i="17"/>
  <c r="J50" i="17" s="1"/>
  <c r="I47" i="17"/>
  <c r="I50" i="17" s="1"/>
  <c r="H47" i="17"/>
  <c r="H50" i="17" s="1"/>
  <c r="G47" i="17"/>
  <c r="G50" i="17" s="1"/>
  <c r="F47" i="17"/>
  <c r="F50" i="17" s="1"/>
  <c r="E47" i="17"/>
  <c r="E50" i="17" s="1"/>
  <c r="D47" i="17"/>
  <c r="D50" i="17" s="1"/>
  <c r="C47" i="17"/>
  <c r="C50" i="17" s="1"/>
  <c r="B47" i="17"/>
  <c r="B50" i="17" s="1"/>
  <c r="M46" i="17"/>
  <c r="L46" i="17"/>
  <c r="K46" i="17"/>
  <c r="J46" i="17"/>
  <c r="I46" i="17"/>
  <c r="H46" i="17"/>
  <c r="G46" i="17"/>
  <c r="F46" i="17"/>
  <c r="E46" i="17"/>
  <c r="D46" i="17"/>
  <c r="C46" i="17"/>
  <c r="B46" i="17"/>
  <c r="AG44" i="17"/>
  <c r="AG48" i="17" s="1"/>
  <c r="AF44" i="17"/>
  <c r="AF48" i="17" s="1"/>
  <c r="AE44" i="17"/>
  <c r="AE48" i="17" s="1"/>
  <c r="AG39" i="17"/>
  <c r="AF39" i="17"/>
  <c r="AE39" i="17"/>
  <c r="AD39" i="17"/>
  <c r="AC39" i="17"/>
  <c r="AB38" i="17"/>
  <c r="M32" i="17"/>
  <c r="M36" i="17" s="1"/>
  <c r="L32" i="17"/>
  <c r="L36" i="17" s="1"/>
  <c r="K32" i="17"/>
  <c r="K36" i="17" s="1"/>
  <c r="J32" i="17"/>
  <c r="J36" i="17" s="1"/>
  <c r="I32" i="17"/>
  <c r="I36" i="17" s="1"/>
  <c r="H32" i="17"/>
  <c r="H36" i="17" s="1"/>
  <c r="G32" i="17"/>
  <c r="G36" i="17" s="1"/>
  <c r="F32" i="17"/>
  <c r="F36" i="17" s="1"/>
  <c r="E32" i="17"/>
  <c r="E36" i="17" s="1"/>
  <c r="D32" i="17"/>
  <c r="D36" i="17" s="1"/>
  <c r="C32" i="17"/>
  <c r="C36" i="17" s="1"/>
  <c r="B32" i="17"/>
  <c r="B36" i="17" s="1"/>
  <c r="AB31" i="17"/>
  <c r="AA31" i="17"/>
  <c r="AA39" i="17" s="1"/>
  <c r="Z31" i="17"/>
  <c r="Z39" i="17" s="1"/>
  <c r="M31" i="17"/>
  <c r="L31" i="17"/>
  <c r="K31" i="17"/>
  <c r="J31" i="17"/>
  <c r="I31" i="17"/>
  <c r="H31" i="17"/>
  <c r="G31" i="17"/>
  <c r="F31" i="17"/>
  <c r="E31" i="17"/>
  <c r="D31" i="17"/>
  <c r="C31" i="17"/>
  <c r="B31" i="17"/>
  <c r="AA25" i="17"/>
  <c r="M23" i="17"/>
  <c r="M22" i="17" s="1"/>
  <c r="L23" i="17"/>
  <c r="K23" i="17"/>
  <c r="J23" i="17"/>
  <c r="I23" i="17"/>
  <c r="H23" i="17"/>
  <c r="G23" i="17"/>
  <c r="F23" i="17"/>
  <c r="E23" i="17"/>
  <c r="D23" i="17"/>
  <c r="C23" i="17"/>
  <c r="B23" i="17"/>
  <c r="M13" i="17"/>
  <c r="M14" i="17" s="1"/>
  <c r="L13" i="17"/>
  <c r="L14" i="17" s="1"/>
  <c r="K13" i="17"/>
  <c r="K14" i="17" s="1"/>
  <c r="J13" i="17"/>
  <c r="J14" i="17" s="1"/>
  <c r="I13" i="17"/>
  <c r="I14" i="17" s="1"/>
  <c r="H13" i="17"/>
  <c r="H14" i="17" s="1"/>
  <c r="G13" i="17"/>
  <c r="G14" i="17" s="1"/>
  <c r="F13" i="17"/>
  <c r="F14" i="17" s="1"/>
  <c r="E13" i="17"/>
  <c r="E14" i="17" s="1"/>
  <c r="D13" i="17"/>
  <c r="D14" i="17" s="1"/>
  <c r="C13" i="17"/>
  <c r="C14" i="17" s="1"/>
  <c r="AE12" i="17"/>
  <c r="AG11" i="17"/>
  <c r="AF11" i="17"/>
  <c r="AE11" i="17"/>
  <c r="AD11" i="17"/>
  <c r="AG10" i="17"/>
  <c r="AF10" i="17"/>
  <c r="AE10" i="17"/>
  <c r="AD10" i="17"/>
  <c r="AC10" i="17"/>
  <c r="AB10" i="17"/>
  <c r="AA10" i="17"/>
  <c r="Z10" i="17"/>
  <c r="AG9" i="17"/>
  <c r="AF9" i="17"/>
  <c r="AD9" i="17"/>
  <c r="AC9" i="17"/>
  <c r="AB9" i="17"/>
  <c r="AA9" i="17"/>
  <c r="Z9" i="17"/>
  <c r="AG7" i="17"/>
  <c r="AG8" i="17" s="1"/>
  <c r="AF7" i="17"/>
  <c r="AF8" i="17" s="1"/>
  <c r="AE7" i="17"/>
  <c r="AE8" i="17" s="1"/>
  <c r="AD7" i="17"/>
  <c r="AD8" i="17" s="1"/>
  <c r="AC7" i="17"/>
  <c r="AC8" i="17" s="1"/>
  <c r="AB7" i="17"/>
  <c r="AB8" i="17" s="1"/>
  <c r="AA7" i="17"/>
  <c r="AA8" i="17" s="1"/>
  <c r="Z7" i="17"/>
  <c r="Z8" i="17" s="1"/>
  <c r="O7" i="17"/>
  <c r="C5" i="17"/>
  <c r="D5" i="17" s="1"/>
  <c r="E5" i="17" s="1"/>
  <c r="F5" i="17" s="1"/>
  <c r="G5" i="17" s="1"/>
  <c r="H5" i="17" s="1"/>
  <c r="I5" i="17" s="1"/>
  <c r="J5" i="17" s="1"/>
  <c r="K5" i="17" s="1"/>
  <c r="L5" i="17" s="1"/>
  <c r="M5" i="17" s="1"/>
  <c r="E22" i="17" l="1"/>
  <c r="I22" i="17"/>
  <c r="AF53" i="17"/>
  <c r="AB13" i="17"/>
  <c r="AB14" i="17" s="1"/>
  <c r="Q9" i="19"/>
  <c r="Q7" i="19"/>
  <c r="G22" i="17"/>
  <c r="C37" i="17"/>
  <c r="K37" i="17"/>
  <c r="AF13" i="17"/>
  <c r="AF14" i="17" s="1"/>
  <c r="H22" i="17"/>
  <c r="D37" i="17"/>
  <c r="L37" i="17"/>
  <c r="E37" i="17"/>
  <c r="M37" i="17"/>
  <c r="Z52" i="17"/>
  <c r="AG53" i="17"/>
  <c r="AE13" i="17"/>
  <c r="AE14" i="17" s="1"/>
  <c r="AB39" i="17"/>
  <c r="I37" i="17"/>
  <c r="Z118" i="22"/>
  <c r="AC13" i="17"/>
  <c r="AC14" i="17" s="1"/>
  <c r="AD13" i="17"/>
  <c r="AD14" i="17" s="1"/>
  <c r="B22" i="17"/>
  <c r="J22" i="17"/>
  <c r="D22" i="17"/>
  <c r="L22" i="17"/>
  <c r="G37" i="17"/>
  <c r="AG52" i="17"/>
  <c r="AG13" i="17"/>
  <c r="AG14" i="17" s="1"/>
  <c r="Z13" i="17"/>
  <c r="Z14" i="17" s="1"/>
  <c r="AA13" i="17"/>
  <c r="AA14" i="17" s="1"/>
  <c r="G38" i="4"/>
  <c r="F37" i="17"/>
  <c r="J37" i="17"/>
  <c r="H37" i="17"/>
  <c r="B37" i="17"/>
  <c r="AE53" i="17"/>
  <c r="AF52" i="17"/>
  <c r="C22" i="17"/>
  <c r="K22" i="17"/>
  <c r="AA52" i="17"/>
  <c r="F22" i="17"/>
  <c r="AB52" i="17"/>
  <c r="AA118" i="22" l="1"/>
  <c r="L6" i="19"/>
  <c r="C22" i="19"/>
  <c r="C9" i="19"/>
  <c r="G41" i="4"/>
  <c r="I48" i="10"/>
  <c r="O6" i="3"/>
  <c r="O7" i="3"/>
  <c r="N6" i="3"/>
  <c r="N7" i="3"/>
  <c r="M6" i="3"/>
  <c r="M7" i="3"/>
  <c r="L6" i="3"/>
  <c r="L7" i="3"/>
  <c r="K6" i="3"/>
  <c r="K7" i="3"/>
  <c r="AB118" i="22" l="1"/>
  <c r="D6" i="4"/>
  <c r="E6" i="4"/>
  <c r="F6" i="4"/>
  <c r="H8" i="10"/>
  <c r="G8" i="10"/>
  <c r="G45" i="10" s="1" a="1"/>
  <c r="G45" i="10" s="1"/>
  <c r="F8" i="10"/>
  <c r="O4" i="19" s="1"/>
  <c r="E8" i="10"/>
  <c r="D8" i="10"/>
  <c r="D45" i="10" s="1" a="1"/>
  <c r="D45" i="10" s="1"/>
  <c r="D47" i="10" s="1"/>
  <c r="F22" i="1"/>
  <c r="F23" i="1"/>
  <c r="H36" i="10"/>
  <c r="D36" i="10"/>
  <c r="E36" i="10"/>
  <c r="F36" i="10"/>
  <c r="G36" i="10"/>
  <c r="D37" i="10"/>
  <c r="E37" i="10"/>
  <c r="F37" i="10"/>
  <c r="G37" i="10"/>
  <c r="H37" i="10"/>
  <c r="AC118" i="22" l="1"/>
  <c r="M4" i="19"/>
  <c r="D52" i="10"/>
  <c r="AD118" i="22" l="1"/>
  <c r="AE118" i="22" l="1"/>
  <c r="AF118" i="22" l="1"/>
  <c r="H52" i="10"/>
  <c r="G52" i="10"/>
  <c r="F52" i="10"/>
  <c r="E52" i="10"/>
  <c r="E10" i="22"/>
  <c r="F10" i="22"/>
  <c r="G10" i="22"/>
  <c r="G9" i="22"/>
  <c r="F9" i="22"/>
  <c r="E9" i="22"/>
  <c r="D10" i="22"/>
  <c r="D9" i="22"/>
  <c r="C10" i="22"/>
  <c r="C9" i="22"/>
  <c r="AG118" i="22" l="1"/>
  <c r="I10" i="22"/>
  <c r="K10" i="22" s="1"/>
  <c r="I9" i="22"/>
  <c r="K9" i="22" s="1"/>
  <c r="D8" i="22"/>
  <c r="AH118" i="22" l="1"/>
  <c r="I49" i="10"/>
  <c r="J49" i="10" s="1"/>
  <c r="E8" i="22"/>
  <c r="F50" i="4"/>
  <c r="O16" i="3"/>
  <c r="N16" i="3"/>
  <c r="M16" i="3"/>
  <c r="L16" i="3"/>
  <c r="K16" i="3"/>
  <c r="Q4" i="19"/>
  <c r="P4" i="19"/>
  <c r="N4" i="19"/>
  <c r="L40" i="1" l="1"/>
  <c r="F8" i="22"/>
  <c r="I44" i="10"/>
  <c r="J44" i="10" s="1"/>
  <c r="I46" i="10"/>
  <c r="J46" i="10" s="1"/>
  <c r="E2" i="1"/>
  <c r="C21" i="1" s="1" a="1"/>
  <c r="C21" i="1" s="1"/>
  <c r="H22" i="10"/>
  <c r="G22" i="10"/>
  <c r="F22" i="10"/>
  <c r="E22" i="10"/>
  <c r="F49" i="1"/>
  <c r="F53" i="1"/>
  <c r="F52" i="1"/>
  <c r="F51" i="1"/>
  <c r="F50" i="1"/>
  <c r="F48" i="1"/>
  <c r="F47" i="1"/>
  <c r="F46" i="1"/>
  <c r="F54" i="1"/>
  <c r="G8" i="22" l="1"/>
  <c r="C8" i="10"/>
  <c r="H45" i="10" l="1" a="1"/>
  <c r="H45" i="10" s="1"/>
  <c r="F45" i="10" a="1"/>
  <c r="F45" i="10" s="1"/>
  <c r="E45" i="10" a="1"/>
  <c r="E45" i="10" s="1"/>
  <c r="E28" i="10"/>
  <c r="P9" i="19"/>
  <c r="P8" i="19"/>
  <c r="P7" i="19"/>
  <c r="P6" i="19"/>
  <c r="D24" i="4"/>
  <c r="D27" i="4" l="1"/>
  <c r="E27" i="4"/>
  <c r="F27" i="4"/>
  <c r="F31" i="4" l="1"/>
  <c r="F21" i="1"/>
  <c r="D28" i="4"/>
  <c r="E28" i="4"/>
  <c r="F28" i="4"/>
  <c r="F25" i="4"/>
  <c r="D31" i="4" l="1"/>
  <c r="E31" i="4"/>
  <c r="C8" i="19"/>
  <c r="M6" i="19"/>
  <c r="N6" i="19"/>
  <c r="O6" i="19"/>
  <c r="Q6" i="19"/>
  <c r="M7" i="19"/>
  <c r="N7" i="19"/>
  <c r="O7" i="19"/>
  <c r="N8" i="19"/>
  <c r="O8" i="19"/>
  <c r="M9" i="19"/>
  <c r="N9" i="19"/>
  <c r="L7" i="19"/>
  <c r="L8" i="19"/>
  <c r="L15" i="3"/>
  <c r="M15" i="3"/>
  <c r="N15" i="3"/>
  <c r="O15" i="3"/>
  <c r="K15" i="3"/>
  <c r="O5" i="3"/>
  <c r="N5" i="3"/>
  <c r="M5" i="3"/>
  <c r="L5" i="3"/>
  <c r="K5" i="3"/>
  <c r="E11" i="4"/>
  <c r="F11" i="4"/>
  <c r="D11" i="4"/>
  <c r="D25" i="4"/>
  <c r="R8" i="19" l="1"/>
  <c r="R7" i="19"/>
  <c r="R6" i="19"/>
  <c r="R9" i="19"/>
  <c r="C6" i="19"/>
  <c r="D17" i="3"/>
  <c r="B15" i="3" s="1"/>
  <c r="H27" i="1" s="1"/>
  <c r="H4" i="4"/>
  <c r="E47" i="10"/>
  <c r="F47" i="10"/>
  <c r="G47" i="10"/>
  <c r="H47" i="10"/>
  <c r="G28" i="10"/>
  <c r="D11" i="10"/>
  <c r="D50" i="10" s="1"/>
  <c r="E11" i="10"/>
  <c r="E50" i="10" s="1"/>
  <c r="F11" i="10"/>
  <c r="F50" i="10" s="1"/>
  <c r="G11" i="10"/>
  <c r="G50" i="10" s="1"/>
  <c r="H11" i="10"/>
  <c r="H50" i="10" s="1"/>
  <c r="D13" i="10"/>
  <c r="E13" i="10"/>
  <c r="F13" i="10"/>
  <c r="G13" i="10"/>
  <c r="H13" i="10"/>
  <c r="D14" i="10"/>
  <c r="E14" i="10"/>
  <c r="F14" i="10"/>
  <c r="G14" i="10"/>
  <c r="H14" i="10"/>
  <c r="D15" i="10"/>
  <c r="E15" i="10"/>
  <c r="F15" i="10"/>
  <c r="G15" i="10"/>
  <c r="H15" i="10"/>
  <c r="D16" i="10"/>
  <c r="E16" i="10"/>
  <c r="F16" i="10"/>
  <c r="G16" i="10"/>
  <c r="H16" i="10"/>
  <c r="D17" i="10"/>
  <c r="E17" i="10"/>
  <c r="F17" i="10"/>
  <c r="G17" i="10"/>
  <c r="H17" i="10"/>
  <c r="D18" i="10"/>
  <c r="E18" i="10"/>
  <c r="F18" i="10"/>
  <c r="G18" i="10"/>
  <c r="H18" i="10"/>
  <c r="D20" i="10"/>
  <c r="E20" i="10"/>
  <c r="F20" i="10"/>
  <c r="G20" i="10"/>
  <c r="H20" i="10"/>
  <c r="D21" i="10"/>
  <c r="E21" i="10"/>
  <c r="F21" i="10"/>
  <c r="G21" i="10"/>
  <c r="H21" i="10"/>
  <c r="D24" i="10"/>
  <c r="E24" i="10"/>
  <c r="F24" i="10"/>
  <c r="G24" i="10"/>
  <c r="H24" i="10"/>
  <c r="D25" i="10"/>
  <c r="E25" i="10"/>
  <c r="F25" i="10"/>
  <c r="G25" i="10"/>
  <c r="H25" i="10"/>
  <c r="D28" i="10"/>
  <c r="F28" i="10"/>
  <c r="H28" i="10"/>
  <c r="D29" i="10"/>
  <c r="E29" i="10"/>
  <c r="F29" i="10"/>
  <c r="G29" i="10"/>
  <c r="H29" i="10"/>
  <c r="D30" i="10"/>
  <c r="E30" i="10"/>
  <c r="F30" i="10"/>
  <c r="G30" i="10"/>
  <c r="H30" i="10"/>
  <c r="D31" i="10"/>
  <c r="E31" i="10"/>
  <c r="F31" i="10"/>
  <c r="G31" i="10"/>
  <c r="H31" i="10"/>
  <c r="E33" i="10"/>
  <c r="F33" i="10"/>
  <c r="G33" i="10"/>
  <c r="H33" i="10"/>
  <c r="E34" i="10"/>
  <c r="F34" i="10"/>
  <c r="G34" i="10"/>
  <c r="H34" i="10"/>
  <c r="D35" i="10"/>
  <c r="E35" i="10"/>
  <c r="F35" i="10"/>
  <c r="G35" i="10"/>
  <c r="C40" i="10"/>
  <c r="C39" i="10"/>
  <c r="C52" i="10"/>
  <c r="I9" i="10"/>
  <c r="I38" i="10"/>
  <c r="C72" i="10"/>
  <c r="C71" i="10"/>
  <c r="C68" i="10"/>
  <c r="B12" i="3"/>
  <c r="E17" i="3"/>
  <c r="F17" i="3"/>
  <c r="G17" i="3"/>
  <c r="H17" i="3"/>
  <c r="I17" i="3"/>
  <c r="E10" i="3"/>
  <c r="F10" i="3"/>
  <c r="G10" i="3"/>
  <c r="H10" i="3"/>
  <c r="I10" i="3"/>
  <c r="K14" i="3"/>
  <c r="L14" i="3" s="1"/>
  <c r="M14" i="3" s="1"/>
  <c r="N14" i="3" s="1"/>
  <c r="O14" i="3" s="1"/>
  <c r="P14" i="3" s="1"/>
  <c r="K4" i="3"/>
  <c r="L4" i="3" s="1"/>
  <c r="M4" i="3" s="1"/>
  <c r="N4" i="3" s="1"/>
  <c r="O4" i="3" s="1"/>
  <c r="P4" i="3" s="1"/>
  <c r="D14" i="3"/>
  <c r="E14" i="3" s="1"/>
  <c r="F14" i="3" s="1"/>
  <c r="G14" i="3" s="1"/>
  <c r="H14" i="3" s="1"/>
  <c r="I14" i="3" s="1"/>
  <c r="D4" i="3"/>
  <c r="E4" i="3" s="1"/>
  <c r="F4" i="3" s="1"/>
  <c r="G4" i="3" s="1"/>
  <c r="H4" i="3" s="1"/>
  <c r="I4" i="3" s="1"/>
  <c r="M74" i="16"/>
  <c r="L74" i="16"/>
  <c r="K74" i="16"/>
  <c r="J74" i="16"/>
  <c r="I74" i="16"/>
  <c r="H74" i="16"/>
  <c r="G74" i="16"/>
  <c r="F74" i="16"/>
  <c r="E74" i="16"/>
  <c r="D74" i="16"/>
  <c r="C74" i="16"/>
  <c r="B74" i="16"/>
  <c r="M73" i="16"/>
  <c r="L73" i="16"/>
  <c r="K73" i="16"/>
  <c r="J73" i="16"/>
  <c r="I73" i="16"/>
  <c r="H73" i="16"/>
  <c r="G73" i="16"/>
  <c r="F73" i="16"/>
  <c r="E73" i="16"/>
  <c r="D73" i="16"/>
  <c r="C73" i="16"/>
  <c r="B73" i="16"/>
  <c r="M72" i="16"/>
  <c r="L72" i="16"/>
  <c r="K72" i="16"/>
  <c r="J72" i="16"/>
  <c r="I72" i="16"/>
  <c r="H72" i="16"/>
  <c r="G72" i="16"/>
  <c r="F72" i="16"/>
  <c r="E72" i="16"/>
  <c r="D72" i="16"/>
  <c r="C72" i="16"/>
  <c r="B72" i="16"/>
  <c r="M70" i="16"/>
  <c r="L70" i="16"/>
  <c r="K70" i="16"/>
  <c r="J70" i="16"/>
  <c r="I70" i="16"/>
  <c r="H70" i="16"/>
  <c r="G70" i="16"/>
  <c r="F70" i="16"/>
  <c r="E70" i="16"/>
  <c r="D70" i="16"/>
  <c r="C70" i="16"/>
  <c r="B70" i="16"/>
  <c r="M69" i="16"/>
  <c r="L69" i="16"/>
  <c r="K69" i="16"/>
  <c r="J69" i="16"/>
  <c r="I69" i="16"/>
  <c r="H69" i="16"/>
  <c r="G69" i="16"/>
  <c r="F69" i="16"/>
  <c r="E69" i="16"/>
  <c r="D69" i="16"/>
  <c r="C69" i="16"/>
  <c r="B69" i="16"/>
  <c r="B23" i="16"/>
  <c r="M62" i="16"/>
  <c r="L62" i="16"/>
  <c r="K62" i="16"/>
  <c r="J62" i="16"/>
  <c r="I62" i="16"/>
  <c r="H62" i="16"/>
  <c r="G62" i="16"/>
  <c r="F62" i="16"/>
  <c r="E62" i="16"/>
  <c r="D62" i="16"/>
  <c r="C62" i="16"/>
  <c r="B62" i="16"/>
  <c r="M84" i="16"/>
  <c r="L84" i="16"/>
  <c r="K84" i="16"/>
  <c r="J84" i="16"/>
  <c r="I84" i="16"/>
  <c r="H84" i="16"/>
  <c r="G84" i="16"/>
  <c r="F84" i="16"/>
  <c r="E84" i="16"/>
  <c r="D84" i="16"/>
  <c r="C84" i="16"/>
  <c r="B84" i="16"/>
  <c r="M83" i="16"/>
  <c r="L83" i="16"/>
  <c r="K83" i="16"/>
  <c r="J83" i="16"/>
  <c r="I83" i="16"/>
  <c r="H83" i="16"/>
  <c r="G83" i="16"/>
  <c r="F83" i="16"/>
  <c r="E83" i="16"/>
  <c r="D83" i="16"/>
  <c r="C83" i="16"/>
  <c r="B83" i="16"/>
  <c r="M82" i="16"/>
  <c r="L82" i="16"/>
  <c r="K82" i="16"/>
  <c r="J82" i="16"/>
  <c r="I82" i="16"/>
  <c r="H82" i="16"/>
  <c r="G82" i="16"/>
  <c r="F82" i="16"/>
  <c r="E82" i="16"/>
  <c r="D82" i="16"/>
  <c r="C82" i="16"/>
  <c r="M81" i="16"/>
  <c r="L81" i="16"/>
  <c r="K81" i="16"/>
  <c r="J81" i="16"/>
  <c r="I81" i="16"/>
  <c r="H81" i="16"/>
  <c r="G81" i="16"/>
  <c r="F81" i="16"/>
  <c r="E81" i="16"/>
  <c r="D81" i="16"/>
  <c r="C81" i="16"/>
  <c r="M80" i="16"/>
  <c r="L80" i="16"/>
  <c r="K80" i="16"/>
  <c r="J80" i="16"/>
  <c r="I80" i="16"/>
  <c r="H80" i="16"/>
  <c r="G80" i="16"/>
  <c r="F80" i="16"/>
  <c r="E80" i="16"/>
  <c r="D80" i="16"/>
  <c r="C80" i="16"/>
  <c r="M79" i="16"/>
  <c r="L79" i="16"/>
  <c r="K79" i="16"/>
  <c r="J79" i="16"/>
  <c r="I79" i="16"/>
  <c r="H79" i="16"/>
  <c r="G79" i="16"/>
  <c r="F79" i="16"/>
  <c r="E79" i="16"/>
  <c r="D79" i="16"/>
  <c r="C79" i="16"/>
  <c r="B79" i="16"/>
  <c r="M78" i="16"/>
  <c r="L78" i="16"/>
  <c r="K78" i="16"/>
  <c r="J78" i="16"/>
  <c r="I78" i="16"/>
  <c r="H78" i="16"/>
  <c r="G78" i="16"/>
  <c r="F78" i="16"/>
  <c r="E78" i="16"/>
  <c r="D78" i="16"/>
  <c r="C78" i="16"/>
  <c r="B78" i="16"/>
  <c r="M52" i="16"/>
  <c r="L52" i="16"/>
  <c r="J52" i="16"/>
  <c r="I52" i="16"/>
  <c r="H52" i="16"/>
  <c r="G52" i="16"/>
  <c r="F52" i="16"/>
  <c r="E52" i="16"/>
  <c r="D52" i="16"/>
  <c r="B52" i="16"/>
  <c r="C48" i="16"/>
  <c r="D48" i="16"/>
  <c r="E48" i="16"/>
  <c r="F48" i="16"/>
  <c r="G48" i="16"/>
  <c r="H48" i="16"/>
  <c r="I48" i="16"/>
  <c r="J48" i="16"/>
  <c r="K48" i="16"/>
  <c r="L48" i="16"/>
  <c r="M48" i="16"/>
  <c r="B48" i="16"/>
  <c r="M54" i="16"/>
  <c r="L54" i="16"/>
  <c r="K54" i="16"/>
  <c r="J54" i="16"/>
  <c r="I54" i="16"/>
  <c r="H54" i="16"/>
  <c r="G54" i="16"/>
  <c r="F54" i="16"/>
  <c r="E54" i="16"/>
  <c r="D54" i="16"/>
  <c r="C54" i="16"/>
  <c r="B54" i="16"/>
  <c r="M53" i="16"/>
  <c r="L53" i="16"/>
  <c r="K53" i="16"/>
  <c r="J53" i="16"/>
  <c r="I53" i="16"/>
  <c r="H53" i="16"/>
  <c r="G53" i="16"/>
  <c r="F53" i="16"/>
  <c r="E53" i="16"/>
  <c r="D53" i="16"/>
  <c r="C53" i="16"/>
  <c r="B53" i="16"/>
  <c r="M50" i="16"/>
  <c r="L50" i="16"/>
  <c r="K50" i="16"/>
  <c r="J50" i="16"/>
  <c r="I50" i="16"/>
  <c r="H50" i="16"/>
  <c r="G50" i="16"/>
  <c r="F50" i="16"/>
  <c r="E50" i="16"/>
  <c r="D50" i="16"/>
  <c r="C50" i="16"/>
  <c r="B50" i="16"/>
  <c r="M49" i="16"/>
  <c r="L49" i="16"/>
  <c r="K49" i="16"/>
  <c r="J49" i="16"/>
  <c r="I49" i="16"/>
  <c r="H49" i="16"/>
  <c r="G49" i="16"/>
  <c r="F49" i="16"/>
  <c r="E49" i="16"/>
  <c r="D49" i="16"/>
  <c r="C49" i="16"/>
  <c r="B49" i="16"/>
  <c r="B44" i="16"/>
  <c r="M42" i="16"/>
  <c r="L42" i="16"/>
  <c r="K42" i="16"/>
  <c r="J42" i="16"/>
  <c r="I42" i="16"/>
  <c r="H42" i="16"/>
  <c r="G42" i="16"/>
  <c r="F42" i="16"/>
  <c r="E42" i="16"/>
  <c r="D42" i="16"/>
  <c r="C42" i="16"/>
  <c r="B42" i="16"/>
  <c r="C69" i="10" s="1"/>
  <c r="M41" i="16"/>
  <c r="L41" i="16"/>
  <c r="K41" i="16"/>
  <c r="J41" i="16"/>
  <c r="I41" i="16"/>
  <c r="H41" i="16"/>
  <c r="G41" i="16"/>
  <c r="F41" i="16"/>
  <c r="E41" i="16"/>
  <c r="D41" i="16"/>
  <c r="C41" i="16"/>
  <c r="B41" i="16"/>
  <c r="M40" i="16"/>
  <c r="L40" i="16"/>
  <c r="K40" i="16"/>
  <c r="J40" i="16"/>
  <c r="I40" i="16"/>
  <c r="H40" i="16"/>
  <c r="G40" i="16"/>
  <c r="F40" i="16"/>
  <c r="E40" i="16"/>
  <c r="D40" i="16"/>
  <c r="C40" i="16"/>
  <c r="B40" i="16"/>
  <c r="M39" i="16"/>
  <c r="M26" i="16" s="1"/>
  <c r="L39" i="16"/>
  <c r="K39" i="16"/>
  <c r="J39" i="16"/>
  <c r="I39" i="16"/>
  <c r="H39" i="16"/>
  <c r="G39" i="16"/>
  <c r="F39" i="16"/>
  <c r="E39" i="16"/>
  <c r="D39" i="16"/>
  <c r="D43" i="4" s="1"/>
  <c r="C39" i="16"/>
  <c r="B39" i="16"/>
  <c r="C65" i="10" s="1"/>
  <c r="M33" i="16"/>
  <c r="L33" i="16"/>
  <c r="K33" i="16"/>
  <c r="J33" i="16"/>
  <c r="I33" i="16"/>
  <c r="H33" i="16"/>
  <c r="G33" i="16"/>
  <c r="F33" i="16"/>
  <c r="E33" i="16"/>
  <c r="D33" i="16"/>
  <c r="C33" i="16"/>
  <c r="B33" i="16"/>
  <c r="M32" i="16"/>
  <c r="L32" i="16"/>
  <c r="K32" i="16"/>
  <c r="J32" i="16"/>
  <c r="I32" i="16"/>
  <c r="H32" i="16"/>
  <c r="G32" i="16"/>
  <c r="C92" i="22" s="1"/>
  <c r="F32" i="16"/>
  <c r="D92" i="22" s="1"/>
  <c r="E32" i="16"/>
  <c r="E92" i="22" s="1"/>
  <c r="D32" i="16"/>
  <c r="F92" i="22" s="1"/>
  <c r="C32" i="16"/>
  <c r="G92" i="22" s="1"/>
  <c r="B32" i="16"/>
  <c r="M28" i="16"/>
  <c r="L28" i="16"/>
  <c r="K28" i="16"/>
  <c r="J28" i="16"/>
  <c r="I28" i="16"/>
  <c r="H28" i="16"/>
  <c r="G28" i="16"/>
  <c r="F28" i="16"/>
  <c r="E28" i="16"/>
  <c r="D28" i="16"/>
  <c r="C28" i="16"/>
  <c r="B28" i="16"/>
  <c r="M27" i="16"/>
  <c r="L27" i="16"/>
  <c r="K27" i="16"/>
  <c r="J27" i="16"/>
  <c r="I27" i="16"/>
  <c r="H27" i="16"/>
  <c r="G27" i="16"/>
  <c r="F27" i="16"/>
  <c r="E27" i="16"/>
  <c r="D27" i="16"/>
  <c r="C27" i="16"/>
  <c r="B27" i="16"/>
  <c r="M23" i="16"/>
  <c r="L23" i="16"/>
  <c r="K23" i="16"/>
  <c r="J23" i="16"/>
  <c r="I23" i="16"/>
  <c r="H23" i="16"/>
  <c r="G23" i="16"/>
  <c r="F23" i="16"/>
  <c r="E23" i="16"/>
  <c r="D23" i="16"/>
  <c r="D17" i="4" s="1"/>
  <c r="C23" i="16"/>
  <c r="E17" i="4" s="1"/>
  <c r="M21" i="16"/>
  <c r="L21" i="16"/>
  <c r="K21" i="16"/>
  <c r="J21" i="16"/>
  <c r="I21" i="16"/>
  <c r="H21" i="16"/>
  <c r="G21" i="16"/>
  <c r="F21" i="16"/>
  <c r="E21" i="16"/>
  <c r="D21" i="16"/>
  <c r="D16" i="4" s="1"/>
  <c r="C21" i="16"/>
  <c r="E16" i="4" s="1"/>
  <c r="B21" i="16"/>
  <c r="M17" i="16"/>
  <c r="L17" i="16"/>
  <c r="K17" i="16"/>
  <c r="J17" i="16"/>
  <c r="I17" i="16"/>
  <c r="H17" i="16"/>
  <c r="G17" i="16"/>
  <c r="C49" i="22" s="1"/>
  <c r="F17" i="16"/>
  <c r="D49" i="22" s="1"/>
  <c r="E17" i="16"/>
  <c r="E49" i="22" s="1"/>
  <c r="D17" i="16"/>
  <c r="F49" i="22" s="1"/>
  <c r="C17" i="16"/>
  <c r="G49" i="22" s="1"/>
  <c r="B17" i="16"/>
  <c r="H49" i="22" s="1"/>
  <c r="M15" i="16"/>
  <c r="L15" i="16"/>
  <c r="K15" i="16"/>
  <c r="J15" i="16"/>
  <c r="I15" i="16"/>
  <c r="H15" i="16"/>
  <c r="G15" i="16"/>
  <c r="F15" i="16"/>
  <c r="E15" i="16"/>
  <c r="D15" i="16"/>
  <c r="D14" i="4" s="1"/>
  <c r="C15" i="16"/>
  <c r="E14" i="4" s="1"/>
  <c r="B15" i="16"/>
  <c r="F14" i="4" s="1"/>
  <c r="M14" i="16"/>
  <c r="L14" i="16"/>
  <c r="K14" i="16"/>
  <c r="J14" i="16"/>
  <c r="I14" i="16"/>
  <c r="H14" i="16"/>
  <c r="G14" i="16"/>
  <c r="F14" i="16"/>
  <c r="E14" i="16"/>
  <c r="D14" i="16"/>
  <c r="D13" i="4" s="1"/>
  <c r="C14" i="16"/>
  <c r="E13" i="4" s="1"/>
  <c r="B14" i="16"/>
  <c r="C11" i="16"/>
  <c r="D11" i="16"/>
  <c r="E11" i="16"/>
  <c r="F11" i="16"/>
  <c r="G11" i="16"/>
  <c r="H11" i="16"/>
  <c r="I11" i="16"/>
  <c r="J11" i="16"/>
  <c r="K11" i="16"/>
  <c r="L11" i="16"/>
  <c r="M11" i="16"/>
  <c r="B11" i="16"/>
  <c r="C7" i="16"/>
  <c r="D7" i="16"/>
  <c r="E7" i="16"/>
  <c r="F7" i="16"/>
  <c r="G7" i="16"/>
  <c r="H7" i="16"/>
  <c r="I7" i="16"/>
  <c r="J7" i="16"/>
  <c r="K7" i="16"/>
  <c r="L7" i="16"/>
  <c r="M7" i="16"/>
  <c r="B7" i="16"/>
  <c r="M5" i="16"/>
  <c r="L5" i="16"/>
  <c r="K5" i="16"/>
  <c r="J5" i="16"/>
  <c r="I5" i="16"/>
  <c r="H5" i="16"/>
  <c r="G5" i="16"/>
  <c r="C41" i="22" s="1"/>
  <c r="C64" i="22" s="1"/>
  <c r="F5" i="16"/>
  <c r="D41" i="22" s="1"/>
  <c r="E5" i="16"/>
  <c r="E41" i="22" s="1"/>
  <c r="C138" i="22" s="1"/>
  <c r="C154" i="22" s="1"/>
  <c r="D5" i="16"/>
  <c r="F41" i="22" s="1"/>
  <c r="C5" i="16"/>
  <c r="G41" i="22" s="1"/>
  <c r="E138" i="22" s="1"/>
  <c r="B5" i="16"/>
  <c r="H41" i="22" s="1"/>
  <c r="D68" i="16"/>
  <c r="E68" i="16"/>
  <c r="F68" i="16"/>
  <c r="G68" i="16"/>
  <c r="H68" i="16"/>
  <c r="I68" i="16"/>
  <c r="K68" i="16"/>
  <c r="M71" i="16"/>
  <c r="L71" i="16"/>
  <c r="K71" i="16"/>
  <c r="J71" i="16"/>
  <c r="I71" i="16"/>
  <c r="H71" i="16"/>
  <c r="G71" i="16"/>
  <c r="F71" i="16"/>
  <c r="E71" i="16"/>
  <c r="D71" i="16"/>
  <c r="C71" i="16"/>
  <c r="B71" i="16"/>
  <c r="B67" i="16"/>
  <c r="F22" i="4" s="1"/>
  <c r="F19" i="4" s="1"/>
  <c r="M75" i="16"/>
  <c r="L75" i="16"/>
  <c r="K75" i="16"/>
  <c r="J75" i="16"/>
  <c r="I75" i="16"/>
  <c r="H75" i="16"/>
  <c r="G75" i="16"/>
  <c r="F75" i="16"/>
  <c r="E75" i="16"/>
  <c r="D75" i="16"/>
  <c r="C75" i="16"/>
  <c r="M67" i="16"/>
  <c r="J67" i="16"/>
  <c r="I67" i="16"/>
  <c r="H67" i="16"/>
  <c r="G67" i="16"/>
  <c r="F67" i="16"/>
  <c r="E67" i="16"/>
  <c r="D67" i="16"/>
  <c r="D22" i="4" s="1"/>
  <c r="D19" i="4" s="1"/>
  <c r="C67" i="16"/>
  <c r="E22" i="4" s="1"/>
  <c r="E19" i="4" s="1"/>
  <c r="C44" i="16"/>
  <c r="G105" i="22" s="1"/>
  <c r="B56" i="16"/>
  <c r="H109" i="22" s="1"/>
  <c r="D55" i="16"/>
  <c r="E55" i="16"/>
  <c r="F55" i="16"/>
  <c r="M55" i="16"/>
  <c r="B55" i="16"/>
  <c r="C51" i="16"/>
  <c r="D51" i="16"/>
  <c r="J51" i="16"/>
  <c r="B51" i="16"/>
  <c r="D12" i="16" l="1"/>
  <c r="F138" i="22"/>
  <c r="F143" i="22" s="1"/>
  <c r="H64" i="22"/>
  <c r="G18" i="22" s="1"/>
  <c r="H50" i="22"/>
  <c r="B58" i="16"/>
  <c r="H123" i="22" s="1"/>
  <c r="G31" i="22" s="1"/>
  <c r="F154" i="22"/>
  <c r="F156" i="22" s="1"/>
  <c r="G156" i="22" s="1"/>
  <c r="H156" i="22" s="1"/>
  <c r="I156" i="22" s="1"/>
  <c r="J156" i="22" s="1"/>
  <c r="K156" i="22" s="1"/>
  <c r="L156" i="22" s="1"/>
  <c r="M156" i="22" s="1"/>
  <c r="N156" i="22" s="1"/>
  <c r="O156" i="22" s="1"/>
  <c r="P156" i="22" s="1"/>
  <c r="Q156" i="22" s="1"/>
  <c r="R156" i="22" s="1"/>
  <c r="S156" i="22" s="1"/>
  <c r="T156" i="22" s="1"/>
  <c r="U156" i="22" s="1"/>
  <c r="V156" i="22" s="1"/>
  <c r="W156" i="22" s="1"/>
  <c r="X156" i="22" s="1"/>
  <c r="Y156" i="22" s="1"/>
  <c r="Z156" i="22" s="1"/>
  <c r="AA156" i="22" s="1"/>
  <c r="AB156" i="22" s="1"/>
  <c r="AC156" i="22" s="1"/>
  <c r="AD156" i="22" s="1"/>
  <c r="AE156" i="22" s="1"/>
  <c r="AF156" i="22" s="1"/>
  <c r="F64" i="22"/>
  <c r="D138" i="22"/>
  <c r="F17" i="4"/>
  <c r="F16" i="4"/>
  <c r="B22" i="16"/>
  <c r="E15" i="4"/>
  <c r="E12" i="4" s="1"/>
  <c r="E8" i="4" s="1"/>
  <c r="E7" i="4" s="1"/>
  <c r="G50" i="22"/>
  <c r="G17" i="22" s="1"/>
  <c r="D15" i="4"/>
  <c r="D12" i="4" s="1"/>
  <c r="D8" i="4" s="1"/>
  <c r="D7" i="4" s="1"/>
  <c r="E154" i="22"/>
  <c r="E156" i="22" s="1"/>
  <c r="E143" i="22"/>
  <c r="C58" i="16"/>
  <c r="G123" i="22" s="1"/>
  <c r="G93" i="22"/>
  <c r="F93" i="22"/>
  <c r="E26" i="22"/>
  <c r="E93" i="22"/>
  <c r="D93" i="22"/>
  <c r="C26" i="22"/>
  <c r="I4" i="4"/>
  <c r="F50" i="22"/>
  <c r="E50" i="22"/>
  <c r="C70" i="10"/>
  <c r="H105" i="22"/>
  <c r="H106" i="22" s="1"/>
  <c r="G24" i="22"/>
  <c r="H42" i="22"/>
  <c r="D50" i="22"/>
  <c r="F42" i="22"/>
  <c r="E24" i="22"/>
  <c r="F23" i="4"/>
  <c r="H92" i="22"/>
  <c r="H93" i="22" s="1"/>
  <c r="G64" i="22"/>
  <c r="F18" i="22" s="1"/>
  <c r="G42" i="22"/>
  <c r="F24" i="22"/>
  <c r="C50" i="22"/>
  <c r="D26" i="22"/>
  <c r="D24" i="22"/>
  <c r="E42" i="22"/>
  <c r="E64" i="22"/>
  <c r="G26" i="22"/>
  <c r="D64" i="22"/>
  <c r="D42" i="22"/>
  <c r="C24" i="22"/>
  <c r="C93" i="22"/>
  <c r="F26" i="22"/>
  <c r="B16" i="3"/>
  <c r="H28" i="1" s="1"/>
  <c r="C62" i="10"/>
  <c r="I43" i="10"/>
  <c r="J43" i="10" s="1"/>
  <c r="D29" i="4"/>
  <c r="D30" i="4"/>
  <c r="E30" i="4"/>
  <c r="E29" i="4"/>
  <c r="F30" i="4"/>
  <c r="C61" i="10"/>
  <c r="F29" i="4"/>
  <c r="H10" i="4"/>
  <c r="G46" i="4"/>
  <c r="F45" i="4"/>
  <c r="F46" i="4"/>
  <c r="F47" i="4"/>
  <c r="H16" i="16"/>
  <c r="L58" i="16"/>
  <c r="M58" i="16"/>
  <c r="I58" i="16"/>
  <c r="J58" i="16"/>
  <c r="K58" i="16"/>
  <c r="E23" i="4"/>
  <c r="E24" i="4"/>
  <c r="F24" i="4"/>
  <c r="C66" i="10"/>
  <c r="C25" i="10" s="1"/>
  <c r="C67" i="10"/>
  <c r="K47" i="4"/>
  <c r="O47" i="4"/>
  <c r="S47" i="4"/>
  <c r="W47" i="4"/>
  <c r="AA47" i="4"/>
  <c r="AE47" i="4"/>
  <c r="J46" i="4"/>
  <c r="N46" i="4"/>
  <c r="R46" i="4"/>
  <c r="V46" i="4"/>
  <c r="Z46" i="4"/>
  <c r="AD46" i="4"/>
  <c r="G47" i="4"/>
  <c r="K45" i="4"/>
  <c r="O45" i="4"/>
  <c r="S45" i="4"/>
  <c r="W45" i="4"/>
  <c r="AA45" i="4"/>
  <c r="AE45" i="4"/>
  <c r="M47" i="4"/>
  <c r="Y47" i="4"/>
  <c r="H46" i="4"/>
  <c r="P46" i="4"/>
  <c r="X46" i="4"/>
  <c r="AF46" i="4"/>
  <c r="M45" i="4"/>
  <c r="U45" i="4"/>
  <c r="AC45" i="4"/>
  <c r="J47" i="4"/>
  <c r="R47" i="4"/>
  <c r="Z47" i="4"/>
  <c r="AD47" i="4"/>
  <c r="M46" i="4"/>
  <c r="U46" i="4"/>
  <c r="AC46" i="4"/>
  <c r="J45" i="4"/>
  <c r="R45" i="4"/>
  <c r="Z45" i="4"/>
  <c r="H47" i="4"/>
  <c r="L47" i="4"/>
  <c r="P47" i="4"/>
  <c r="T47" i="4"/>
  <c r="X47" i="4"/>
  <c r="AB47" i="4"/>
  <c r="AF47" i="4"/>
  <c r="K46" i="4"/>
  <c r="O46" i="4"/>
  <c r="S46" i="4"/>
  <c r="W46" i="4"/>
  <c r="AA46" i="4"/>
  <c r="AE46" i="4"/>
  <c r="H45" i="4"/>
  <c r="L45" i="4"/>
  <c r="P45" i="4"/>
  <c r="T45" i="4"/>
  <c r="X45" i="4"/>
  <c r="AB45" i="4"/>
  <c r="AF45" i="4"/>
  <c r="I47" i="4"/>
  <c r="Q47" i="4"/>
  <c r="U47" i="4"/>
  <c r="AC47" i="4"/>
  <c r="L46" i="4"/>
  <c r="T46" i="4"/>
  <c r="AB46" i="4"/>
  <c r="I45" i="4"/>
  <c r="Q45" i="4"/>
  <c r="Y45" i="4"/>
  <c r="G45" i="4"/>
  <c r="N47" i="4"/>
  <c r="V47" i="4"/>
  <c r="I46" i="4"/>
  <c r="Q46" i="4"/>
  <c r="Y46" i="4"/>
  <c r="N45" i="4"/>
  <c r="V45" i="4"/>
  <c r="AD45" i="4"/>
  <c r="H12" i="16"/>
  <c r="C56" i="10"/>
  <c r="D23" i="4"/>
  <c r="E51" i="16"/>
  <c r="C54" i="10"/>
  <c r="C55" i="10"/>
  <c r="D58" i="16"/>
  <c r="F123" i="22" s="1"/>
  <c r="G58" i="16"/>
  <c r="C123" i="22" s="1"/>
  <c r="F58" i="16"/>
  <c r="D123" i="22" s="1"/>
  <c r="E58" i="16"/>
  <c r="E123" i="22" s="1"/>
  <c r="C60" i="10"/>
  <c r="F13" i="4"/>
  <c r="C59" i="10"/>
  <c r="M10" i="3"/>
  <c r="L10" i="3"/>
  <c r="O17" i="3"/>
  <c r="N17" i="3"/>
  <c r="M17" i="3"/>
  <c r="L17" i="3"/>
  <c r="K17" i="3"/>
  <c r="N10" i="3"/>
  <c r="O10" i="3"/>
  <c r="C24" i="10"/>
  <c r="E5" i="4"/>
  <c r="C24" i="1"/>
  <c r="H58" i="16"/>
  <c r="C57" i="10"/>
  <c r="C27" i="10" s="1"/>
  <c r="E8" i="16"/>
  <c r="G8" i="16"/>
  <c r="M24" i="16"/>
  <c r="M25" i="16" s="1"/>
  <c r="L51" i="16"/>
  <c r="I16" i="16"/>
  <c r="L55" i="16"/>
  <c r="F51" i="16"/>
  <c r="L22" i="16"/>
  <c r="M51" i="16"/>
  <c r="K16" i="16"/>
  <c r="C16" i="16"/>
  <c r="E16" i="16"/>
  <c r="M16" i="16"/>
  <c r="F24" i="16"/>
  <c r="B8" i="16"/>
  <c r="J24" i="16"/>
  <c r="H55" i="16"/>
  <c r="G24" i="16"/>
  <c r="M8" i="16"/>
  <c r="G22" i="16"/>
  <c r="C24" i="16"/>
  <c r="K24" i="16"/>
  <c r="I55" i="16"/>
  <c r="L8" i="16"/>
  <c r="D8" i="16"/>
  <c r="J55" i="16"/>
  <c r="I8" i="16"/>
  <c r="K8" i="16"/>
  <c r="C8" i="16"/>
  <c r="F8" i="16"/>
  <c r="G16" i="16"/>
  <c r="G51" i="16"/>
  <c r="G55" i="16"/>
  <c r="E22" i="16"/>
  <c r="E24" i="16"/>
  <c r="B16" i="16"/>
  <c r="H51" i="16"/>
  <c r="J16" i="16"/>
  <c r="I51" i="16"/>
  <c r="I12" i="16"/>
  <c r="B24" i="16"/>
  <c r="J8" i="16"/>
  <c r="F12" i="16"/>
  <c r="B19" i="16"/>
  <c r="K51" i="16"/>
  <c r="C22" i="16"/>
  <c r="K22" i="16"/>
  <c r="D22" i="16"/>
  <c r="L24" i="16"/>
  <c r="L16" i="16"/>
  <c r="H8" i="16"/>
  <c r="G12" i="16"/>
  <c r="D16" i="16"/>
  <c r="F22" i="16"/>
  <c r="D24" i="16"/>
  <c r="J12" i="16"/>
  <c r="F16" i="16"/>
  <c r="I22" i="16"/>
  <c r="H22" i="16"/>
  <c r="K12" i="16"/>
  <c r="C12" i="16"/>
  <c r="L12" i="16"/>
  <c r="J22" i="16"/>
  <c r="M12" i="16"/>
  <c r="M13" i="16" s="1"/>
  <c r="M22" i="16"/>
  <c r="E12" i="16"/>
  <c r="H24" i="16"/>
  <c r="I24" i="16"/>
  <c r="B12" i="16"/>
  <c r="B2" i="3"/>
  <c r="B4" i="16"/>
  <c r="L46" i="1"/>
  <c r="M46" i="1" s="1"/>
  <c r="B54" i="1"/>
  <c r="B53" i="1" s="1"/>
  <c r="B52" i="1" s="1"/>
  <c r="B51" i="1" s="1"/>
  <c r="B50" i="1" s="1"/>
  <c r="I26" i="10"/>
  <c r="C12" i="19"/>
  <c r="C14" i="19"/>
  <c r="C15" i="19"/>
  <c r="C16" i="19"/>
  <c r="C17" i="19"/>
  <c r="C18" i="19"/>
  <c r="C19" i="19"/>
  <c r="C20" i="19"/>
  <c r="C21" i="19"/>
  <c r="C7" i="19"/>
  <c r="C10" i="19"/>
  <c r="I12" i="10"/>
  <c r="I40" i="10"/>
  <c r="J40" i="10" s="1"/>
  <c r="A2" i="16"/>
  <c r="C22" i="1"/>
  <c r="D10" i="3"/>
  <c r="F15" i="4" l="1"/>
  <c r="F12" i="4" s="1"/>
  <c r="F8" i="4" s="1"/>
  <c r="F7" i="4" s="1"/>
  <c r="E23" i="1"/>
  <c r="K31" i="1"/>
  <c r="E18" i="22"/>
  <c r="I18" i="22" s="1"/>
  <c r="D55" i="4" s="1"/>
  <c r="H65" i="22"/>
  <c r="I63" i="22" s="1"/>
  <c r="J63" i="22" s="1"/>
  <c r="C10" i="10"/>
  <c r="C33" i="10" s="1"/>
  <c r="D154" i="22"/>
  <c r="D156" i="22" s="1"/>
  <c r="D143" i="22"/>
  <c r="G143" i="22" s="1"/>
  <c r="E32" i="4"/>
  <c r="I26" i="22"/>
  <c r="D63" i="4" s="1"/>
  <c r="H43" i="22"/>
  <c r="H94" i="22"/>
  <c r="C124" i="22"/>
  <c r="C125" i="22" s="1"/>
  <c r="F26" i="4"/>
  <c r="F34" i="4" s="1"/>
  <c r="G124" i="22"/>
  <c r="G125" i="22" s="1"/>
  <c r="F31" i="22"/>
  <c r="F124" i="22"/>
  <c r="F125" i="22" s="1"/>
  <c r="E31" i="22"/>
  <c r="H124" i="22"/>
  <c r="H125" i="22" s="1"/>
  <c r="E17" i="22"/>
  <c r="F52" i="22"/>
  <c r="D17" i="22"/>
  <c r="E52" i="22"/>
  <c r="F17" i="22"/>
  <c r="G52" i="22"/>
  <c r="E124" i="22"/>
  <c r="E125" i="22" s="1"/>
  <c r="D31" i="22"/>
  <c r="C31" i="22"/>
  <c r="D124" i="22"/>
  <c r="D125" i="22" s="1"/>
  <c r="I24" i="22"/>
  <c r="C17" i="22"/>
  <c r="H51" i="22"/>
  <c r="D52" i="22"/>
  <c r="J4" i="4"/>
  <c r="B6" i="3"/>
  <c r="H22" i="1" s="1"/>
  <c r="B7" i="3"/>
  <c r="H23" i="1" s="1"/>
  <c r="E24" i="1"/>
  <c r="C23" i="1"/>
  <c r="C25" i="1" s="1"/>
  <c r="C58" i="10"/>
  <c r="C22" i="10" s="1"/>
  <c r="I25" i="10"/>
  <c r="J25" i="10" s="1"/>
  <c r="C47" i="10"/>
  <c r="I45" i="10"/>
  <c r="J45" i="10" s="1"/>
  <c r="C31" i="10"/>
  <c r="C11" i="10"/>
  <c r="C50" i="10" s="1"/>
  <c r="B17" i="3"/>
  <c r="D32" i="4"/>
  <c r="F35" i="4"/>
  <c r="D35" i="4"/>
  <c r="F32" i="4"/>
  <c r="C15" i="10"/>
  <c r="C13" i="10"/>
  <c r="E35" i="4"/>
  <c r="C30" i="10"/>
  <c r="B59" i="16"/>
  <c r="C28" i="10"/>
  <c r="C14" i="10"/>
  <c r="C16" i="10"/>
  <c r="D44" i="4"/>
  <c r="E44" i="4"/>
  <c r="F44" i="4"/>
  <c r="H13" i="16"/>
  <c r="G13" i="16"/>
  <c r="B60" i="16"/>
  <c r="D26" i="4"/>
  <c r="B5" i="3"/>
  <c r="K10" i="3"/>
  <c r="F5" i="4"/>
  <c r="C29" i="10"/>
  <c r="B8" i="3"/>
  <c r="B9" i="3"/>
  <c r="M47" i="1"/>
  <c r="M55" i="1"/>
  <c r="M48" i="1"/>
  <c r="L50" i="1"/>
  <c r="L51" i="1"/>
  <c r="M50" i="1"/>
  <c r="L54" i="1"/>
  <c r="M51" i="1"/>
  <c r="L55" i="1"/>
  <c r="M52" i="1"/>
  <c r="M53" i="1"/>
  <c r="M54" i="1"/>
  <c r="L47" i="1"/>
  <c r="L53" i="1"/>
  <c r="L52" i="1"/>
  <c r="L48" i="1"/>
  <c r="K22" i="1"/>
  <c r="K24" i="1"/>
  <c r="K30" i="1"/>
  <c r="K25" i="1"/>
  <c r="K26" i="1" s="1"/>
  <c r="K23" i="1"/>
  <c r="E29" i="1"/>
  <c r="E28" i="1"/>
  <c r="B20" i="16"/>
  <c r="E22" i="1"/>
  <c r="E20" i="1"/>
  <c r="M25" i="1" s="1"/>
  <c r="E21" i="1"/>
  <c r="L25" i="16"/>
  <c r="E25" i="16"/>
  <c r="I25" i="16"/>
  <c r="G25" i="16"/>
  <c r="D25" i="16"/>
  <c r="C13" i="16"/>
  <c r="B25" i="16"/>
  <c r="F25" i="16"/>
  <c r="E13" i="16"/>
  <c r="J25" i="16"/>
  <c r="H18" i="16"/>
  <c r="E18" i="16"/>
  <c r="E99" i="22" s="1"/>
  <c r="E100" i="22" s="1"/>
  <c r="L18" i="16"/>
  <c r="D56" i="16"/>
  <c r="F109" i="22" s="1"/>
  <c r="K18" i="16"/>
  <c r="B18" i="16"/>
  <c r="H99" i="22" s="1"/>
  <c r="H100" i="22" s="1"/>
  <c r="G56" i="16"/>
  <c r="C109" i="22" s="1"/>
  <c r="C18" i="16"/>
  <c r="G99" i="22" s="1"/>
  <c r="G100" i="22" s="1"/>
  <c r="C43" i="16"/>
  <c r="J56" i="16"/>
  <c r="F18" i="16"/>
  <c r="D99" i="22" s="1"/>
  <c r="D100" i="22" s="1"/>
  <c r="E56" i="16"/>
  <c r="E109" i="22" s="1"/>
  <c r="B80" i="16"/>
  <c r="B43" i="16"/>
  <c r="K25" i="16"/>
  <c r="G18" i="16"/>
  <c r="B64" i="16"/>
  <c r="H56" i="16"/>
  <c r="I18" i="16"/>
  <c r="B82" i="16"/>
  <c r="B81" i="16"/>
  <c r="J18" i="16"/>
  <c r="L56" i="16"/>
  <c r="M56" i="16"/>
  <c r="F56" i="16"/>
  <c r="D109" i="22" s="1"/>
  <c r="I56" i="16"/>
  <c r="M18" i="16"/>
  <c r="D18" i="16"/>
  <c r="F99" i="22" s="1"/>
  <c r="F100" i="22" s="1"/>
  <c r="K13" i="16"/>
  <c r="F13" i="16"/>
  <c r="B13" i="16"/>
  <c r="J13" i="16"/>
  <c r="C25" i="16"/>
  <c r="H25" i="16"/>
  <c r="I13" i="16"/>
  <c r="L13" i="16"/>
  <c r="D13" i="16"/>
  <c r="C4" i="16"/>
  <c r="D4" i="16" s="1"/>
  <c r="E4" i="16" s="1"/>
  <c r="F4" i="16" s="1"/>
  <c r="I39" i="10"/>
  <c r="J39" i="10" s="1"/>
  <c r="B49" i="1"/>
  <c r="I41" i="22" l="1"/>
  <c r="I42" i="22" s="1"/>
  <c r="K63" i="22"/>
  <c r="L63" i="22" s="1"/>
  <c r="J64" i="22"/>
  <c r="C34" i="10"/>
  <c r="M27" i="1"/>
  <c r="C99" i="22"/>
  <c r="C100" i="22" s="1"/>
  <c r="H101" i="22" s="1"/>
  <c r="R101" i="22" s="1"/>
  <c r="J26" i="22"/>
  <c r="E63" i="4" s="1"/>
  <c r="D110" i="22"/>
  <c r="I31" i="22"/>
  <c r="D68" i="4" s="1"/>
  <c r="E110" i="22"/>
  <c r="F110" i="22"/>
  <c r="I56" i="22"/>
  <c r="I64" i="22"/>
  <c r="L93" i="22"/>
  <c r="P93" i="22"/>
  <c r="T93" i="22"/>
  <c r="X93" i="22"/>
  <c r="AB93" i="22"/>
  <c r="AF93" i="22"/>
  <c r="R94" i="22"/>
  <c r="M93" i="22"/>
  <c r="Q93" i="22"/>
  <c r="U93" i="22"/>
  <c r="Y93" i="22"/>
  <c r="AC93" i="22"/>
  <c r="AG93" i="22"/>
  <c r="J93" i="22"/>
  <c r="N93" i="22"/>
  <c r="R93" i="22"/>
  <c r="V93" i="22"/>
  <c r="Z93" i="22"/>
  <c r="AD93" i="22"/>
  <c r="AH93" i="22"/>
  <c r="K93" i="22"/>
  <c r="O93" i="22"/>
  <c r="S93" i="22"/>
  <c r="W93" i="22"/>
  <c r="AA93" i="22"/>
  <c r="AE93" i="22"/>
  <c r="I93" i="22"/>
  <c r="J24" i="22"/>
  <c r="E61" i="4" s="1"/>
  <c r="D61" i="4"/>
  <c r="F36" i="4"/>
  <c r="H113" i="22"/>
  <c r="H118" i="22" s="1"/>
  <c r="H126" i="22"/>
  <c r="K4" i="4"/>
  <c r="H52" i="22"/>
  <c r="J50" i="22" s="1"/>
  <c r="G6" i="4"/>
  <c r="G8" i="4" s="1"/>
  <c r="D56" i="4"/>
  <c r="E56" i="4"/>
  <c r="M24" i="1"/>
  <c r="I50" i="10"/>
  <c r="J50" i="10" s="1"/>
  <c r="C74" i="10"/>
  <c r="C35" i="10" s="1"/>
  <c r="I27" i="10"/>
  <c r="J27" i="10" s="1"/>
  <c r="I30" i="10"/>
  <c r="J30" i="10" s="1"/>
  <c r="I15" i="10"/>
  <c r="J15" i="10" s="1"/>
  <c r="I11" i="10"/>
  <c r="J11" i="10" s="1"/>
  <c r="I29" i="10"/>
  <c r="J29" i="10" s="1"/>
  <c r="I31" i="10"/>
  <c r="J31" i="10" s="1"/>
  <c r="I47" i="10"/>
  <c r="J47" i="10" s="1"/>
  <c r="H21" i="1"/>
  <c r="D34" i="4"/>
  <c r="D36" i="4" s="1"/>
  <c r="M32" i="1"/>
  <c r="C41" i="10" s="1"/>
  <c r="B10" i="3"/>
  <c r="K28" i="1"/>
  <c r="K27" i="1"/>
  <c r="E25" i="1"/>
  <c r="I33" i="10"/>
  <c r="J33" i="10" s="1"/>
  <c r="C73" i="10"/>
  <c r="B34" i="16"/>
  <c r="I24" i="10"/>
  <c r="J24" i="10" s="1"/>
  <c r="I16" i="10"/>
  <c r="J16" i="10" s="1"/>
  <c r="B35" i="16"/>
  <c r="I14" i="10"/>
  <c r="J14" i="10" s="1"/>
  <c r="G4" i="16"/>
  <c r="B48" i="1"/>
  <c r="I99" i="22" l="1"/>
  <c r="I50" i="22"/>
  <c r="M51" i="22" s="1"/>
  <c r="K50" i="22"/>
  <c r="M63" i="22"/>
  <c r="L64" i="22"/>
  <c r="I65" i="22"/>
  <c r="J41" i="22"/>
  <c r="H138" i="22" s="1"/>
  <c r="H146" i="22" s="1"/>
  <c r="I92" i="22"/>
  <c r="I57" i="22"/>
  <c r="J56" i="22"/>
  <c r="K56" i="22" s="1"/>
  <c r="G138" i="22"/>
  <c r="J31" i="22"/>
  <c r="E68" i="4" s="1"/>
  <c r="W94" i="22"/>
  <c r="AG94" i="22"/>
  <c r="AB94" i="22"/>
  <c r="G24" i="4"/>
  <c r="G11" i="4"/>
  <c r="G12" i="4" s="1"/>
  <c r="G23" i="4"/>
  <c r="G40" i="4" s="1"/>
  <c r="I49" i="22" s="1"/>
  <c r="L4" i="4"/>
  <c r="L50" i="22"/>
  <c r="M50" i="22"/>
  <c r="C37" i="10"/>
  <c r="C36" i="10"/>
  <c r="C17" i="10"/>
  <c r="I17" i="10" s="1"/>
  <c r="J17" i="10" s="1"/>
  <c r="I35" i="10"/>
  <c r="J35" i="10" s="1"/>
  <c r="I41" i="10"/>
  <c r="J41" i="10" s="1"/>
  <c r="C21" i="10"/>
  <c r="C20" i="10"/>
  <c r="C18" i="10"/>
  <c r="I19" i="10"/>
  <c r="B36" i="16"/>
  <c r="G28" i="22" s="1"/>
  <c r="I10" i="10"/>
  <c r="J10" i="10" s="1"/>
  <c r="I22" i="10"/>
  <c r="J22" i="10" s="1"/>
  <c r="H4" i="16"/>
  <c r="B47" i="1"/>
  <c r="M52" i="22" l="1"/>
  <c r="Q50" i="22" s="1"/>
  <c r="H154" i="22"/>
  <c r="H155" i="22" s="1"/>
  <c r="H139" i="22" s="1"/>
  <c r="H147" i="22" s="1"/>
  <c r="H149" i="22" s="1"/>
  <c r="H6" i="4"/>
  <c r="J92" i="22"/>
  <c r="J42" i="22"/>
  <c r="K41" i="22" s="1"/>
  <c r="K42" i="22" s="1"/>
  <c r="L41" i="22" s="1"/>
  <c r="J138" i="22" s="1"/>
  <c r="J99" i="22"/>
  <c r="M64" i="22"/>
  <c r="G154" i="22"/>
  <c r="G155" i="22" s="1"/>
  <c r="G139" i="22" s="1"/>
  <c r="G147" i="22" s="1"/>
  <c r="G146" i="22"/>
  <c r="J57" i="22"/>
  <c r="K57" i="22"/>
  <c r="L56" i="22"/>
  <c r="M4" i="4"/>
  <c r="P50" i="22"/>
  <c r="O50" i="22"/>
  <c r="N50" i="22"/>
  <c r="R51" i="22" s="1"/>
  <c r="I36" i="10"/>
  <c r="J36" i="10" s="1"/>
  <c r="I18" i="10"/>
  <c r="J18" i="10" s="1"/>
  <c r="I37" i="10"/>
  <c r="J37" i="10" s="1"/>
  <c r="I20" i="10"/>
  <c r="J20" i="10" s="1"/>
  <c r="I21" i="10"/>
  <c r="J21" i="10" s="1"/>
  <c r="E26" i="1"/>
  <c r="I4" i="16"/>
  <c r="J4" i="16" s="1"/>
  <c r="B46" i="1"/>
  <c r="D46" i="1" s="1" a="1"/>
  <c r="R50" i="22" l="1"/>
  <c r="I6" i="4"/>
  <c r="K99" i="22"/>
  <c r="K92" i="22"/>
  <c r="I138" i="22"/>
  <c r="I154" i="22" s="1"/>
  <c r="I155" i="22" s="1"/>
  <c r="I139" i="22" s="1"/>
  <c r="G149" i="22"/>
  <c r="G151" i="22" s="1"/>
  <c r="G21" i="4" s="1"/>
  <c r="K64" i="22"/>
  <c r="J154" i="22"/>
  <c r="J155" i="22" s="1"/>
  <c r="J139" i="22" s="1"/>
  <c r="J146" i="22"/>
  <c r="L92" i="22"/>
  <c r="N4" i="4"/>
  <c r="D58" i="1"/>
  <c r="D46" i="1"/>
  <c r="D55" i="1" s="1"/>
  <c r="V50" i="22"/>
  <c r="W50" i="22"/>
  <c r="T50" i="22"/>
  <c r="S50" i="22"/>
  <c r="U50" i="22"/>
  <c r="L99" i="22"/>
  <c r="L42" i="22"/>
  <c r="M41" i="22" s="1"/>
  <c r="K138" i="22" s="1"/>
  <c r="J6" i="4"/>
  <c r="L57" i="22"/>
  <c r="M56" i="22"/>
  <c r="H9" i="4"/>
  <c r="H8" i="4" s="1"/>
  <c r="H46" i="1" a="1"/>
  <c r="H46" i="1" s="1"/>
  <c r="C46" i="1" a="1"/>
  <c r="I146" i="22" l="1"/>
  <c r="H151" i="22"/>
  <c r="H21" i="4" s="1"/>
  <c r="M65" i="22"/>
  <c r="N63" i="22" s="1"/>
  <c r="O63" i="22" s="1"/>
  <c r="P63" i="22" s="1"/>
  <c r="Q63" i="22" s="1"/>
  <c r="R63" i="22" s="1"/>
  <c r="S63" i="22" s="1"/>
  <c r="T63" i="22" s="1"/>
  <c r="U63" i="22" s="1"/>
  <c r="V63" i="22" s="1"/>
  <c r="W63" i="22" s="1"/>
  <c r="X63" i="22" s="1"/>
  <c r="Y63" i="22" s="1"/>
  <c r="Z63" i="22" s="1"/>
  <c r="AA63" i="22" s="1"/>
  <c r="AB63" i="22" s="1"/>
  <c r="AC63" i="22" s="1"/>
  <c r="AD63" i="22" s="1"/>
  <c r="AE63" i="22" s="1"/>
  <c r="AF63" i="22" s="1"/>
  <c r="AG63" i="22" s="1"/>
  <c r="AH63" i="22" s="1"/>
  <c r="I147" i="22"/>
  <c r="K154" i="22"/>
  <c r="K155" i="22" s="1"/>
  <c r="K139" i="22" s="1"/>
  <c r="K146" i="22"/>
  <c r="J147" i="22"/>
  <c r="J149" i="22" s="1"/>
  <c r="M92" i="22"/>
  <c r="M99" i="22"/>
  <c r="K6" i="4"/>
  <c r="K11" i="4" s="1"/>
  <c r="K20" i="4" s="1"/>
  <c r="M42" i="22"/>
  <c r="N41" i="22" s="1"/>
  <c r="L138" i="22" s="1"/>
  <c r="O4" i="4"/>
  <c r="X50" i="22"/>
  <c r="AA50" i="22"/>
  <c r="W51" i="22"/>
  <c r="Z50" i="22"/>
  <c r="Y50" i="22"/>
  <c r="AB50" i="22"/>
  <c r="N56" i="22"/>
  <c r="M57" i="22"/>
  <c r="H41" i="4"/>
  <c r="C46" i="1"/>
  <c r="C55" i="1" s="1"/>
  <c r="K4" i="16"/>
  <c r="I149" i="22" l="1"/>
  <c r="I151" i="22" s="1"/>
  <c r="I21" i="4" s="1"/>
  <c r="Z64" i="22"/>
  <c r="AH64" i="22"/>
  <c r="S64" i="22"/>
  <c r="AA64" i="22"/>
  <c r="AC64" i="22"/>
  <c r="V64" i="22"/>
  <c r="AE64" i="22"/>
  <c r="AF64" i="22"/>
  <c r="N64" i="22"/>
  <c r="P64" i="22"/>
  <c r="Y64" i="22"/>
  <c r="AG64" i="22"/>
  <c r="J151" i="22"/>
  <c r="J21" i="4" s="1"/>
  <c r="K147" i="22"/>
  <c r="K149" i="22" s="1"/>
  <c r="K151" i="22" s="1"/>
  <c r="K21" i="4" s="1"/>
  <c r="L154" i="22"/>
  <c r="L155" i="22" s="1"/>
  <c r="L139" i="22" s="1"/>
  <c r="L146" i="22"/>
  <c r="N92" i="22"/>
  <c r="AG50" i="22"/>
  <c r="AC50" i="22"/>
  <c r="AG51" i="22" s="1"/>
  <c r="AF50" i="22"/>
  <c r="AE50" i="22"/>
  <c r="AD50" i="22"/>
  <c r="AB51" i="22"/>
  <c r="O56" i="22"/>
  <c r="N57" i="22"/>
  <c r="R58" i="22" s="1"/>
  <c r="P4" i="4"/>
  <c r="N99" i="22"/>
  <c r="L6" i="4"/>
  <c r="L11" i="4" s="1"/>
  <c r="N42" i="22"/>
  <c r="O41" i="22" s="1"/>
  <c r="M138" i="22" s="1"/>
  <c r="L4" i="16"/>
  <c r="W64" i="22" l="1"/>
  <c r="AB64" i="22"/>
  <c r="O64" i="22"/>
  <c r="T64" i="22"/>
  <c r="X64" i="22"/>
  <c r="Q64" i="22"/>
  <c r="U64" i="22"/>
  <c r="AD64" i="22"/>
  <c r="R64" i="22"/>
  <c r="L147" i="22"/>
  <c r="L149" i="22" s="1"/>
  <c r="L151" i="22" s="1"/>
  <c r="L21" i="4" s="1"/>
  <c r="M154" i="22"/>
  <c r="M155" i="22" s="1"/>
  <c r="M139" i="22" s="1"/>
  <c r="M146" i="22"/>
  <c r="J17" i="22"/>
  <c r="E53" i="4" s="1"/>
  <c r="Q4" i="4"/>
  <c r="P56" i="22"/>
  <c r="O57" i="22"/>
  <c r="M4" i="16"/>
  <c r="N7" i="4" s="1"/>
  <c r="M147" i="22" l="1"/>
  <c r="M149" i="22" s="1"/>
  <c r="M151" i="22" s="1"/>
  <c r="M21" i="4" s="1"/>
  <c r="R4" i="4"/>
  <c r="Q7" i="4"/>
  <c r="P57" i="22"/>
  <c r="Q56" i="22"/>
  <c r="P7" i="4"/>
  <c r="M7" i="4"/>
  <c r="O7" i="4"/>
  <c r="B91" i="16"/>
  <c r="D91" i="16"/>
  <c r="E91" i="16"/>
  <c r="S4" i="4" l="1"/>
  <c r="R7" i="4"/>
  <c r="R56" i="22"/>
  <c r="Q57" i="22"/>
  <c r="M6" i="16"/>
  <c r="D34" i="16"/>
  <c r="K35" i="16"/>
  <c r="K36" i="16" s="1"/>
  <c r="I34" i="16"/>
  <c r="G9" i="16"/>
  <c r="G10" i="16" s="1"/>
  <c r="K19" i="16"/>
  <c r="K20" i="16" s="1"/>
  <c r="I19" i="16"/>
  <c r="I20" i="16" s="1"/>
  <c r="K9" i="16"/>
  <c r="K10" i="16" s="1"/>
  <c r="I9" i="16"/>
  <c r="I10" i="16" s="1"/>
  <c r="M26" i="1"/>
  <c r="I28" i="10"/>
  <c r="J28" i="10" s="1"/>
  <c r="C34" i="16"/>
  <c r="H58" i="1"/>
  <c r="E34" i="16"/>
  <c r="C91" i="16"/>
  <c r="F26" i="16"/>
  <c r="I6" i="16"/>
  <c r="K26" i="16"/>
  <c r="K29" i="16" s="1"/>
  <c r="J26" i="16"/>
  <c r="I35" i="16"/>
  <c r="I36" i="16" s="1"/>
  <c r="K34" i="16"/>
  <c r="R65" i="22" l="1"/>
  <c r="R57" i="22"/>
  <c r="S56" i="22"/>
  <c r="T4" i="4"/>
  <c r="S7" i="4"/>
  <c r="D60" i="16"/>
  <c r="K60" i="16"/>
  <c r="I60" i="16"/>
  <c r="L34" i="16"/>
  <c r="M34" i="16"/>
  <c r="M19" i="16"/>
  <c r="M20" i="16" s="1"/>
  <c r="L6" i="16"/>
  <c r="M9" i="16"/>
  <c r="M10" i="16" s="1"/>
  <c r="M29" i="16"/>
  <c r="M30" i="16" s="1"/>
  <c r="M31" i="16" s="1"/>
  <c r="E26" i="16"/>
  <c r="E29" i="16" s="1"/>
  <c r="M35" i="16"/>
  <c r="M36" i="16" s="1"/>
  <c r="L26" i="16"/>
  <c r="L29" i="16" s="1"/>
  <c r="H55" i="1"/>
  <c r="R49" i="1"/>
  <c r="C35" i="16"/>
  <c r="C36" i="16" s="1"/>
  <c r="L35" i="16"/>
  <c r="L36" i="16" s="1"/>
  <c r="D26" i="16"/>
  <c r="D29" i="16" s="1"/>
  <c r="J35" i="16"/>
  <c r="J36" i="16" s="1"/>
  <c r="H34" i="16"/>
  <c r="C60" i="16"/>
  <c r="J34" i="16"/>
  <c r="G19" i="16"/>
  <c r="F35" i="16"/>
  <c r="F36" i="16" s="1"/>
  <c r="F29" i="16"/>
  <c r="G35" i="16"/>
  <c r="G36" i="16" s="1"/>
  <c r="J29" i="16"/>
  <c r="I26" i="16"/>
  <c r="I29" i="16" s="1"/>
  <c r="E9" i="16"/>
  <c r="E10" i="16" s="1"/>
  <c r="D6" i="16"/>
  <c r="D5" i="4" s="1"/>
  <c r="B6" i="16"/>
  <c r="C6" i="16"/>
  <c r="R54" i="1"/>
  <c r="R51" i="1"/>
  <c r="R50" i="1"/>
  <c r="J19" i="16"/>
  <c r="J20" i="16" s="1"/>
  <c r="E35" i="16"/>
  <c r="E36" i="16" s="1"/>
  <c r="C26" i="16"/>
  <c r="C29" i="16" s="1"/>
  <c r="B26" i="16"/>
  <c r="B29" i="16" s="1"/>
  <c r="O50" i="1"/>
  <c r="F19" i="16"/>
  <c r="O49" i="1"/>
  <c r="H19" i="16"/>
  <c r="H20" i="16" s="1"/>
  <c r="C9" i="16"/>
  <c r="C10" i="16" s="1"/>
  <c r="C19" i="16"/>
  <c r="E19" i="16"/>
  <c r="D35" i="16"/>
  <c r="D36" i="16" s="1"/>
  <c r="G6" i="16"/>
  <c r="H9" i="16"/>
  <c r="H10" i="16" s="1"/>
  <c r="H6" i="16"/>
  <c r="J9" i="16"/>
  <c r="J10" i="16" s="1"/>
  <c r="J6" i="16"/>
  <c r="D19" i="16"/>
  <c r="H57" i="1"/>
  <c r="K6" i="16"/>
  <c r="L9" i="16"/>
  <c r="L10" i="16" s="1"/>
  <c r="G34" i="16"/>
  <c r="L19" i="16"/>
  <c r="L20" i="16" s="1"/>
  <c r="D9" i="16"/>
  <c r="D10" i="16" s="1"/>
  <c r="G26" i="16"/>
  <c r="G29" i="16" s="1"/>
  <c r="H26" i="16"/>
  <c r="H29" i="16" s="1"/>
  <c r="E6" i="16"/>
  <c r="F9" i="16"/>
  <c r="F10" i="16" s="1"/>
  <c r="N50" i="1"/>
  <c r="F6" i="16"/>
  <c r="R48" i="1"/>
  <c r="H35" i="16"/>
  <c r="F34" i="16"/>
  <c r="E46" i="1" l="1" a="1"/>
  <c r="E46" i="1" s="1"/>
  <c r="T56" i="22"/>
  <c r="S57" i="22"/>
  <c r="U4" i="4"/>
  <c r="T7" i="4"/>
  <c r="E31" i="1"/>
  <c r="G20" i="16"/>
  <c r="F20" i="16"/>
  <c r="E20" i="16"/>
  <c r="D20" i="16"/>
  <c r="I46" i="1" a="1"/>
  <c r="S51" i="1" s="1"/>
  <c r="B30" i="16"/>
  <c r="B31" i="16" s="1"/>
  <c r="I32" i="10" s="1"/>
  <c r="H36" i="16"/>
  <c r="K29" i="1"/>
  <c r="N55" i="1"/>
  <c r="C20" i="16"/>
  <c r="J60" i="16"/>
  <c r="M60" i="16"/>
  <c r="G60" i="16"/>
  <c r="F60" i="16"/>
  <c r="E60" i="16"/>
  <c r="L60" i="16"/>
  <c r="H60" i="16"/>
  <c r="C59" i="16"/>
  <c r="K30" i="16"/>
  <c r="K31" i="16" s="1"/>
  <c r="L30" i="16"/>
  <c r="L31" i="16" s="1"/>
  <c r="O47" i="1"/>
  <c r="O48" i="1"/>
  <c r="J30" i="16"/>
  <c r="J31" i="16" s="1"/>
  <c r="D30" i="16"/>
  <c r="D31" i="16" s="1"/>
  <c r="N47" i="1"/>
  <c r="N51" i="1"/>
  <c r="E30" i="16"/>
  <c r="E31" i="16" s="1"/>
  <c r="I30" i="16"/>
  <c r="I31" i="16" s="1"/>
  <c r="H30" i="16"/>
  <c r="H31" i="16" s="1"/>
  <c r="N49" i="1"/>
  <c r="N48" i="1"/>
  <c r="G30" i="16"/>
  <c r="G31" i="16" s="1"/>
  <c r="C30" i="16"/>
  <c r="C31" i="16" s="1"/>
  <c r="C57" i="1"/>
  <c r="F30" i="16"/>
  <c r="F31" i="16" s="1"/>
  <c r="O51" i="1"/>
  <c r="R53" i="1"/>
  <c r="R52" i="1"/>
  <c r="N52" i="1"/>
  <c r="O52" i="1"/>
  <c r="O53" i="1"/>
  <c r="C58" i="1"/>
  <c r="N54" i="1"/>
  <c r="N53" i="1"/>
  <c r="V4" i="4" l="1"/>
  <c r="U7" i="4"/>
  <c r="T57" i="22"/>
  <c r="U56" i="22"/>
  <c r="M31" i="1"/>
  <c r="E27" i="1"/>
  <c r="M57" i="1"/>
  <c r="S50" i="1"/>
  <c r="S49" i="1"/>
  <c r="I46" i="1"/>
  <c r="S54" i="1"/>
  <c r="S53" i="1"/>
  <c r="S52" i="1"/>
  <c r="L57" i="1"/>
  <c r="S48" i="1"/>
  <c r="Q50" i="1"/>
  <c r="Q51" i="1"/>
  <c r="Q52" i="1"/>
  <c r="Q48" i="1"/>
  <c r="M29" i="1"/>
  <c r="C56" i="1"/>
  <c r="F57" i="1"/>
  <c r="F55" i="1"/>
  <c r="F58" i="1"/>
  <c r="Q53" i="1"/>
  <c r="Q49" i="1"/>
  <c r="Q54" i="1"/>
  <c r="W4" i="4" l="1"/>
  <c r="V7" i="4"/>
  <c r="U57" i="22"/>
  <c r="V56" i="22"/>
  <c r="H56" i="1"/>
  <c r="F56" i="1"/>
  <c r="V57" i="22" l="1"/>
  <c r="W56" i="22"/>
  <c r="X4" i="4"/>
  <c r="W7" i="4"/>
  <c r="O55" i="1"/>
  <c r="B9" i="16"/>
  <c r="B10" i="16" s="1"/>
  <c r="X56" i="22" l="1"/>
  <c r="W57" i="22"/>
  <c r="Y4" i="4"/>
  <c r="X7" i="4"/>
  <c r="L58" i="1"/>
  <c r="I34" i="10"/>
  <c r="J34" i="10" s="1"/>
  <c r="D57" i="1"/>
  <c r="M28" i="1"/>
  <c r="O54" i="1"/>
  <c r="D56" i="1" s="1"/>
  <c r="Y56" i="22" l="1"/>
  <c r="X57" i="22"/>
  <c r="AB58" i="22" s="1"/>
  <c r="Z4" i="4"/>
  <c r="Y7" i="4"/>
  <c r="M58" i="1"/>
  <c r="I13" i="10"/>
  <c r="J13" i="10" s="1"/>
  <c r="AA4" i="4" l="1"/>
  <c r="Z7" i="4"/>
  <c r="Y57" i="22"/>
  <c r="Z56" i="22"/>
  <c r="M44" i="16"/>
  <c r="M59" i="16" s="1"/>
  <c r="I44" i="16"/>
  <c r="I59" i="16" s="1"/>
  <c r="I43" i="16"/>
  <c r="E44" i="16"/>
  <c r="L44" i="16"/>
  <c r="L59" i="16" s="1"/>
  <c r="L43" i="16"/>
  <c r="E59" i="16" l="1"/>
  <c r="E105" i="22"/>
  <c r="AB4" i="4"/>
  <c r="AA7" i="4"/>
  <c r="Z57" i="22"/>
  <c r="AA56" i="22"/>
  <c r="J44" i="16"/>
  <c r="J59" i="16" s="1"/>
  <c r="G64" i="16"/>
  <c r="C113" i="22" s="1"/>
  <c r="C118" i="22" s="1"/>
  <c r="H64" i="16"/>
  <c r="K43" i="16"/>
  <c r="F43" i="16"/>
  <c r="J43" i="16"/>
  <c r="G43" i="16"/>
  <c r="K44" i="16"/>
  <c r="K59" i="16" s="1"/>
  <c r="F44" i="16"/>
  <c r="G44" i="16"/>
  <c r="H44" i="16"/>
  <c r="H59" i="16" s="1"/>
  <c r="AC4" i="4" l="1"/>
  <c r="AB7" i="4"/>
  <c r="G59" i="16"/>
  <c r="C105" i="22"/>
  <c r="AA57" i="22"/>
  <c r="AB56" i="22"/>
  <c r="F59" i="16"/>
  <c r="D105" i="22"/>
  <c r="M64" i="16"/>
  <c r="I64" i="16"/>
  <c r="M43" i="16"/>
  <c r="H43" i="16"/>
  <c r="E43" i="16"/>
  <c r="F64" i="16"/>
  <c r="D113" i="22" s="1"/>
  <c r="D118" i="22" s="1"/>
  <c r="J64" i="16"/>
  <c r="L64" i="16"/>
  <c r="E64" i="16"/>
  <c r="E113" i="22" s="1"/>
  <c r="E118" i="22" s="1"/>
  <c r="D64" i="16"/>
  <c r="F113" i="22" s="1"/>
  <c r="F118" i="22" s="1"/>
  <c r="C64" i="16"/>
  <c r="G113" i="22" s="1"/>
  <c r="G118" i="22" s="1"/>
  <c r="C56" i="16"/>
  <c r="G109" i="22" s="1"/>
  <c r="D106" i="22" l="1"/>
  <c r="H119" i="22"/>
  <c r="G110" i="22"/>
  <c r="H110" i="22"/>
  <c r="E106" i="22"/>
  <c r="AB57" i="22"/>
  <c r="AC56" i="22"/>
  <c r="AB65" i="22"/>
  <c r="AD4" i="4"/>
  <c r="AC7" i="4"/>
  <c r="D43" i="16"/>
  <c r="D44" i="16"/>
  <c r="C55" i="16"/>
  <c r="C52" i="16"/>
  <c r="B68" i="16"/>
  <c r="L49" i="1" s="1"/>
  <c r="L56" i="1" s="1"/>
  <c r="B75" i="16"/>
  <c r="C68" i="16"/>
  <c r="M49" i="1" s="1"/>
  <c r="M56" i="1" s="1"/>
  <c r="E25" i="4"/>
  <c r="E26" i="4" s="1"/>
  <c r="E34" i="4" s="1"/>
  <c r="H111" i="22" l="1"/>
  <c r="I110" i="22" s="1"/>
  <c r="J110" i="22" s="1"/>
  <c r="K110" i="22" s="1"/>
  <c r="L110" i="22" s="1"/>
  <c r="AC57" i="22"/>
  <c r="AG58" i="22" s="1"/>
  <c r="AD56" i="22"/>
  <c r="D59" i="16"/>
  <c r="G46" i="1" s="1" a="1"/>
  <c r="G46" i="1" s="1"/>
  <c r="F105" i="22"/>
  <c r="AE4" i="4"/>
  <c r="AD7" i="4"/>
  <c r="E36" i="4"/>
  <c r="E43" i="4" s="1"/>
  <c r="K56" i="16"/>
  <c r="K52" i="16"/>
  <c r="K55" i="16"/>
  <c r="I109" i="22" l="1"/>
  <c r="J109" i="22" s="1"/>
  <c r="K109" i="22" s="1"/>
  <c r="L109" i="22" s="1"/>
  <c r="F106" i="22"/>
  <c r="G106" i="22"/>
  <c r="M110" i="22"/>
  <c r="AD57" i="22"/>
  <c r="AE56" i="22"/>
  <c r="AF4" i="4"/>
  <c r="AF7" i="4" s="1"/>
  <c r="AE7" i="4"/>
  <c r="F43" i="4"/>
  <c r="G13" i="4" s="1"/>
  <c r="K64" i="16"/>
  <c r="M109" i="22" l="1"/>
  <c r="H107" i="22"/>
  <c r="I106" i="22" s="1"/>
  <c r="I105" i="22" s="1"/>
  <c r="N110" i="22"/>
  <c r="O110" i="22" s="1"/>
  <c r="P110" i="22" s="1"/>
  <c r="Q110" i="22" s="1"/>
  <c r="R110" i="22" s="1"/>
  <c r="AE57" i="22"/>
  <c r="AF56" i="22"/>
  <c r="H38" i="4"/>
  <c r="H39" i="4"/>
  <c r="J106" i="22" l="1"/>
  <c r="K106" i="22" s="1"/>
  <c r="L106" i="22" s="1"/>
  <c r="M106" i="22" s="1"/>
  <c r="N106" i="22" s="1"/>
  <c r="O106" i="22" s="1"/>
  <c r="P106" i="22" s="1"/>
  <c r="Q106" i="22" s="1"/>
  <c r="R106" i="22" s="1"/>
  <c r="I113" i="22"/>
  <c r="I123" i="22" s="1"/>
  <c r="G44" i="4" s="1"/>
  <c r="N109" i="22"/>
  <c r="O109" i="22" s="1"/>
  <c r="P109" i="22" s="1"/>
  <c r="Q109" i="22" s="1"/>
  <c r="R109" i="22" s="1"/>
  <c r="S109" i="22" s="1"/>
  <c r="T109" i="22" s="1"/>
  <c r="U109" i="22" s="1"/>
  <c r="V109" i="22" s="1"/>
  <c r="W109" i="22" s="1"/>
  <c r="X109" i="22" s="1"/>
  <c r="Y109" i="22" s="1"/>
  <c r="Z109" i="22" s="1"/>
  <c r="AA109" i="22" s="1"/>
  <c r="AB109" i="22" s="1"/>
  <c r="AC109" i="22" s="1"/>
  <c r="AD109" i="22" s="1"/>
  <c r="AE109" i="22" s="1"/>
  <c r="AF109" i="22" s="1"/>
  <c r="AG109" i="22" s="1"/>
  <c r="AH109" i="22" s="1"/>
  <c r="AF57" i="22"/>
  <c r="AG56" i="22"/>
  <c r="I10" i="4"/>
  <c r="I39" i="4" s="1"/>
  <c r="J105" i="22" l="1"/>
  <c r="J113" i="22" s="1"/>
  <c r="J123" i="22" s="1"/>
  <c r="H44" i="4" s="1"/>
  <c r="AG65" i="22"/>
  <c r="AG57" i="22"/>
  <c r="AH56" i="22"/>
  <c r="AH57" i="22" s="1"/>
  <c r="I38" i="4"/>
  <c r="J10" i="4" s="1"/>
  <c r="K105" i="22" l="1"/>
  <c r="L105" i="22" s="1"/>
  <c r="J39" i="4"/>
  <c r="J38" i="4"/>
  <c r="K10" i="4" s="1"/>
  <c r="K113" i="22" l="1"/>
  <c r="K123" i="22" s="1"/>
  <c r="I44" i="4" s="1"/>
  <c r="M105" i="22"/>
  <c r="L113" i="22"/>
  <c r="L123" i="22" s="1"/>
  <c r="J44" i="4" s="1"/>
  <c r="K38" i="4"/>
  <c r="L10" i="4" s="1"/>
  <c r="K39" i="4"/>
  <c r="N105" i="22" l="1"/>
  <c r="M113" i="22"/>
  <c r="M123" i="22" s="1"/>
  <c r="K44" i="4" s="1"/>
  <c r="L39" i="4"/>
  <c r="L38" i="4"/>
  <c r="M10" i="4" s="1"/>
  <c r="N113" i="22" l="1"/>
  <c r="N123" i="22" s="1"/>
  <c r="L44" i="4" s="1"/>
  <c r="O105" i="22"/>
  <c r="M39" i="4"/>
  <c r="M38" i="4"/>
  <c r="N10" i="4" s="1"/>
  <c r="P105" i="22" l="1"/>
  <c r="O113" i="22"/>
  <c r="O123" i="22" s="1"/>
  <c r="M44" i="4" s="1"/>
  <c r="N38" i="4"/>
  <c r="O10" i="4" s="1"/>
  <c r="N39" i="4"/>
  <c r="Q105" i="22" l="1"/>
  <c r="P113" i="22"/>
  <c r="P123" i="22" s="1"/>
  <c r="N44" i="4" s="1"/>
  <c r="O39" i="4"/>
  <c r="O38" i="4"/>
  <c r="P10" i="4" s="1"/>
  <c r="R105" i="22" l="1"/>
  <c r="Q113" i="22"/>
  <c r="Q123" i="22" s="1"/>
  <c r="O44" i="4" s="1"/>
  <c r="P38" i="4"/>
  <c r="Q10" i="4" s="1"/>
  <c r="P39" i="4"/>
  <c r="R113" i="22" l="1"/>
  <c r="R123" i="22" s="1"/>
  <c r="P44" i="4" s="1"/>
  <c r="S105" i="22"/>
  <c r="Q38" i="4"/>
  <c r="R10" i="4" s="1"/>
  <c r="Q39" i="4"/>
  <c r="T105" i="22" l="1"/>
  <c r="S113" i="22"/>
  <c r="S123" i="22" s="1"/>
  <c r="Q44" i="4" s="1"/>
  <c r="R39" i="4"/>
  <c r="R38" i="4"/>
  <c r="S10" i="4" s="1"/>
  <c r="U105" i="22" l="1"/>
  <c r="T113" i="22"/>
  <c r="T123" i="22" s="1"/>
  <c r="R44" i="4" s="1"/>
  <c r="S39" i="4"/>
  <c r="S38" i="4"/>
  <c r="T10" i="4" s="1"/>
  <c r="V105" i="22" l="1"/>
  <c r="U113" i="22"/>
  <c r="U123" i="22" s="1"/>
  <c r="S44" i="4" s="1"/>
  <c r="T38" i="4"/>
  <c r="U10" i="4" s="1"/>
  <c r="V113" i="22" l="1"/>
  <c r="V123" i="22" s="1"/>
  <c r="T44" i="4" s="1"/>
  <c r="W105" i="22"/>
  <c r="T39" i="4"/>
  <c r="X105" i="22" l="1"/>
  <c r="W113" i="22"/>
  <c r="W123" i="22" s="1"/>
  <c r="U44" i="4" s="1"/>
  <c r="U39" i="4"/>
  <c r="U38" i="4"/>
  <c r="V10" i="4" s="1"/>
  <c r="X113" i="22" l="1"/>
  <c r="X123" i="22" s="1"/>
  <c r="V44" i="4" s="1"/>
  <c r="Y105" i="22"/>
  <c r="V39" i="4"/>
  <c r="V38" i="4"/>
  <c r="W10" i="4" s="1"/>
  <c r="Z105" i="22" l="1"/>
  <c r="Y113" i="22"/>
  <c r="Y123" i="22" s="1"/>
  <c r="W44" i="4" s="1"/>
  <c r="W38" i="4"/>
  <c r="X10" i="4" s="1"/>
  <c r="W39" i="4"/>
  <c r="Z113" i="22" l="1"/>
  <c r="Z123" i="22" s="1"/>
  <c r="X44" i="4" s="1"/>
  <c r="AA105" i="22"/>
  <c r="X39" i="4"/>
  <c r="X38" i="4"/>
  <c r="Y10" i="4" s="1"/>
  <c r="AB105" i="22" l="1"/>
  <c r="AA113" i="22"/>
  <c r="AA123" i="22" s="1"/>
  <c r="Y44" i="4" s="1"/>
  <c r="Y38" i="4"/>
  <c r="Z10" i="4" s="1"/>
  <c r="Y39" i="4"/>
  <c r="AC105" i="22" l="1"/>
  <c r="AB113" i="22"/>
  <c r="AB123" i="22" s="1"/>
  <c r="Z44" i="4" s="1"/>
  <c r="Z39" i="4"/>
  <c r="Z38" i="4"/>
  <c r="AA10" i="4" s="1"/>
  <c r="AC113" i="22" l="1"/>
  <c r="AC123" i="22" s="1"/>
  <c r="AA44" i="4" s="1"/>
  <c r="AD105" i="22"/>
  <c r="AA39" i="4"/>
  <c r="AA38" i="4"/>
  <c r="AB10" i="4" s="1"/>
  <c r="AE105" i="22" l="1"/>
  <c r="AD113" i="22"/>
  <c r="AD123" i="22" s="1"/>
  <c r="AB44" i="4" s="1"/>
  <c r="AB38" i="4"/>
  <c r="AC10" i="4" s="1"/>
  <c r="AE113" i="22" l="1"/>
  <c r="AE123" i="22" s="1"/>
  <c r="AC44" i="4" s="1"/>
  <c r="AF105" i="22"/>
  <c r="AB39" i="4"/>
  <c r="AG105" i="22" l="1"/>
  <c r="AF113" i="22"/>
  <c r="AF123" i="22" s="1"/>
  <c r="AD44" i="4" s="1"/>
  <c r="AC39" i="4"/>
  <c r="AC38" i="4"/>
  <c r="AD10" i="4" s="1"/>
  <c r="AH105" i="22" l="1"/>
  <c r="AH113" i="22" s="1"/>
  <c r="AH123" i="22" s="1"/>
  <c r="AF44" i="4" s="1"/>
  <c r="AG113" i="22"/>
  <c r="AG123" i="22" s="1"/>
  <c r="AE44" i="4" s="1"/>
  <c r="AD39" i="4"/>
  <c r="AD38" i="4"/>
  <c r="AE10" i="4" s="1"/>
  <c r="AE38" i="4" l="1"/>
  <c r="AF10" i="4" s="1"/>
  <c r="AE39" i="4"/>
  <c r="AF39" i="4" l="1"/>
  <c r="AG39" i="4" s="1"/>
  <c r="AF38" i="4"/>
  <c r="AG38" i="4" s="1"/>
  <c r="K67" i="16" l="1"/>
  <c r="L67" i="16"/>
  <c r="J68" i="16"/>
  <c r="L68" i="16"/>
  <c r="M68" i="16"/>
  <c r="G5" i="4" l="1"/>
  <c r="G14" i="4" s="1"/>
  <c r="G15" i="4" s="1"/>
  <c r="G16" i="4" l="1"/>
  <c r="G17" i="4" s="1"/>
  <c r="J131" i="22" s="1"/>
  <c r="G20" i="4"/>
  <c r="G25" i="4"/>
  <c r="G26" i="4" s="1"/>
  <c r="G31" i="4"/>
  <c r="G28" i="4" l="1"/>
  <c r="H5" i="4" l="1"/>
  <c r="H11" i="4" l="1"/>
  <c r="H24" i="4"/>
  <c r="H23" i="4"/>
  <c r="I5" i="4"/>
  <c r="H20" i="4" l="1"/>
  <c r="H12" i="4"/>
  <c r="H40" i="4"/>
  <c r="J49" i="22" s="1"/>
  <c r="J5" i="4"/>
  <c r="I11" i="4"/>
  <c r="I20" i="4" s="1"/>
  <c r="I23" i="4"/>
  <c r="I24" i="4"/>
  <c r="H14" i="4"/>
  <c r="H25" i="4"/>
  <c r="H26" i="4" s="1"/>
  <c r="H31" i="4"/>
  <c r="I40" i="4" l="1"/>
  <c r="K49" i="22" s="1"/>
  <c r="I25" i="4"/>
  <c r="I26" i="4" s="1"/>
  <c r="I31" i="4"/>
  <c r="J11" i="4"/>
  <c r="J20" i="4" s="1"/>
  <c r="J23" i="4"/>
  <c r="J24" i="4"/>
  <c r="I14" i="4"/>
  <c r="H28" i="4"/>
  <c r="I9" i="4"/>
  <c r="I8" i="4" s="1"/>
  <c r="I12" i="4" s="1"/>
  <c r="J40" i="4" l="1"/>
  <c r="L49" i="22" s="1"/>
  <c r="K24" i="4"/>
  <c r="K23" i="4"/>
  <c r="J14" i="4"/>
  <c r="K5" i="4"/>
  <c r="J9" i="4"/>
  <c r="J8" i="4" s="1"/>
  <c r="J12" i="4" s="1"/>
  <c r="J31" i="4"/>
  <c r="J25" i="4"/>
  <c r="J26" i="4" s="1"/>
  <c r="I41" i="4"/>
  <c r="K9" i="4" l="1"/>
  <c r="K8" i="4" s="1"/>
  <c r="K12" i="4" s="1"/>
  <c r="I28" i="4"/>
  <c r="K40" i="4"/>
  <c r="M49" i="22" s="1"/>
  <c r="L23" i="4"/>
  <c r="L24" i="4"/>
  <c r="K14" i="4"/>
  <c r="K31" i="4"/>
  <c r="K25" i="4"/>
  <c r="K26" i="4" s="1"/>
  <c r="L20" i="4"/>
  <c r="L5" i="4"/>
  <c r="J41" i="4"/>
  <c r="K41" i="4" l="1"/>
  <c r="L9" i="4"/>
  <c r="L8" i="4" s="1"/>
  <c r="L12" i="4" s="1"/>
  <c r="L40" i="4"/>
  <c r="M9" i="4" s="1"/>
  <c r="L14" i="4"/>
  <c r="J28" i="4"/>
  <c r="K28" i="4"/>
  <c r="L31" i="4"/>
  <c r="L25" i="4"/>
  <c r="L26" i="4" s="1"/>
  <c r="N49" i="22" l="1"/>
  <c r="O49" i="22" s="1"/>
  <c r="P49" i="22" s="1"/>
  <c r="Q49" i="22" s="1"/>
  <c r="R49" i="22" s="1"/>
  <c r="S49" i="22" s="1"/>
  <c r="T49" i="22" s="1"/>
  <c r="U49" i="22" s="1"/>
  <c r="V49" i="22" s="1"/>
  <c r="W49" i="22" s="1"/>
  <c r="X49" i="22" s="1"/>
  <c r="Y49" i="22" s="1"/>
  <c r="Z49" i="22" s="1"/>
  <c r="AA49" i="22" s="1"/>
  <c r="AB49" i="22" s="1"/>
  <c r="AC49" i="22" s="1"/>
  <c r="AD49" i="22" s="1"/>
  <c r="AE49" i="22" s="1"/>
  <c r="AF49" i="22" s="1"/>
  <c r="AG49" i="22" s="1"/>
  <c r="AH49" i="22" s="1"/>
  <c r="AH50" i="22" s="1"/>
  <c r="L41" i="4"/>
  <c r="M41" i="4" s="1"/>
  <c r="L28" i="4" l="1"/>
  <c r="M28" i="4" l="1"/>
  <c r="N28" i="4" l="1"/>
  <c r="O28" i="4" l="1"/>
  <c r="Q28" i="4" l="1"/>
  <c r="P28" i="4"/>
  <c r="R28" i="4" l="1"/>
  <c r="S28" i="4" l="1"/>
  <c r="T28" i="4" l="1"/>
  <c r="U28" i="4" l="1"/>
  <c r="V28" i="4" l="1"/>
  <c r="W28" i="4" l="1"/>
  <c r="X28" i="4" l="1"/>
  <c r="Y28" i="4" l="1"/>
  <c r="Z28" i="4" l="1"/>
  <c r="AA28" i="4"/>
  <c r="AB28" i="4" l="1"/>
  <c r="AC28" i="4" l="1"/>
  <c r="AD28" i="4" l="1"/>
  <c r="AE28" i="4" l="1"/>
  <c r="AF28" i="4" l="1"/>
  <c r="AE124" i="22" l="1"/>
  <c r="Y124" i="22"/>
  <c r="S124" i="22"/>
  <c r="R124" i="22"/>
  <c r="X124" i="22"/>
  <c r="Q124" i="22"/>
  <c r="AH124" i="22"/>
  <c r="U124" i="22"/>
  <c r="J124" i="22"/>
  <c r="M124" i="22"/>
  <c r="L124" i="22"/>
  <c r="P124" i="22"/>
  <c r="Z124" i="22"/>
  <c r="AF124" i="22"/>
  <c r="AC124" i="22"/>
  <c r="AA124" i="22"/>
  <c r="AG124" i="22"/>
  <c r="K124" i="22"/>
  <c r="AB124" i="22"/>
  <c r="AD124" i="22"/>
  <c r="V124" i="22"/>
  <c r="W124" i="22"/>
  <c r="N124" i="22"/>
  <c r="T124" i="22"/>
  <c r="O124" i="22"/>
  <c r="I124" i="22"/>
  <c r="G29" i="4"/>
  <c r="G19" i="4" l="1"/>
  <c r="G22" i="4" s="1"/>
  <c r="G34" i="4" s="1"/>
  <c r="G30" i="4"/>
  <c r="G32" i="4" s="1"/>
  <c r="G35" i="4" l="1"/>
  <c r="G36" i="4" s="1"/>
  <c r="G43" i="4" s="1"/>
  <c r="H13" i="4" s="1"/>
  <c r="H15" i="4" s="1"/>
  <c r="H16" i="4" s="1"/>
  <c r="H17" i="4" s="1"/>
  <c r="K131" i="22" s="1"/>
  <c r="K132" i="22" s="1"/>
  <c r="H29" i="4" s="1"/>
  <c r="H19" i="4" l="1"/>
  <c r="H22" i="4" s="1"/>
  <c r="H34" i="4" s="1"/>
  <c r="H30" i="4"/>
  <c r="H32" i="4" s="1"/>
  <c r="H35" i="4" l="1"/>
  <c r="H36" i="4" s="1"/>
  <c r="H43" i="4" l="1"/>
  <c r="I13" i="4" s="1"/>
  <c r="I15" i="4" s="1"/>
  <c r="I16" i="4" s="1"/>
  <c r="I17" i="4" s="1"/>
  <c r="L131" i="22" l="1"/>
  <c r="I19" i="4"/>
  <c r="I22" i="4" s="1"/>
  <c r="I34" i="4" s="1"/>
  <c r="L132" i="22" l="1"/>
  <c r="I29" i="4" s="1"/>
  <c r="L134" i="22"/>
  <c r="I30" i="4" s="1"/>
  <c r="I32" i="4" l="1"/>
  <c r="I35" i="4"/>
  <c r="I36" i="4" l="1"/>
  <c r="I43" i="4" s="1"/>
  <c r="J13" i="4" s="1"/>
  <c r="J15" i="4" s="1"/>
  <c r="J16" i="4" l="1"/>
  <c r="J17" i="4" s="1"/>
  <c r="J19" i="4" l="1"/>
  <c r="J22" i="4" s="1"/>
  <c r="J34" i="4" s="1"/>
  <c r="M131" i="22"/>
  <c r="M132" i="22" l="1"/>
  <c r="J29" i="4" s="1"/>
  <c r="M134" i="22"/>
  <c r="J30" i="4" s="1"/>
  <c r="J32" i="4" l="1"/>
  <c r="J35" i="4"/>
  <c r="J36" i="4" s="1"/>
  <c r="J43" i="4" s="1"/>
  <c r="K13" i="4" s="1"/>
  <c r="K15" i="4" s="1"/>
  <c r="K16" i="4" l="1"/>
  <c r="K17" i="4" s="1"/>
  <c r="M6" i="4"/>
  <c r="M24" i="4" s="1"/>
  <c r="O99" i="22"/>
  <c r="O42" i="22"/>
  <c r="P41" i="22" s="1"/>
  <c r="O92" i="22"/>
  <c r="N131" i="22" l="1"/>
  <c r="K19" i="4"/>
  <c r="K22" i="4" s="1"/>
  <c r="K34" i="4" s="1"/>
  <c r="N6" i="4"/>
  <c r="N5" i="4" s="1"/>
  <c r="N138" i="22"/>
  <c r="P92" i="22"/>
  <c r="P42" i="22"/>
  <c r="Q41" i="22" s="1"/>
  <c r="P99" i="22"/>
  <c r="M23" i="4"/>
  <c r="M40" i="4" s="1"/>
  <c r="M11" i="4"/>
  <c r="M20" i="4" s="1"/>
  <c r="M5" i="4"/>
  <c r="M8" i="4"/>
  <c r="N132" i="22" l="1"/>
  <c r="K29" i="4" s="1"/>
  <c r="N134" i="22"/>
  <c r="K30" i="4" s="1"/>
  <c r="N24" i="4"/>
  <c r="N23" i="4"/>
  <c r="N40" i="4" s="1"/>
  <c r="N11" i="4"/>
  <c r="N20" i="4" s="1"/>
  <c r="N154" i="22"/>
  <c r="N155" i="22" s="1"/>
  <c r="N139" i="22" s="1"/>
  <c r="N146" i="22"/>
  <c r="Q99" i="22"/>
  <c r="O138" i="22"/>
  <c r="M12" i="4"/>
  <c r="Q92" i="22"/>
  <c r="O6" i="4"/>
  <c r="O11" i="4" s="1"/>
  <c r="O20" i="4" s="1"/>
  <c r="Q42" i="22"/>
  <c r="R41" i="22" s="1"/>
  <c r="P138" i="22" s="1"/>
  <c r="M31" i="4"/>
  <c r="N31" i="4" s="1"/>
  <c r="M14" i="4"/>
  <c r="M25" i="4"/>
  <c r="M26" i="4" s="1"/>
  <c r="N9" i="4"/>
  <c r="K35" i="4" l="1"/>
  <c r="K36" i="4" s="1"/>
  <c r="K43" i="4" s="1"/>
  <c r="L13" i="4" s="1"/>
  <c r="L15" i="4" s="1"/>
  <c r="L16" i="4" s="1"/>
  <c r="L17" i="4" s="1"/>
  <c r="K32" i="4"/>
  <c r="P154" i="22"/>
  <c r="P155" i="22" s="1"/>
  <c r="P139" i="22" s="1"/>
  <c r="P146" i="22"/>
  <c r="O154" i="22"/>
  <c r="O155" i="22" s="1"/>
  <c r="O139" i="22" s="1"/>
  <c r="O146" i="22"/>
  <c r="N147" i="22"/>
  <c r="N149" i="22" s="1"/>
  <c r="N151" i="22" s="1"/>
  <c r="N21" i="4" s="1"/>
  <c r="O24" i="4"/>
  <c r="O23" i="4"/>
  <c r="O40" i="4" s="1"/>
  <c r="O5" i="4"/>
  <c r="O31" i="4" s="1"/>
  <c r="R42" i="22"/>
  <c r="R43" i="22" s="1"/>
  <c r="S41" i="22"/>
  <c r="S92" i="22" s="1"/>
  <c r="R92" i="22"/>
  <c r="R99" i="22"/>
  <c r="P6" i="4"/>
  <c r="P5" i="4" s="1"/>
  <c r="N41" i="4"/>
  <c r="N8" i="4"/>
  <c r="N12" i="4" s="1"/>
  <c r="O9" i="4"/>
  <c r="O8" i="4" s="1"/>
  <c r="O12" i="4" s="1"/>
  <c r="N14" i="4"/>
  <c r="N25" i="4"/>
  <c r="L19" i="4" l="1"/>
  <c r="L22" i="4" s="1"/>
  <c r="L34" i="4" s="1"/>
  <c r="O131" i="22"/>
  <c r="O147" i="22"/>
  <c r="O149" i="22" s="1"/>
  <c r="O151" i="22" s="1"/>
  <c r="O21" i="4" s="1"/>
  <c r="S99" i="22"/>
  <c r="Q138" i="22"/>
  <c r="P147" i="22"/>
  <c r="P149" i="22" s="1"/>
  <c r="O14" i="4"/>
  <c r="P14" i="4" s="1"/>
  <c r="T41" i="22"/>
  <c r="R6" i="4" s="1"/>
  <c r="Q6" i="4"/>
  <c r="Q11" i="4" s="1"/>
  <c r="Q20" i="4" s="1"/>
  <c r="P23" i="4"/>
  <c r="P40" i="4" s="1"/>
  <c r="P11" i="4"/>
  <c r="P20" i="4" s="1"/>
  <c r="P24" i="4"/>
  <c r="O25" i="4"/>
  <c r="O26" i="4" s="1"/>
  <c r="N26" i="4"/>
  <c r="O41" i="4"/>
  <c r="P9" i="4"/>
  <c r="P31" i="4"/>
  <c r="O132" i="22" l="1"/>
  <c r="L29" i="4" s="1"/>
  <c r="O134" i="22"/>
  <c r="L30" i="4" s="1"/>
  <c r="P151" i="22"/>
  <c r="P21" i="4" s="1"/>
  <c r="T99" i="22"/>
  <c r="Q154" i="22"/>
  <c r="Q155" i="22" s="1"/>
  <c r="Q139" i="22" s="1"/>
  <c r="Q146" i="22"/>
  <c r="T92" i="22"/>
  <c r="R138" i="22"/>
  <c r="U41" i="22"/>
  <c r="Q5" i="4"/>
  <c r="Q14" i="4" s="1"/>
  <c r="Q24" i="4"/>
  <c r="Q23" i="4"/>
  <c r="Q40" i="4" s="1"/>
  <c r="P41" i="4"/>
  <c r="R23" i="4"/>
  <c r="R11" i="4"/>
  <c r="R20" i="4" s="1"/>
  <c r="R24" i="4"/>
  <c r="R5" i="4"/>
  <c r="P8" i="4"/>
  <c r="P12" i="4" s="1"/>
  <c r="Q9" i="4"/>
  <c r="Q8" i="4" s="1"/>
  <c r="Q12" i="4" s="1"/>
  <c r="P25" i="4"/>
  <c r="P26" i="4" s="1"/>
  <c r="L32" i="4" l="1"/>
  <c r="L35" i="4"/>
  <c r="L36" i="4" s="1"/>
  <c r="L43" i="4" s="1"/>
  <c r="M13" i="4" s="1"/>
  <c r="M15" i="4" s="1"/>
  <c r="R154" i="22"/>
  <c r="R155" i="22" s="1"/>
  <c r="R139" i="22" s="1"/>
  <c r="R146" i="22"/>
  <c r="V41" i="22"/>
  <c r="T138" i="22" s="1"/>
  <c r="S138" i="22"/>
  <c r="Q31" i="4"/>
  <c r="R31" i="4" s="1"/>
  <c r="Q147" i="22"/>
  <c r="Q149" i="22" s="1"/>
  <c r="Q151" i="22" s="1"/>
  <c r="Q21" i="4" s="1"/>
  <c r="U92" i="22"/>
  <c r="U99" i="22"/>
  <c r="S6" i="4"/>
  <c r="S23" i="4" s="1"/>
  <c r="R14" i="4"/>
  <c r="R9" i="4"/>
  <c r="R40" i="4"/>
  <c r="Q25" i="4"/>
  <c r="Q26" i="4" s="1"/>
  <c r="Q41" i="4"/>
  <c r="M16" i="4" l="1"/>
  <c r="M17" i="4" s="1"/>
  <c r="V99" i="22"/>
  <c r="W41" i="22"/>
  <c r="U138" i="22" s="1"/>
  <c r="U146" i="22" s="1"/>
  <c r="S154" i="22"/>
  <c r="S155" i="22" s="1"/>
  <c r="S139" i="22" s="1"/>
  <c r="S146" i="22"/>
  <c r="T154" i="22"/>
  <c r="T155" i="22" s="1"/>
  <c r="T139" i="22" s="1"/>
  <c r="T146" i="22"/>
  <c r="S11" i="4"/>
  <c r="S20" i="4" s="1"/>
  <c r="V92" i="22"/>
  <c r="S24" i="4"/>
  <c r="S5" i="4"/>
  <c r="S31" i="4" s="1"/>
  <c r="T6" i="4"/>
  <c r="T5" i="4" s="1"/>
  <c r="R147" i="22"/>
  <c r="R149" i="22" s="1"/>
  <c r="R151" i="22" s="1"/>
  <c r="R21" i="4" s="1"/>
  <c r="R25" i="4"/>
  <c r="R26" i="4" s="1"/>
  <c r="R8" i="4"/>
  <c r="R12" i="4" s="1"/>
  <c r="S40" i="4"/>
  <c r="S9" i="4"/>
  <c r="S8" i="4" s="1"/>
  <c r="R41" i="4"/>
  <c r="M19" i="4" l="1"/>
  <c r="M22" i="4" s="1"/>
  <c r="M34" i="4" s="1"/>
  <c r="P131" i="22"/>
  <c r="U154" i="22"/>
  <c r="U155" i="22" s="1"/>
  <c r="U139" i="22" s="1"/>
  <c r="U147" i="22" s="1"/>
  <c r="U149" i="22" s="1"/>
  <c r="X41" i="22"/>
  <c r="V138" i="22" s="1"/>
  <c r="V154" i="22" s="1"/>
  <c r="V155" i="22" s="1"/>
  <c r="V139" i="22" s="1"/>
  <c r="W92" i="22"/>
  <c r="W99" i="22"/>
  <c r="U6" i="4"/>
  <c r="U11" i="4" s="1"/>
  <c r="U20" i="4" s="1"/>
  <c r="S14" i="4"/>
  <c r="T14" i="4" s="1"/>
  <c r="T11" i="4"/>
  <c r="T20" i="4" s="1"/>
  <c r="S12" i="4"/>
  <c r="T23" i="4"/>
  <c r="T40" i="4" s="1"/>
  <c r="T147" i="22"/>
  <c r="T149" i="22" s="1"/>
  <c r="T24" i="4"/>
  <c r="S147" i="22"/>
  <c r="S149" i="22" s="1"/>
  <c r="S151" i="22" s="1"/>
  <c r="S21" i="4" s="1"/>
  <c r="S25" i="4"/>
  <c r="S26" i="4" s="1"/>
  <c r="T31" i="4"/>
  <c r="T9" i="4"/>
  <c r="T8" i="4" s="1"/>
  <c r="S41" i="4"/>
  <c r="P132" i="22" l="1"/>
  <c r="M29" i="4" s="1"/>
  <c r="P134" i="22"/>
  <c r="M30" i="4" s="1"/>
  <c r="V146" i="22"/>
  <c r="X99" i="22"/>
  <c r="X92" i="22"/>
  <c r="Y41" i="22"/>
  <c r="W138" i="22" s="1"/>
  <c r="W154" i="22" s="1"/>
  <c r="W155" i="22" s="1"/>
  <c r="W139" i="22" s="1"/>
  <c r="V6" i="4"/>
  <c r="V24" i="4" s="1"/>
  <c r="X42" i="22"/>
  <c r="U5" i="4"/>
  <c r="U31" i="4" s="1"/>
  <c r="U23" i="4"/>
  <c r="U40" i="4" s="1"/>
  <c r="U24" i="4"/>
  <c r="T12" i="4"/>
  <c r="T151" i="22"/>
  <c r="T21" i="4" s="1"/>
  <c r="U151" i="22"/>
  <c r="U21" i="4" s="1"/>
  <c r="V147" i="22"/>
  <c r="V149" i="22" s="1"/>
  <c r="V151" i="22" s="1"/>
  <c r="V21" i="4" s="1"/>
  <c r="T25" i="4"/>
  <c r="T26" i="4" s="1"/>
  <c r="T41" i="4"/>
  <c r="U9" i="4"/>
  <c r="M35" i="4" l="1"/>
  <c r="M36" i="4" s="1"/>
  <c r="M43" i="4" s="1"/>
  <c r="N13" i="4" s="1"/>
  <c r="N15" i="4" s="1"/>
  <c r="N16" i="4" s="1"/>
  <c r="N17" i="4" s="1"/>
  <c r="M32" i="4"/>
  <c r="V11" i="4"/>
  <c r="V20" i="4" s="1"/>
  <c r="V5" i="4"/>
  <c r="V31" i="4" s="1"/>
  <c r="V23" i="4"/>
  <c r="V40" i="4" s="1"/>
  <c r="W146" i="22"/>
  <c r="U14" i="4"/>
  <c r="Y99" i="22"/>
  <c r="Z41" i="22"/>
  <c r="X138" i="22" s="1"/>
  <c r="X154" i="22" s="1"/>
  <c r="X155" i="22" s="1"/>
  <c r="X139" i="22" s="1"/>
  <c r="Y92" i="22"/>
  <c r="Y42" i="22"/>
  <c r="W6" i="4"/>
  <c r="W24" i="4" s="1"/>
  <c r="W147" i="22"/>
  <c r="U25" i="4"/>
  <c r="U26" i="4" s="1"/>
  <c r="V9" i="4"/>
  <c r="V8" i="4" s="1"/>
  <c r="U8" i="4"/>
  <c r="U12" i="4" s="1"/>
  <c r="U41" i="4"/>
  <c r="N19" i="4" l="1"/>
  <c r="N22" i="4" s="1"/>
  <c r="N34" i="4" s="1"/>
  <c r="Q131" i="22"/>
  <c r="V14" i="4"/>
  <c r="V12" i="4"/>
  <c r="W11" i="4"/>
  <c r="W20" i="4" s="1"/>
  <c r="X6" i="4"/>
  <c r="X23" i="4" s="1"/>
  <c r="W149" i="22"/>
  <c r="W151" i="22" s="1"/>
  <c r="W21" i="4" s="1"/>
  <c r="Z92" i="22"/>
  <c r="W5" i="4"/>
  <c r="W31" i="4" s="1"/>
  <c r="W23" i="4"/>
  <c r="W40" i="4" s="1"/>
  <c r="Z42" i="22"/>
  <c r="X146" i="22"/>
  <c r="Z99" i="22"/>
  <c r="AA41" i="22"/>
  <c r="Y138" i="22" s="1"/>
  <c r="Y154" i="22" s="1"/>
  <c r="Y155" i="22" s="1"/>
  <c r="Y139" i="22" s="1"/>
  <c r="V25" i="4"/>
  <c r="V26" i="4" s="1"/>
  <c r="X147" i="22"/>
  <c r="W9" i="4"/>
  <c r="W8" i="4" s="1"/>
  <c r="V41" i="4"/>
  <c r="Q134" i="22" l="1"/>
  <c r="N30" i="4" s="1"/>
  <c r="Q132" i="22"/>
  <c r="N29" i="4" s="1"/>
  <c r="X24" i="4"/>
  <c r="X11" i="4"/>
  <c r="X20" i="4" s="1"/>
  <c r="X5" i="4"/>
  <c r="X31" i="4" s="1"/>
  <c r="W12" i="4"/>
  <c r="W14" i="4"/>
  <c r="AA99" i="22"/>
  <c r="AA92" i="22"/>
  <c r="Y6" i="4"/>
  <c r="Y24" i="4" s="1"/>
  <c r="AA42" i="22"/>
  <c r="AB41" i="22"/>
  <c r="Z138" i="22" s="1"/>
  <c r="Z146" i="22" s="1"/>
  <c r="Y146" i="22"/>
  <c r="X149" i="22"/>
  <c r="X151" i="22" s="1"/>
  <c r="X21" i="4" s="1"/>
  <c r="W25" i="4"/>
  <c r="W26" i="4" s="1"/>
  <c r="Y147" i="22"/>
  <c r="W41" i="4"/>
  <c r="X9" i="4"/>
  <c r="X8" i="4" s="1"/>
  <c r="X40" i="4"/>
  <c r="X14" i="4" l="1"/>
  <c r="N32" i="4"/>
  <c r="N35" i="4"/>
  <c r="N36" i="4" s="1"/>
  <c r="N43" i="4" s="1"/>
  <c r="O13" i="4" s="1"/>
  <c r="O15" i="4" s="1"/>
  <c r="X12" i="4"/>
  <c r="Y5" i="4"/>
  <c r="Y31" i="4" s="1"/>
  <c r="Y11" i="4"/>
  <c r="Y20" i="4" s="1"/>
  <c r="Y23" i="4"/>
  <c r="Y40" i="4" s="1"/>
  <c r="AB92" i="22"/>
  <c r="AB99" i="22"/>
  <c r="Z6" i="4"/>
  <c r="Z23" i="4" s="1"/>
  <c r="AB42" i="22"/>
  <c r="AB43" i="22" s="1"/>
  <c r="Z154" i="22"/>
  <c r="Z155" i="22" s="1"/>
  <c r="Z139" i="22" s="1"/>
  <c r="Z147" i="22" s="1"/>
  <c r="Z149" i="22" s="1"/>
  <c r="Y149" i="22"/>
  <c r="Y151" i="22" s="1"/>
  <c r="Y21" i="4" s="1"/>
  <c r="X25" i="4"/>
  <c r="X26" i="4" s="1"/>
  <c r="AC41" i="22"/>
  <c r="AA138" i="22" s="1"/>
  <c r="AA146" i="22" s="1"/>
  <c r="X41" i="4"/>
  <c r="Y9" i="4"/>
  <c r="Y8" i="4" s="1"/>
  <c r="O16" i="4" l="1"/>
  <c r="O17" i="4" s="1"/>
  <c r="Y14" i="4"/>
  <c r="Y12" i="4"/>
  <c r="Z11" i="4"/>
  <c r="Z20" i="4" s="1"/>
  <c r="Z24" i="4"/>
  <c r="Z5" i="4"/>
  <c r="Z31" i="4" s="1"/>
  <c r="Z151" i="22"/>
  <c r="Z21" i="4" s="1"/>
  <c r="AA6" i="4"/>
  <c r="AA11" i="4" s="1"/>
  <c r="AA20" i="4" s="1"/>
  <c r="Y25" i="4"/>
  <c r="Y26" i="4" s="1"/>
  <c r="AA154" i="22"/>
  <c r="AA155" i="22" s="1"/>
  <c r="AA139" i="22" s="1"/>
  <c r="AA147" i="22" s="1"/>
  <c r="AA149" i="22" s="1"/>
  <c r="AA151" i="22" s="1"/>
  <c r="AA21" i="4" s="1"/>
  <c r="AC99" i="22"/>
  <c r="AC42" i="22"/>
  <c r="AC92" i="22"/>
  <c r="AD41" i="22"/>
  <c r="AB138" i="22" s="1"/>
  <c r="AB146" i="22" s="1"/>
  <c r="Y41" i="4"/>
  <c r="Z9" i="4"/>
  <c r="Z8" i="4" s="1"/>
  <c r="Z40" i="4"/>
  <c r="AA24" i="4" l="1"/>
  <c r="O19" i="4"/>
  <c r="O22" i="4" s="1"/>
  <c r="O34" i="4" s="1"/>
  <c r="R131" i="22"/>
  <c r="Z12" i="4"/>
  <c r="AA5" i="4"/>
  <c r="AA31" i="4" s="1"/>
  <c r="AA23" i="4"/>
  <c r="AA40" i="4" s="1"/>
  <c r="Z14" i="4"/>
  <c r="Z25" i="4"/>
  <c r="Z26" i="4" s="1"/>
  <c r="AD42" i="22"/>
  <c r="AB154" i="22"/>
  <c r="AB155" i="22" s="1"/>
  <c r="AB139" i="22" s="1"/>
  <c r="AB147" i="22" s="1"/>
  <c r="AB149" i="22" s="1"/>
  <c r="AB151" i="22" s="1"/>
  <c r="AB21" i="4" s="1"/>
  <c r="AE41" i="22"/>
  <c r="AC138" i="22" s="1"/>
  <c r="AC146" i="22" s="1"/>
  <c r="AD99" i="22"/>
  <c r="AB6" i="4"/>
  <c r="AB5" i="4" s="1"/>
  <c r="AD92" i="22"/>
  <c r="Z41" i="4"/>
  <c r="AA9" i="4"/>
  <c r="AA8" i="4" s="1"/>
  <c r="AA12" i="4" s="1"/>
  <c r="AA14" i="4" l="1"/>
  <c r="AB14" i="4" s="1"/>
  <c r="R134" i="22"/>
  <c r="O30" i="4" s="1"/>
  <c r="R132" i="22"/>
  <c r="O29" i="4" s="1"/>
  <c r="AA25" i="4"/>
  <c r="AA26" i="4" s="1"/>
  <c r="AC154" i="22"/>
  <c r="AC155" i="22" s="1"/>
  <c r="AC139" i="22" s="1"/>
  <c r="AC147" i="22" s="1"/>
  <c r="AC149" i="22" s="1"/>
  <c r="AC151" i="22" s="1"/>
  <c r="AC21" i="4" s="1"/>
  <c r="AB11" i="4"/>
  <c r="AB20" i="4" s="1"/>
  <c r="AE92" i="22"/>
  <c r="AE99" i="22"/>
  <c r="AE42" i="22"/>
  <c r="AB23" i="4"/>
  <c r="AB40" i="4" s="1"/>
  <c r="AC6" i="4"/>
  <c r="AC24" i="4" s="1"/>
  <c r="AF41" i="22"/>
  <c r="AD138" i="22" s="1"/>
  <c r="AD154" i="22" s="1"/>
  <c r="AD155" i="22" s="1"/>
  <c r="AD139" i="22" s="1"/>
  <c r="AB24" i="4"/>
  <c r="AB9" i="4"/>
  <c r="AB8" i="4" s="1"/>
  <c r="AB31" i="4"/>
  <c r="AA41" i="4"/>
  <c r="AB25" i="4" l="1"/>
  <c r="AB26" i="4" s="1"/>
  <c r="O35" i="4"/>
  <c r="O36" i="4" s="1"/>
  <c r="O43" i="4" s="1"/>
  <c r="P13" i="4" s="1"/>
  <c r="P15" i="4" s="1"/>
  <c r="O32" i="4"/>
  <c r="AB12" i="4"/>
  <c r="AF42" i="22"/>
  <c r="AG41" i="22"/>
  <c r="AE138" i="22" s="1"/>
  <c r="AE154" i="22" s="1"/>
  <c r="AE155" i="22" s="1"/>
  <c r="AE139" i="22" s="1"/>
  <c r="AC11" i="4"/>
  <c r="AC20" i="4" s="1"/>
  <c r="AD6" i="4"/>
  <c r="AD11" i="4" s="1"/>
  <c r="AD20" i="4" s="1"/>
  <c r="AF99" i="22"/>
  <c r="AC23" i="4"/>
  <c r="AC40" i="4" s="1"/>
  <c r="AD146" i="22"/>
  <c r="AC5" i="4"/>
  <c r="AF92" i="22"/>
  <c r="AD147" i="22"/>
  <c r="AB41" i="4"/>
  <c r="AC9" i="4"/>
  <c r="AC8" i="4" s="1"/>
  <c r="AC25" i="4" l="1"/>
  <c r="AG42" i="22"/>
  <c r="AG43" i="22" s="1"/>
  <c r="AD24" i="4"/>
  <c r="P16" i="4"/>
  <c r="P17" i="4" s="1"/>
  <c r="AG92" i="22"/>
  <c r="AH41" i="22"/>
  <c r="AF138" i="22" s="1"/>
  <c r="AF154" i="22" s="1"/>
  <c r="AF155" i="22" s="1"/>
  <c r="AF139" i="22" s="1"/>
  <c r="AE6" i="4"/>
  <c r="AE23" i="4" s="1"/>
  <c r="AE146" i="22"/>
  <c r="AG99" i="22"/>
  <c r="AC12" i="4"/>
  <c r="AD5" i="4"/>
  <c r="AD25" i="4" s="1"/>
  <c r="AD23" i="4"/>
  <c r="AD40" i="4" s="1"/>
  <c r="AC26" i="4"/>
  <c r="AC14" i="4"/>
  <c r="AC31" i="4"/>
  <c r="AD149" i="22"/>
  <c r="AD151" i="22" s="1"/>
  <c r="AD21" i="4" s="1"/>
  <c r="AE147" i="22"/>
  <c r="AD9" i="4"/>
  <c r="AD8" i="4" s="1"/>
  <c r="AD12" i="4" s="1"/>
  <c r="AC41" i="4"/>
  <c r="AE149" i="22" l="1"/>
  <c r="AE151" i="22" s="1"/>
  <c r="AE21" i="4" s="1"/>
  <c r="P19" i="4"/>
  <c r="P22" i="4" s="1"/>
  <c r="P34" i="4" s="1"/>
  <c r="S131" i="22"/>
  <c r="AF6" i="4"/>
  <c r="AF23" i="4" s="1"/>
  <c r="AH99" i="22"/>
  <c r="AF146" i="22"/>
  <c r="AH92" i="22"/>
  <c r="AH42" i="22"/>
  <c r="AE11" i="4"/>
  <c r="AE20" i="4" s="1"/>
  <c r="AE24" i="4"/>
  <c r="AE5" i="4"/>
  <c r="AE25" i="4" s="1"/>
  <c r="AD14" i="4"/>
  <c r="AD31" i="4"/>
  <c r="AD26" i="4"/>
  <c r="AF147" i="22"/>
  <c r="AD41" i="4"/>
  <c r="AE40" i="4"/>
  <c r="AE9" i="4"/>
  <c r="AE8" i="4" s="1"/>
  <c r="AE31" i="4" l="1"/>
  <c r="AF149" i="22"/>
  <c r="AF151" i="22" s="1"/>
  <c r="AF21" i="4" s="1"/>
  <c r="AE26" i="4"/>
  <c r="AF11" i="4"/>
  <c r="AF20" i="4" s="1"/>
  <c r="AF5" i="4"/>
  <c r="AF25" i="4" s="1"/>
  <c r="AF24" i="4"/>
  <c r="AE12" i="4"/>
  <c r="AE14" i="4"/>
  <c r="S134" i="22"/>
  <c r="P30" i="4" s="1"/>
  <c r="S132" i="22"/>
  <c r="P29" i="4" s="1"/>
  <c r="AG23" i="4"/>
  <c r="AF40" i="4"/>
  <c r="AG40" i="4" s="1"/>
  <c r="AF9" i="4"/>
  <c r="AE41" i="4"/>
  <c r="AF26" i="4" l="1"/>
  <c r="AF31" i="4"/>
  <c r="AF14" i="4"/>
  <c r="P32" i="4"/>
  <c r="P35" i="4"/>
  <c r="P36" i="4" s="1"/>
  <c r="P43" i="4" s="1"/>
  <c r="Q13" i="4" s="1"/>
  <c r="Q15" i="4" s="1"/>
  <c r="Q16" i="4" s="1"/>
  <c r="Q17" i="4" s="1"/>
  <c r="AF41" i="4"/>
  <c r="AG41" i="4" s="1"/>
  <c r="AG9" i="4"/>
  <c r="AH24" i="4" s="1"/>
  <c r="AF8" i="4"/>
  <c r="AF12" i="4" s="1"/>
  <c r="T131" i="22" l="1"/>
  <c r="Q19" i="4"/>
  <c r="Q22" i="4" s="1"/>
  <c r="Q34" i="4" s="1"/>
  <c r="T132" i="22" l="1"/>
  <c r="Q29" i="4" s="1"/>
  <c r="T134" i="22"/>
  <c r="Q30" i="4" s="1"/>
  <c r="Q35" i="4" l="1"/>
  <c r="Q36" i="4" s="1"/>
  <c r="Q43" i="4" s="1"/>
  <c r="R13" i="4" s="1"/>
  <c r="R15" i="4" s="1"/>
  <c r="R16" i="4" s="1"/>
  <c r="Q32" i="4"/>
  <c r="R17" i="4" l="1"/>
  <c r="U131" i="22" s="1"/>
  <c r="R19" i="4" l="1"/>
  <c r="R22" i="4" s="1"/>
  <c r="R34" i="4" s="1"/>
  <c r="U134" i="22"/>
  <c r="R30" i="4" s="1"/>
  <c r="U132" i="22"/>
  <c r="R29" i="4" s="1"/>
  <c r="R35" i="4" l="1"/>
  <c r="R36" i="4" s="1"/>
  <c r="R43" i="4" s="1"/>
  <c r="S13" i="4" s="1"/>
  <c r="S15" i="4" s="1"/>
  <c r="R32" i="4"/>
  <c r="S16" i="4" l="1"/>
  <c r="S17" i="4" s="1"/>
  <c r="V131" i="22" l="1"/>
  <c r="S19" i="4"/>
  <c r="S22" i="4" s="1"/>
  <c r="S34" i="4" s="1"/>
  <c r="V134" i="22" l="1"/>
  <c r="S30" i="4" s="1"/>
  <c r="V132" i="22"/>
  <c r="S29" i="4" s="1"/>
  <c r="S32" i="4" l="1"/>
  <c r="S35" i="4"/>
  <c r="S36" i="4" s="1"/>
  <c r="S43" i="4" s="1"/>
  <c r="T13" i="4" s="1"/>
  <c r="T15" i="4" s="1"/>
  <c r="T16" i="4" l="1"/>
  <c r="T17" i="4" s="1"/>
  <c r="W131" i="22" l="1"/>
  <c r="T19" i="4"/>
  <c r="T22" i="4" s="1"/>
  <c r="T34" i="4" s="1"/>
  <c r="W134" i="22" l="1"/>
  <c r="T30" i="4" s="1"/>
  <c r="W132" i="22"/>
  <c r="T29" i="4" s="1"/>
  <c r="T32" i="4" l="1"/>
  <c r="T35" i="4"/>
  <c r="T36" i="4" s="1"/>
  <c r="T43" i="4" s="1"/>
  <c r="U13" i="4" s="1"/>
  <c r="U15" i="4" s="1"/>
  <c r="U16" i="4" l="1"/>
  <c r="U17" i="4" s="1"/>
  <c r="X131" i="22" l="1"/>
  <c r="U19" i="4"/>
  <c r="U22" i="4" s="1"/>
  <c r="U34" i="4" s="1"/>
  <c r="X134" i="22" l="1"/>
  <c r="U30" i="4" s="1"/>
  <c r="X132" i="22"/>
  <c r="U29" i="4" s="1"/>
  <c r="U32" i="4" l="1"/>
  <c r="U35" i="4"/>
  <c r="U36" i="4" s="1"/>
  <c r="U43" i="4" s="1"/>
  <c r="V13" i="4" s="1"/>
  <c r="V15" i="4" s="1"/>
  <c r="V16" i="4" s="1"/>
  <c r="V17" i="4" s="1"/>
  <c r="Y131" i="22" l="1"/>
  <c r="V19" i="4"/>
  <c r="V22" i="4" s="1"/>
  <c r="V34" i="4" s="1"/>
  <c r="Y134" i="22" l="1"/>
  <c r="V30" i="4" s="1"/>
  <c r="Y132" i="22"/>
  <c r="V29" i="4" s="1"/>
  <c r="V32" i="4" l="1"/>
  <c r="V35" i="4"/>
  <c r="V36" i="4" s="1"/>
  <c r="V43" i="4" s="1"/>
  <c r="W13" i="4" s="1"/>
  <c r="W15" i="4" s="1"/>
  <c r="W16" i="4" l="1"/>
  <c r="W17" i="4" s="1"/>
  <c r="Z131" i="22" l="1"/>
  <c r="W19" i="4"/>
  <c r="W22" i="4" s="1"/>
  <c r="W34" i="4" s="1"/>
  <c r="Z134" i="22" l="1"/>
  <c r="W30" i="4" s="1"/>
  <c r="Z132" i="22"/>
  <c r="W29" i="4" s="1"/>
  <c r="W32" i="4" l="1"/>
  <c r="W35" i="4"/>
  <c r="W36" i="4" s="1"/>
  <c r="W43" i="4" s="1"/>
  <c r="X13" i="4" s="1"/>
  <c r="X15" i="4" s="1"/>
  <c r="X16" i="4" s="1"/>
  <c r="X17" i="4" s="1"/>
  <c r="AA131" i="22" l="1"/>
  <c r="X19" i="4"/>
  <c r="X22" i="4" s="1"/>
  <c r="X34" i="4" s="1"/>
  <c r="AA134" i="22" l="1"/>
  <c r="X30" i="4" s="1"/>
  <c r="AA132" i="22"/>
  <c r="X29" i="4" s="1"/>
  <c r="X32" i="4" l="1"/>
  <c r="X35" i="4"/>
  <c r="X36" i="4" s="1"/>
  <c r="X43" i="4" s="1"/>
  <c r="Y13" i="4" s="1"/>
  <c r="Y15" i="4" s="1"/>
  <c r="Y16" i="4" l="1"/>
  <c r="Y17" i="4" s="1"/>
  <c r="AB131" i="22" l="1"/>
  <c r="Y19" i="4"/>
  <c r="Y22" i="4" s="1"/>
  <c r="Y34" i="4" s="1"/>
  <c r="AB134" i="22" l="1"/>
  <c r="Y30" i="4" s="1"/>
  <c r="AB132" i="22"/>
  <c r="Y29" i="4" s="1"/>
  <c r="Y32" i="4" l="1"/>
  <c r="Y35" i="4"/>
  <c r="Y36" i="4" s="1"/>
  <c r="Y43" i="4" s="1"/>
  <c r="Z13" i="4" s="1"/>
  <c r="Z15" i="4" s="1"/>
  <c r="Z16" i="4" s="1"/>
  <c r="Z17" i="4" s="1"/>
  <c r="AC131" i="22" l="1"/>
  <c r="Z19" i="4"/>
  <c r="Z22" i="4" s="1"/>
  <c r="Z34" i="4" s="1"/>
  <c r="AC134" i="22" l="1"/>
  <c r="Z30" i="4" s="1"/>
  <c r="AC132" i="22"/>
  <c r="Z29" i="4" s="1"/>
  <c r="Z32" i="4" l="1"/>
  <c r="Z35" i="4"/>
  <c r="Z36" i="4" s="1"/>
  <c r="Z43" i="4" s="1"/>
  <c r="AA13" i="4" s="1"/>
  <c r="AA15" i="4" s="1"/>
  <c r="AA16" i="4" s="1"/>
  <c r="AA17" i="4" s="1"/>
  <c r="AD131" i="22" l="1"/>
  <c r="AA19" i="4"/>
  <c r="AA22" i="4" s="1"/>
  <c r="AA34" i="4" s="1"/>
  <c r="AD134" i="22" l="1"/>
  <c r="AA30" i="4" s="1"/>
  <c r="AD132" i="22"/>
  <c r="AA29" i="4" s="1"/>
  <c r="AA32" i="4" l="1"/>
  <c r="AA35" i="4"/>
  <c r="AA36" i="4" s="1"/>
  <c r="AA43" i="4" s="1"/>
  <c r="AB13" i="4" s="1"/>
  <c r="AB15" i="4" s="1"/>
  <c r="AB16" i="4" l="1"/>
  <c r="AB17" i="4" s="1"/>
  <c r="AE131" i="22" l="1"/>
  <c r="AB19" i="4"/>
  <c r="AB22" i="4" s="1"/>
  <c r="AB34" i="4" s="1"/>
  <c r="AE134" i="22" l="1"/>
  <c r="AB30" i="4" s="1"/>
  <c r="AE132" i="22"/>
  <c r="AB29" i="4" s="1"/>
  <c r="AB32" i="4" l="1"/>
  <c r="AB35" i="4"/>
  <c r="AB36" i="4" s="1"/>
  <c r="AB43" i="4" s="1"/>
  <c r="AC13" i="4" s="1"/>
  <c r="AC15" i="4" s="1"/>
  <c r="AC16" i="4" s="1"/>
  <c r="AC17" i="4" s="1"/>
  <c r="AF131" i="22" l="1"/>
  <c r="AC19" i="4"/>
  <c r="AC22" i="4" s="1"/>
  <c r="AC34" i="4" s="1"/>
  <c r="AF134" i="22" l="1"/>
  <c r="AC30" i="4" s="1"/>
  <c r="AF132" i="22"/>
  <c r="AC29" i="4" s="1"/>
  <c r="AC32" i="4" l="1"/>
  <c r="AC35" i="4"/>
  <c r="AC36" i="4" s="1"/>
  <c r="AC43" i="4" s="1"/>
  <c r="AD13" i="4" s="1"/>
  <c r="AD15" i="4" s="1"/>
  <c r="AD16" i="4" s="1"/>
  <c r="AD17" i="4" s="1"/>
  <c r="AG131" i="22" l="1"/>
  <c r="AD19" i="4"/>
  <c r="AD22" i="4" s="1"/>
  <c r="AD34" i="4" s="1"/>
  <c r="AG134" i="22" l="1"/>
  <c r="AD30" i="4" s="1"/>
  <c r="AG132" i="22"/>
  <c r="AD29" i="4" s="1"/>
  <c r="AD32" i="4" l="1"/>
  <c r="AD35" i="4"/>
  <c r="AD36" i="4" l="1"/>
  <c r="AD43" i="4" s="1"/>
  <c r="AE13" i="4" s="1"/>
  <c r="AE15" i="4" s="1"/>
  <c r="AE16" i="4" s="1"/>
  <c r="AE17" i="4" s="1"/>
  <c r="AH131" i="22" l="1"/>
  <c r="AE19" i="4"/>
  <c r="AE22" i="4" s="1"/>
  <c r="AE34" i="4" s="1"/>
  <c r="AH134" i="22" l="1"/>
  <c r="AE30" i="4" s="1"/>
  <c r="AH132" i="22"/>
  <c r="AE29" i="4" s="1"/>
  <c r="AE32" i="4" l="1"/>
  <c r="AE35" i="4"/>
  <c r="AE36" i="4" l="1"/>
  <c r="AE43" i="4" s="1"/>
  <c r="AF13" i="4" s="1"/>
  <c r="AF15" i="4" s="1"/>
  <c r="AF16" i="4" s="1"/>
  <c r="AF17" i="4" s="1"/>
  <c r="AI131" i="22" l="1"/>
  <c r="AF19" i="4"/>
  <c r="AF22" i="4" s="1"/>
  <c r="AF34" i="4" s="1"/>
  <c r="K69" i="22" a="1"/>
  <c r="D72" i="4" l="1"/>
  <c r="T70" i="22"/>
  <c r="Z72" i="22"/>
  <c r="X72" i="22"/>
  <c r="AJ70" i="22"/>
  <c r="S72" i="22"/>
  <c r="V70" i="22"/>
  <c r="Y72" i="22"/>
  <c r="AI70" i="22"/>
  <c r="X70" i="22"/>
  <c r="T72" i="22"/>
  <c r="R72" i="22"/>
  <c r="AC70" i="22"/>
  <c r="AF70" i="22"/>
  <c r="O70" i="22"/>
  <c r="W72" i="22"/>
  <c r="AD70" i="22"/>
  <c r="Z70" i="22"/>
  <c r="AA70" i="22"/>
  <c r="AJ72" i="22"/>
  <c r="U72" i="22"/>
  <c r="AE70" i="22"/>
  <c r="R70" i="22"/>
  <c r="AG72" i="22"/>
  <c r="AI72" i="22"/>
  <c r="Y70" i="22"/>
  <c r="U70" i="22"/>
  <c r="AH72" i="22"/>
  <c r="Q70" i="22"/>
  <c r="AF72" i="22"/>
  <c r="S70" i="22"/>
  <c r="AA72" i="22"/>
  <c r="W70" i="22"/>
  <c r="AD72" i="22"/>
  <c r="P70" i="22"/>
  <c r="AC72" i="22"/>
  <c r="AH70" i="22"/>
  <c r="K69" i="22"/>
  <c r="AB70" i="22"/>
  <c r="AG70" i="22"/>
  <c r="AB72" i="22"/>
  <c r="V72" i="22"/>
  <c r="AE72" i="22"/>
  <c r="AI134" i="22"/>
  <c r="AF30" i="4" s="1"/>
  <c r="AI132" i="22"/>
  <c r="AF29" i="4" s="1"/>
  <c r="AF32" i="4" l="1"/>
  <c r="AF35" i="4"/>
  <c r="AF36" i="4" l="1"/>
  <c r="AF43" i="4" s="1"/>
  <c r="D71" i="4" s="1"/>
  <c r="D73" i="4" s="1"/>
  <c r="E71" i="4" l="1"/>
  <c r="D76" i="4"/>
  <c r="D75" i="4" s="1"/>
  <c r="E72" i="4"/>
  <c r="D78" i="4"/>
  <c r="D79" i="4"/>
  <c r="E78" i="4" l="1"/>
  <c r="E79" i="4"/>
  <c r="H40" i="1"/>
  <c r="L4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Eduardo Ferreira</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74106D0B-4568-4C95-B1A7-D780E3BD20D3}">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 ref="D45" authorId="3"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O15" authorId="0" shapeId="0" xr:uid="{D767A971-788F-F640-8AA5-D38CCD3E9750}">
      <text>
        <r>
          <rPr>
            <b/>
            <sz val="10"/>
            <color rgb="FF000000"/>
            <rFont val="Tahoma"/>
            <family val="2"/>
          </rPr>
          <t>Microsoft Office User:</t>
        </r>
        <r>
          <rPr>
            <sz val="10"/>
            <color rgb="FF000000"/>
            <rFont val="Tahoma"/>
            <family val="2"/>
          </rPr>
          <t xml:space="preserve">
</t>
        </r>
        <r>
          <rPr>
            <sz val="10"/>
            <color rgb="FF000000"/>
            <rFont val="Arial"/>
            <family val="2"/>
          </rPr>
          <t xml:space="preserve">99.9% of electronic waste is reused or recycled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Miguel Alcobia</author>
  </authors>
  <commentList>
    <comment ref="B17" authorId="0" shapeId="0" xr:uid="{EC87B355-2E2C-2548-820C-9A6DB62C3F22}">
      <text>
        <r>
          <rPr>
            <b/>
            <sz val="10"/>
            <color rgb="FF000000"/>
            <rFont val="Tahoma"/>
            <family val="2"/>
          </rPr>
          <t>Microsoft Office User:</t>
        </r>
        <r>
          <rPr>
            <sz val="10"/>
            <color rgb="FF000000"/>
            <rFont val="Tahoma"/>
            <family val="2"/>
          </rPr>
          <t xml:space="preserve">
</t>
        </r>
        <r>
          <rPr>
            <sz val="10"/>
            <color rgb="FF000000"/>
            <rFont val="Tahoma"/>
            <family val="2"/>
          </rPr>
          <t>Juntei o Dep. Factor com o Amortization Factor porque não consegui encontrar uma separação dos dois</t>
        </r>
      </text>
    </comment>
    <comment ref="G27" authorId="0" shapeId="0" xr:uid="{9AD3409C-50EF-A242-8880-B580A9AF78C6}">
      <text>
        <r>
          <rPr>
            <b/>
            <sz val="10"/>
            <color rgb="FF000000"/>
            <rFont val="Tahoma"/>
            <family val="2"/>
          </rPr>
          <t>Microsoft Office User:</t>
        </r>
        <r>
          <rPr>
            <sz val="10"/>
            <color rgb="FF000000"/>
            <rFont val="Tahoma"/>
            <family val="2"/>
          </rPr>
          <t xml:space="preserve">
</t>
        </r>
        <r>
          <rPr>
            <sz val="10"/>
            <color rgb="FF000000"/>
            <rFont val="Tahoma"/>
            <family val="2"/>
          </rPr>
          <t xml:space="preserve">Pay-out ratio que na realidade é so Buy-back the shares
</t>
        </r>
      </text>
    </comment>
    <comment ref="J28" authorId="0" shapeId="0" xr:uid="{F8BFC100-C2CF-AF46-9A5C-80BDA1FB4852}">
      <text>
        <r>
          <rPr>
            <b/>
            <sz val="10"/>
            <color rgb="FF000000"/>
            <rFont val="Tahoma"/>
            <family val="2"/>
          </rPr>
          <t>Microsoft Office User:</t>
        </r>
        <r>
          <rPr>
            <sz val="10"/>
            <color rgb="FF000000"/>
            <rFont val="Tahoma"/>
            <family val="2"/>
          </rPr>
          <t xml:space="preserve">
</t>
        </r>
        <r>
          <rPr>
            <sz val="10"/>
            <color rgb="FF000000"/>
            <rFont val="Tahoma"/>
            <family val="2"/>
          </rPr>
          <t>Zero, porque acho que o valor de 2022 respetivo a uma buyback de shares é na realidade um outlier</t>
        </r>
      </text>
    </comment>
    <comment ref="J31" authorId="0" shapeId="0" xr:uid="{F0379B36-4D9C-EA46-8422-D6DF256BFA08}">
      <text>
        <r>
          <rPr>
            <b/>
            <sz val="10"/>
            <color rgb="FF000000"/>
            <rFont val="Tahoma"/>
            <family val="2"/>
          </rPr>
          <t>Microsoft Office User:</t>
        </r>
        <r>
          <rPr>
            <sz val="10"/>
            <color rgb="FF000000"/>
            <rFont val="Tahoma"/>
            <family val="2"/>
          </rPr>
          <t xml:space="preserve">
</t>
        </r>
        <r>
          <rPr>
            <sz val="10"/>
            <color rgb="FF000000"/>
            <rFont val="Tahoma"/>
            <family val="2"/>
          </rPr>
          <t xml:space="preserve">STF+Average da variação da TD (%Net Sales) sem contar com o ano atípico de 2021
</t>
        </r>
      </text>
    </comment>
    <comment ref="B42" authorId="1" shapeId="0" xr:uid="{0327A7A2-CCA2-F646-87FF-79ECAF083B65}">
      <text>
        <r>
          <rPr>
            <b/>
            <sz val="10"/>
            <color rgb="FF000000"/>
            <rFont val="Tahoma"/>
            <family val="2"/>
          </rPr>
          <t>Miguel Alcobia:</t>
        </r>
        <r>
          <rPr>
            <sz val="10"/>
            <color rgb="FF000000"/>
            <rFont val="Tahoma"/>
            <family val="2"/>
          </rPr>
          <t xml:space="preserve">
</t>
        </r>
        <r>
          <rPr>
            <sz val="10"/>
            <color rgb="FF000000"/>
            <rFont val="Tahoma"/>
            <family val="2"/>
          </rPr>
          <t xml:space="preserve">
</t>
        </r>
        <r>
          <rPr>
            <sz val="10"/>
            <color rgb="FF000000"/>
            <rFont val="Tahoma"/>
            <family val="2"/>
          </rPr>
          <t>Using the Base Scenario</t>
        </r>
      </text>
    </comment>
    <comment ref="B72" authorId="0" shapeId="0" xr:uid="{451F1B5A-1FAD-8842-8CFC-D03DA2A519D2}">
      <text>
        <r>
          <rPr>
            <b/>
            <sz val="10"/>
            <color rgb="FF000000"/>
            <rFont val="Tahoma"/>
            <family val="2"/>
          </rPr>
          <t>Microsoft Office User:</t>
        </r>
        <r>
          <rPr>
            <sz val="10"/>
            <color rgb="FF000000"/>
            <rFont val="Tahoma"/>
            <family val="2"/>
          </rPr>
          <t xml:space="preserve">
</t>
        </r>
        <r>
          <rPr>
            <sz val="10"/>
            <color rgb="FF000000"/>
            <rFont val="Tahoma"/>
            <family val="2"/>
          </rPr>
          <t xml:space="preserve">Salesforce 2022 Annual Report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tc={9ABC554C-7607-C64B-99A4-710CB19A6AE2}</author>
  </authors>
  <commentList>
    <comment ref="C70" authorId="0" shapeId="0" xr:uid="{9ABC554C-7607-C64B-99A4-710CB19A6AE2}">
      <text>
        <t xml:space="preserve">[Threaded comment]
Your version of Excel allows you to read this threaded comment; however, any edits to it will get removed if the file is opened in a newer version of Excel. Learn more: https://go.microsoft.com/fwlink/?linkid=870924
Comment:
    Repayments of Slack Convertible Notes, net of capped call proceeds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10"/>
        </ext>
      </extLst>
    </bk>
    <bk>
      <extLst>
        <ext uri="{3e2802c4-a4d2-4d8b-9148-e3be6c30e623}">
          <xlrd:rvb i="13"/>
        </ext>
      </extLst>
    </bk>
    <bk>
      <extLst>
        <ext uri="{3e2802c4-a4d2-4d8b-9148-e3be6c30e623}">
          <xlrd:rvb i="19"/>
        </ext>
      </extLst>
    </bk>
    <bk>
      <extLst>
        <ext uri="{3e2802c4-a4d2-4d8b-9148-e3be6c30e623}">
          <xlrd:rvb i="25"/>
        </ext>
      </extLst>
    </bk>
    <bk>
      <extLst>
        <ext uri="{3e2802c4-a4d2-4d8b-9148-e3be6c30e623}">
          <xlrd:rvb i="28"/>
        </ext>
      </extLst>
    </bk>
    <bk>
      <extLst>
        <ext uri="{3e2802c4-a4d2-4d8b-9148-e3be6c30e623}">
          <xlrd:rvb i="31"/>
        </ext>
      </extLst>
    </bk>
  </futureMetadata>
  <futureMetadata name="XLDAPR" count="1">
    <bk>
      <extLst>
        <ext uri="{bdbb8cdc-fa1e-496e-a857-3c3f30c029c3}">
          <xda:dynamicArrayProperties fDynamic="1" fCollapsed="0"/>
        </ext>
      </extLst>
    </bk>
  </futureMetadata>
  <cellMetadata count="1">
    <bk>
      <rc t="2" v="0"/>
    </bk>
  </cell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<sst xmlns="http://schemas.openxmlformats.org/spreadsheetml/2006/main" count="2004" uniqueCount="978">
  <si>
    <t>Team 1</t>
  </si>
  <si>
    <t>NYSE</t>
  </si>
  <si>
    <t xml:space="preserve">SIC: </t>
  </si>
  <si>
    <t>Logo</t>
  </si>
  <si>
    <t>COMPANY DESCRIPTION</t>
  </si>
  <si>
    <t>CEO &amp; BOARD OF DIRECTORS</t>
  </si>
  <si>
    <t>Name</t>
  </si>
  <si>
    <t>Gender</t>
  </si>
  <si>
    <t>Age</t>
  </si>
  <si>
    <t>Tenure</t>
  </si>
  <si>
    <t>Executive?</t>
  </si>
  <si>
    <t>Other roles</t>
  </si>
  <si>
    <t>Marc Benioff</t>
  </si>
  <si>
    <t>Male</t>
  </si>
  <si>
    <t>Yes</t>
  </si>
  <si>
    <t>Chair, Chief Executive Officer &amp; Co-Founder</t>
  </si>
  <si>
    <t>Laura Alber</t>
  </si>
  <si>
    <t>Female</t>
  </si>
  <si>
    <t>No</t>
  </si>
  <si>
    <t>President &amp; CEO, Williams-Sonoma, Inc.</t>
  </si>
  <si>
    <t>Craig Conway</t>
  </si>
  <si>
    <t>Former President &amp; CEO, PeopleSoft, Inc.</t>
  </si>
  <si>
    <t>Arnold Donald</t>
  </si>
  <si>
    <t>Former President &amp; CEO, Carnival Corporation &amp; plc</t>
  </si>
  <si>
    <t>Parker Harris</t>
  </si>
  <si>
    <t>Chief Technology Officer &amp; Co-Founder</t>
  </si>
  <si>
    <t>Neelie Kroes</t>
  </si>
  <si>
    <t>Former Vice President of the European Commission</t>
  </si>
  <si>
    <t>Sachin Mehra</t>
  </si>
  <si>
    <t>Financial Expert Chief Financial Officer, Mastercard</t>
  </si>
  <si>
    <t>G. Mason Morfit</t>
  </si>
  <si>
    <t>CEO &amp; Chief Investment Officer, ValueAct Capital</t>
  </si>
  <si>
    <t>Oscar Munoz</t>
  </si>
  <si>
    <t>Former Executive Chair &amp; CEO, United Airlines Holdings, Inc.</t>
  </si>
  <si>
    <t>John V. Roos</t>
  </si>
  <si>
    <t>Former U.S. Ambassador to Japan; Co-Founder, Geodesic Capita</t>
  </si>
  <si>
    <t>Robin Washington</t>
  </si>
  <si>
    <t>Lead Independent Director &amp; Financial Expert Former EVP &amp; CFO, Gilead Sciences, Inc.</t>
  </si>
  <si>
    <t>Maynard Webb</t>
  </si>
  <si>
    <t>Founder, Webb Investment Network</t>
  </si>
  <si>
    <t>USD MILLIONS</t>
  </si>
  <si>
    <t>Susan Wojcicki</t>
  </si>
  <si>
    <t>Former CEO, YouTube</t>
  </si>
  <si>
    <t>COMPANY OVERVIEW</t>
  </si>
  <si>
    <t>Stock</t>
  </si>
  <si>
    <t>Liquidity and Solvency</t>
  </si>
  <si>
    <t>Segments</t>
  </si>
  <si>
    <t>Profitability (2022)</t>
  </si>
  <si>
    <t>Multiples</t>
  </si>
  <si>
    <t>Last Price</t>
  </si>
  <si>
    <t>Total Assets</t>
  </si>
  <si>
    <t>Regions</t>
  </si>
  <si>
    <t>% Sales</t>
  </si>
  <si>
    <t>Reporting Year</t>
  </si>
  <si>
    <t>Float</t>
  </si>
  <si>
    <t>Outstanding Shares</t>
  </si>
  <si>
    <t>Total Liabilities</t>
  </si>
  <si>
    <t>End of Year</t>
  </si>
  <si>
    <t>Insiders Own</t>
  </si>
  <si>
    <t>Market Cap.</t>
  </si>
  <si>
    <t>Cash/Share</t>
  </si>
  <si>
    <t>EBITDA</t>
  </si>
  <si>
    <t>b (Yahoo)</t>
  </si>
  <si>
    <t>+Total Debt</t>
  </si>
  <si>
    <t>EBITDA/Net Financial Cost (NFC)</t>
  </si>
  <si>
    <t>Depreciation &amp; Amortization</t>
  </si>
  <si>
    <t>Score (S&amp;P)</t>
  </si>
  <si>
    <t>A+</t>
  </si>
  <si>
    <t>-Cash</t>
  </si>
  <si>
    <t>Debt/EBITDA</t>
  </si>
  <si>
    <t>EBIT</t>
  </si>
  <si>
    <t>Price/Book Value</t>
  </si>
  <si>
    <t>=Enterprise Value</t>
  </si>
  <si>
    <t>"Others Assets"/Asset</t>
  </si>
  <si>
    <t>Net Income</t>
  </si>
  <si>
    <t>NCF(3y avg)/Asset</t>
  </si>
  <si>
    <t>Holdings (nac/int'l)</t>
  </si>
  <si>
    <t>-</t>
  </si>
  <si>
    <t>Debt/Assets</t>
  </si>
  <si>
    <t>Categories</t>
  </si>
  <si>
    <t>EPS</t>
  </si>
  <si>
    <t>Price/Net Inc. (3y avg)</t>
  </si>
  <si>
    <t>t liq. (Holdings/Vol.)</t>
  </si>
  <si>
    <t>EBITDA Margin (average)</t>
  </si>
  <si>
    <t>ROA</t>
  </si>
  <si>
    <t>EV/Asset</t>
  </si>
  <si>
    <t>% Short of float</t>
  </si>
  <si>
    <t>Operating Margin (average)</t>
  </si>
  <si>
    <t>ROIC</t>
  </si>
  <si>
    <t>EV/Ebitda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</si>
  <si>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</si>
  <si>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</si>
  <si>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</si>
  <si>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</si>
  <si>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</si>
  <si>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</si>
  <si>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</si>
  <si>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</si>
  <si>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</si>
  <si>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</si>
  <si>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</si>
  <si>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</si>
  <si>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</si>
  <si>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</si>
  <si>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</si>
  <si>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</si>
  <si>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</si>
  <si>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</si>
  <si>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</si>
  <si>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HOLD</t>
  </si>
  <si>
    <t>* Salesforce will start distributing dividends in 2025. 
* Debt/equity will decrease over time 
* Revenue growth reducing over time 
* Net working capital estimated through DPO and DSO</t>
  </si>
  <si>
    <t xml:space="preserve">High Discount Rate </t>
  </si>
  <si>
    <t>Higher discount rate lowers the present value of future earnings for stocks. When this occurs, stock prices tend to face downward pressure, as it is the current case for Salesforce</t>
  </si>
  <si>
    <t>Loyal Costumers</t>
  </si>
  <si>
    <t xml:space="preserve">They work with over 150,000 businesses of all sizes and their subscription services account for around 93% of total revenues. Sticky customers are an industry characteristic, </t>
  </si>
  <si>
    <t xml:space="preserve">Indusstry Potential Growth </t>
  </si>
  <si>
    <t>The growing use of digital channels by customers to communicate with brands and organizations is estimated to boost the customer relationship management (CRM) market growth over the forecast period</t>
  </si>
  <si>
    <t>Risks of Investment</t>
  </si>
  <si>
    <t>Price Target</t>
  </si>
  <si>
    <t>Valuation</t>
  </si>
  <si>
    <t>Risk</t>
  </si>
  <si>
    <t>Discount Rate</t>
  </si>
  <si>
    <t xml:space="preserve">Partnership dependence </t>
  </si>
  <si>
    <t>Partnerships are a key strength for Salesforce, the company depends on these partnerships to deliver certain features and services</t>
  </si>
  <si>
    <t>Security issues</t>
  </si>
  <si>
    <t>Salesforce takes great precaution to provide security over their client’s data and remains the top CRM provider in the industry.</t>
  </si>
  <si>
    <t xml:space="preserve">Upside/ Downside </t>
  </si>
  <si>
    <t>Increased competition</t>
  </si>
  <si>
    <t>As this software becomes more popular, larger competitors aim to imitate CRM software</t>
  </si>
  <si>
    <t>FINANCIAL PERFORMANCE</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</si>
  <si>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</si>
  <si>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</si>
  <si>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</si>
  <si>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</si>
  <si>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</si>
  <si>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</si>
  <si>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</si>
  <si>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</si>
  <si>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</si>
  <si>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</si>
  <si>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</si>
  <si>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</si>
  <si>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</si>
  <si>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</si>
  <si>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</si>
  <si>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</si>
  <si>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</si>
  <si>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</si>
  <si>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</si>
  <si>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</si>
  <si>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</si>
  <si>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</si>
  <si>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</si>
  <si>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</si>
  <si>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</si>
  <si>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Strengths</t>
  </si>
  <si>
    <t>Weaknesses</t>
  </si>
  <si>
    <t>% Stake</t>
  </si>
  <si>
    <r>
      <t xml:space="preserve">1. </t>
    </r>
    <r>
      <rPr>
        <b/>
        <u/>
        <sz val="10"/>
        <rFont val="Arial"/>
        <family val="2"/>
      </rPr>
      <t>Cloud-based software</t>
    </r>
    <r>
      <rPr>
        <sz val="10"/>
        <rFont val="Arial"/>
        <family val="2"/>
      </rPr>
      <t>: Salesforce’s software is cloud-based, which means it is accessible from anywhere with an internet connection.
2.</t>
    </r>
    <r>
      <rPr>
        <b/>
        <u/>
        <sz val="10"/>
        <rFont val="Arial"/>
        <family val="2"/>
      </rPr>
      <t xml:space="preserve"> Platform for building custom applications:</t>
    </r>
    <r>
      <rPr>
        <sz val="10"/>
        <rFont val="Arial"/>
        <family val="2"/>
      </rPr>
      <t xml:space="preserve"> Salesforce offers a platform for building custom applications, allowing businesses to extend the functionality of Salesforce’s software and create custom solutions that meet their specific needs.
3. </t>
    </r>
    <r>
      <rPr>
        <b/>
        <u/>
        <sz val="10"/>
        <rFont val="Arial"/>
        <family val="2"/>
      </rPr>
      <t>Strong brand and reputation:</t>
    </r>
    <r>
      <rPr>
        <sz val="10"/>
        <rFont val="Arial"/>
        <family val="2"/>
      </rPr>
      <t xml:space="preserve"> The company is known for its innovation, customer-centric approach, and commitment to social responsibility, which has helped it attract and retain and build strong customer relationships.</t>
    </r>
  </si>
  <si>
    <r>
      <t xml:space="preserve">1. </t>
    </r>
    <r>
      <rPr>
        <b/>
        <u/>
        <sz val="10"/>
        <rFont val="Arial"/>
        <family val="2"/>
      </rPr>
      <t>High cost:</t>
    </r>
    <r>
      <rPr>
        <sz val="10"/>
        <rFont val="Arial"/>
        <family val="2"/>
      </rPr>
      <t xml:space="preserve"> Salesforce’s software is relatively expensive, which could make it difficult for small businesses with limited budgets to adopt.
2. </t>
    </r>
    <r>
      <rPr>
        <b/>
        <u/>
        <sz val="10"/>
        <rFont val="Arial"/>
        <family val="2"/>
      </rPr>
      <t>Integration challenges:</t>
    </r>
    <r>
      <rPr>
        <sz val="10"/>
        <rFont val="Arial"/>
        <family val="2"/>
      </rPr>
      <t xml:space="preserve"> While Salesforce has a robust ecosystem of partners and developers, integrating the software with other systems can be challenging and require specialised expertise.
3. </t>
    </r>
    <r>
      <rPr>
        <b/>
        <u/>
        <sz val="10"/>
        <rFont val="Arial"/>
        <family val="2"/>
      </rPr>
      <t>Security concerns:</t>
    </r>
    <r>
      <rPr>
        <sz val="10"/>
        <rFont val="Arial"/>
        <family val="2"/>
      </rPr>
      <t xml:space="preserve"> As a cloud-based software provider, Salesforce must maintain strong security protocols to protect customer data. Any security breaches could damage the company’s reputation and lead to loss of business.</t>
    </r>
  </si>
  <si>
    <t>The Vanguard Group, Inc.</t>
  </si>
  <si>
    <t>BlackRock Institutional Trust Company, N.A.</t>
  </si>
  <si>
    <t>State Street Global Advisors (US)</t>
  </si>
  <si>
    <t>Fidelity Management &amp; Research Company LLC</t>
  </si>
  <si>
    <t>Benioff (Marc Russell)</t>
  </si>
  <si>
    <t>Capital World Investors</t>
  </si>
  <si>
    <t>Geode Capital Management, L.L.C.</t>
  </si>
  <si>
    <t>Fisher Investments</t>
  </si>
  <si>
    <t>T. Rowe Price Associates, Inc.</t>
  </si>
  <si>
    <t>Wellington Management Company, LLP</t>
  </si>
  <si>
    <t>Opportunities</t>
  </si>
  <si>
    <t>Threats</t>
  </si>
  <si>
    <t>Capital Research Global Investors</t>
  </si>
  <si>
    <r>
      <t xml:space="preserve">1. </t>
    </r>
    <r>
      <rPr>
        <b/>
        <u/>
        <sz val="10"/>
        <rFont val="Arial"/>
        <family val="2"/>
      </rPr>
      <t>Growth through acquisitions:</t>
    </r>
    <r>
      <rPr>
        <sz val="10"/>
        <rFont val="Arial"/>
        <family val="2"/>
      </rPr>
      <t xml:space="preserve"> Salesforce has a history of acquiring smaller companies to add new capabilities and expand its product offerings. The company could continue to pursue acquisitions to enter new markets or add new functionality to its software.
2. </t>
    </r>
    <r>
      <rPr>
        <b/>
        <u/>
        <sz val="10"/>
        <rFont val="Arial"/>
        <family val="2"/>
      </rPr>
      <t>Expansion of platform capabilities:</t>
    </r>
    <r>
      <rPr>
        <sz val="10"/>
        <rFont val="Arial"/>
        <family val="2"/>
      </rPr>
      <t xml:space="preserve"> The company could continue to invest in new technologies, such as artificial intelligence and machine learning, to enhance the capabilities of its platform.</t>
    </r>
  </si>
  <si>
    <r>
      <t xml:space="preserve">1. </t>
    </r>
    <r>
      <rPr>
        <b/>
        <u/>
        <sz val="10"/>
        <rFont val="Arial"/>
        <family val="2"/>
      </rPr>
      <t>Economic downturns:</t>
    </r>
    <r>
      <rPr>
        <sz val="10"/>
        <rFont val="Arial"/>
        <family val="2"/>
      </rPr>
      <t xml:space="preserve"> Salesforce’s business is closely tied to the economy. A downturn could lead to reduced spending on software and services, which could impact Salesforce’s revenue and growth prospects.
2. </t>
    </r>
    <r>
      <rPr>
        <b/>
        <u/>
        <sz val="10"/>
        <rFont val="Arial"/>
        <family val="2"/>
      </rPr>
      <t>Changing customer needs</t>
    </r>
    <r>
      <rPr>
        <sz val="10"/>
        <rFont val="Arial"/>
        <family val="2"/>
      </rPr>
      <t xml:space="preserve">: As businesses’ needs to evolve, Salesforce must continue to innovate and develop new solutions to meet those needs.
3. </t>
    </r>
    <r>
      <rPr>
        <b/>
        <u/>
        <sz val="10"/>
        <rFont val="Arial"/>
        <family val="2"/>
      </rPr>
      <t>Cybersecurity threats:</t>
    </r>
    <r>
      <rPr>
        <sz val="10"/>
        <rFont val="Arial"/>
        <family val="2"/>
      </rPr>
      <t xml:space="preserve"> As a cloud-based software provider, Salesforce is at risk of cyberattacks and data breaches. </t>
    </r>
  </si>
  <si>
    <t>Norges Bank Investment Management (NBIM)</t>
  </si>
  <si>
    <t>Nuveen LLC</t>
  </si>
  <si>
    <t>JP Morgan Asset Management</t>
  </si>
  <si>
    <t>Jennison Associates LLC</t>
  </si>
  <si>
    <t>Polen Capital Management, LLC</t>
  </si>
  <si>
    <t>Morgan Stanley Smith Barney LLC</t>
  </si>
  <si>
    <t>Loomis, Sayles &amp; Company, L.P.</t>
  </si>
  <si>
    <t>Capital International Investors</t>
  </si>
  <si>
    <t>Legal &amp; General Investment Management Ltd.</t>
  </si>
  <si>
    <t>NOTES</t>
  </si>
  <si>
    <t>STOCK PERFORMANCE (5 years)</t>
  </si>
  <si>
    <t>CRM</t>
  </si>
  <si>
    <t>ORCL</t>
  </si>
  <si>
    <t>MSFT</t>
  </si>
  <si>
    <t>ADBE</t>
  </si>
  <si>
    <t>SAP</t>
  </si>
  <si>
    <t>Products</t>
  </si>
  <si>
    <t>Nominal value</t>
  </si>
  <si>
    <t>YoY Growth</t>
  </si>
  <si>
    <t>Weight</t>
  </si>
  <si>
    <t>Region</t>
  </si>
  <si>
    <t>Americas</t>
  </si>
  <si>
    <t>Europe</t>
  </si>
  <si>
    <t>Asia Pacific</t>
  </si>
  <si>
    <t>TOTAL</t>
  </si>
  <si>
    <t>Category</t>
  </si>
  <si>
    <t>Professional services and other</t>
  </si>
  <si>
    <t>Subscription and Support</t>
  </si>
  <si>
    <t>Description</t>
  </si>
  <si>
    <t>Graphs</t>
  </si>
  <si>
    <t>This segment is category of offerings and activities that are distinct from the core software products provided by Salesforce. This segment encompasses a range of specialized services and solutions that are tailored to meet specific business needs and requirements</t>
  </si>
  <si>
    <t>Subscription and support revenues include subscription fees from customers accessing the enterprise cloud computing services (collectively, “Cloud Services”), software license revenues from the sales of term and perpetual licenses, and support revenues from the sale of support and updates beyond the basic subscription fees or related to the sales of software licenses. Cloud Services allow customers to use the multi-tenant software without taking possession of the software.</t>
  </si>
  <si>
    <t>Industry</t>
  </si>
  <si>
    <t>Graphs (Industry Forecasts)</t>
  </si>
  <si>
    <t>Drivers</t>
  </si>
  <si>
    <t>Innovative Technology and Product Expansion</t>
  </si>
  <si>
    <t>Salesforce is recognized as a trailblazer in the realm of cloud computing, offering cutting-edge CRM (Customer Relationship Management) solutions. By leveraging this technology, businesses not only benefit from enhanced scalability and accessibility, but also experience a reduction in the necessity for on-premise infrastructure and associated maintenance costs.
The commitment to continuous innovation is a hallmark of Salesforce. Substantial investments in research and development ensure that their platform remains at the forefront of technological advancements. This includes the integration of artificial intelligence (AI), machine learning, Internet of Things (IoT), and other emerging technologies. Furthermore, strategic acquisitions such as Tableau and MuleSoft have expanded Salesforce's capabilities in the realms of data analytics and integration, thereby augmenting its overall value proposition.</t>
  </si>
  <si>
    <t xml:space="preserve"> Prioritize Customer-Centricity</t>
  </si>
  <si>
    <t>The Customer Success Platform offered by Salesforce positions itself as a platform that prioritizes the needs and satisfaction of customers. Its primary objective is to assist businesses in establishing and maintaining strong relationships with their customers. This is accomplished through the utilization of a variety of tools and features that facilitate personalized communication, automate sales processes, and enhance customer support.
One of the key features of Salesforce is its ability to provide companies with a comprehensive view of their customers. By consolidating data from various touchpoints, businesses are able to gain a holistic understanding of their customers. This, in turn, enables them to implement more personalized marketing strategies, streamline sales processes, and enhance the overall customer service experience.
In addition to its platform, Salesforce boasts a thriving community of users, developers, and administrators. These individuals actively engage in forums, share their knowledge, and contribute to a vast array of resources. Furthermore, Salesforce offers extensive training and certification programs, empowering both individuals and companies to fully maximize the potential of the platform.</t>
  </si>
  <si>
    <t>Sales forecast</t>
  </si>
  <si>
    <t>Source</t>
  </si>
  <si>
    <t>Market Growth CAGR</t>
  </si>
  <si>
    <t>Period</t>
  </si>
  <si>
    <t>https://www.statista.com/outlook/tmo/software/europe</t>
  </si>
  <si>
    <t>2023-2028</t>
  </si>
  <si>
    <t>https://www.grandviewresearch.com/industry-analysis/software-market-report</t>
  </si>
  <si>
    <t>2023-2030</t>
  </si>
  <si>
    <t>https://www.grandviewresearch.com/industry-analysis/sales-force-automation-software-market</t>
  </si>
  <si>
    <t>Company's Strategy / Extra Notes</t>
  </si>
  <si>
    <t>Invertir</t>
  </si>
  <si>
    <t>NO invertir</t>
  </si>
  <si>
    <t>Mantener sin elevar posición</t>
  </si>
  <si>
    <t>Mantener (y seguir comprando)</t>
  </si>
  <si>
    <t>Liquidar</t>
  </si>
  <si>
    <t>PENDIENTE</t>
  </si>
  <si>
    <t>Peer Logo</t>
  </si>
  <si>
    <t>Peer Name</t>
  </si>
  <si>
    <t>In Millions USD (exc Market Cap)</t>
  </si>
  <si>
    <t>AVERAGE</t>
  </si>
  <si>
    <t>Deviation from Average</t>
  </si>
  <si>
    <t>Company Info</t>
  </si>
  <si>
    <t>TRAFFIC</t>
  </si>
  <si>
    <t>Market Cap</t>
  </si>
  <si>
    <t>Best Value</t>
  </si>
  <si>
    <t>Net Sales (current)</t>
  </si>
  <si>
    <t>Profitability</t>
  </si>
  <si>
    <t>Middle Ground</t>
  </si>
  <si>
    <t>Sales Growth (ttm)</t>
  </si>
  <si>
    <t>Sales Growth (36m)</t>
  </si>
  <si>
    <t>Worst Value</t>
  </si>
  <si>
    <t>Net Income Margin</t>
  </si>
  <si>
    <t>Return on Equity (RoE)</t>
  </si>
  <si>
    <t>Return on Invested Capital (ROIC)</t>
  </si>
  <si>
    <t>Solvency</t>
  </si>
  <si>
    <t>Net Debt/EBITDA</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</si>
  <si>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</si>
  <si>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</si>
  <si>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</si>
  <si>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</si>
  <si>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</si>
  <si>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</si>
  <si>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</si>
  <si>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</si>
  <si>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</si>
  <si>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</si>
  <si>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</si>
  <si>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</si>
  <si>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</si>
  <si>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</si>
  <si>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</si>
  <si>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Stock Info</t>
  </si>
  <si>
    <r>
      <t xml:space="preserve">b </t>
    </r>
    <r>
      <rPr>
        <b/>
        <sz val="10"/>
        <rFont val="Arial"/>
        <family val="2"/>
      </rPr>
      <t>(Yahoo)</t>
    </r>
  </si>
  <si>
    <t>Dividend Yield (yahoo finance)</t>
  </si>
  <si>
    <t>Stock Performance</t>
  </si>
  <si>
    <t>1y</t>
  </si>
  <si>
    <t>3y</t>
  </si>
  <si>
    <t>Current Price</t>
  </si>
  <si>
    <t>Average Target Price</t>
  </si>
  <si>
    <t>Upside/Downside</t>
  </si>
  <si>
    <t>Extra</t>
  </si>
  <si>
    <t>3y Operating Cash Flow</t>
  </si>
  <si>
    <t>R&amp;D/Net Sales</t>
  </si>
  <si>
    <t>Financial Data</t>
  </si>
  <si>
    <t>IS</t>
  </si>
  <si>
    <t>Net Sales (36m ago)</t>
  </si>
  <si>
    <t>Net Sales (12m ago)</t>
  </si>
  <si>
    <t>COGS</t>
  </si>
  <si>
    <t>Operating Income</t>
  </si>
  <si>
    <t>Net Financial Cost</t>
  </si>
  <si>
    <t>Taxes</t>
  </si>
  <si>
    <t>R&amp;D</t>
  </si>
  <si>
    <t>BS</t>
  </si>
  <si>
    <t>Cash &amp; Eq.</t>
  </si>
  <si>
    <t>Acc. Receivables</t>
  </si>
  <si>
    <t>Inventory</t>
  </si>
  <si>
    <t>Current Assets</t>
  </si>
  <si>
    <t>Fixed Assets</t>
  </si>
  <si>
    <t>Acc. Payable</t>
  </si>
  <si>
    <t>Current Liabilities</t>
  </si>
  <si>
    <t>Total Debt</t>
  </si>
  <si>
    <t>Total Equity</t>
  </si>
  <si>
    <t>Company GICS Sector:</t>
  </si>
  <si>
    <t>Information Technology</t>
  </si>
  <si>
    <t>&lt;- Select Industry</t>
  </si>
  <si>
    <t>ESG Analysis</t>
  </si>
  <si>
    <t>Relative ESG Analysis</t>
  </si>
  <si>
    <t>Parameters</t>
  </si>
  <si>
    <t>Impact</t>
  </si>
  <si>
    <t>Do they report?</t>
  </si>
  <si>
    <t>Ranking</t>
  </si>
  <si>
    <t>Mitigation Plan</t>
  </si>
  <si>
    <t>Traffic Lights</t>
  </si>
  <si>
    <t>Improvement over time?</t>
  </si>
  <si>
    <t>Targets / Goals?</t>
  </si>
  <si>
    <t>Comments</t>
  </si>
  <si>
    <t>Environmental</t>
  </si>
  <si>
    <t>Ratios</t>
  </si>
  <si>
    <t>CO2 Direct Emissions</t>
  </si>
  <si>
    <t>Medium High</t>
  </si>
  <si>
    <t>Yes. 1. During the last few years they have reduced their net emissions measured by metrics tons of CO2. In 2021 they reduced about 4,5%, in 2022 20,3% and in 2023 44%</t>
  </si>
  <si>
    <t>They have both a  medium term and long term, the first to reduce carbon emissions up to 50% and and the latter up to +90%. Furthermore the data shows they are in a successful path</t>
  </si>
  <si>
    <t>CO2 Emissions/$M Sales</t>
  </si>
  <si>
    <t>Total Water Consumption</t>
  </si>
  <si>
    <t>grg</t>
  </si>
  <si>
    <t>SF considers water consumption to be negligible, since we do not consume water for any products or processes and almost all water is discharged except for trace amounts consumed in the offices.</t>
  </si>
  <si>
    <t>Water Consumption/$M Sales</t>
  </si>
  <si>
    <t>Total Energy Consumption</t>
  </si>
  <si>
    <t>"Best in class"</t>
  </si>
  <si>
    <t xml:space="preserve">Over time they have been increasing their energy use. Although, the energy they use is entierly powered by renewable sources </t>
  </si>
  <si>
    <t xml:space="preserve">They have met their main goal  this year by achieving  100% renewable energy. </t>
  </si>
  <si>
    <t>Energy Consumption/$M Sales</t>
  </si>
  <si>
    <t>Waste Management</t>
  </si>
  <si>
    <t>As a software technology company, their operational waste footprint is relatively small.</t>
  </si>
  <si>
    <t>They provide recycling and compost collection where local infrastructure allows. They offer reusable dishware, cups and cutlery, bulk snack options, and employee fridges for storing leftovers from catered meetings. Furthermore, they also periodically engage in employee-facing education campaigns on proper waste sorting and waste reduction best practices.</t>
  </si>
  <si>
    <t>Waste Production/$M Sales</t>
  </si>
  <si>
    <t>Land Degradation/Deforestation/Biodiversity loss/Animal sufering/…</t>
  </si>
  <si>
    <t>Since their ambitious goal was announced, we have supported 20+ projects throughout the world and funded over 40 million trees</t>
  </si>
  <si>
    <t>Salesforce set a goal to support and mobilize the conservation, restoration, and growth of 100 million trees by the end of 2030.</t>
  </si>
  <si>
    <t>Inputs</t>
  </si>
  <si>
    <t>Social</t>
  </si>
  <si>
    <t>Net Sales ($M)</t>
  </si>
  <si>
    <t>Employee Turnover %</t>
  </si>
  <si>
    <t>About 1/3 of open positions are filled by internal candidates.</t>
  </si>
  <si>
    <t>CO2 Emissions Total (metric tonnes)</t>
  </si>
  <si>
    <t>Salaries &amp; Compensation</t>
  </si>
  <si>
    <t>They have had improvements over time. One of the last iniciatives was thev equal pay startegy, where they try to mitigate any salary disparity based in any factor related to gender, race,, sexual orientation and so on.</t>
  </si>
  <si>
    <t>Water Consumption Total (millions m3)</t>
  </si>
  <si>
    <t>Not disclosed</t>
  </si>
  <si>
    <t>Reputation</t>
  </si>
  <si>
    <t>Energy Consumption Total (Gigawatts)</t>
  </si>
  <si>
    <t>Discrimination Events</t>
  </si>
  <si>
    <t>Waste Production Total (Tonnes)</t>
  </si>
  <si>
    <t>Near zero</t>
  </si>
  <si>
    <t>Work Safety</t>
  </si>
  <si>
    <t xml:space="preserve"> They implement a health and safety management system which ensures open communication, proactive identification and management of health and safety risks, and compliance with applicable laws and regulations.</t>
  </si>
  <si>
    <t>ESG Scores</t>
  </si>
  <si>
    <t>Damage to consumer health</t>
  </si>
  <si>
    <t>safety management system which ensures open communication, proactive identification and</t>
  </si>
  <si>
    <t>Refinitiv</t>
  </si>
  <si>
    <t>PXP?</t>
  </si>
  <si>
    <t>management of health and safety risks, and compliance with applicable laws and regulations</t>
  </si>
  <si>
    <t>Sustainalytics</t>
  </si>
  <si>
    <t>Supply chain</t>
  </si>
  <si>
    <t>ISS</t>
  </si>
  <si>
    <t>Community involvement</t>
  </si>
  <si>
    <t>CDP</t>
  </si>
  <si>
    <t>A-</t>
  </si>
  <si>
    <t>A</t>
  </si>
  <si>
    <t>B</t>
  </si>
  <si>
    <t>Public Sector</t>
  </si>
  <si>
    <t>Litigation</t>
  </si>
  <si>
    <t>Corporate Governance</t>
  </si>
  <si>
    <t>PARAMETERS</t>
  </si>
  <si>
    <t>Diversity (Gender, Age, Industry, Region)</t>
  </si>
  <si>
    <t>Over the last 3 years SF has been growing its workforce diversity. The numbers show that the percentage of women, and other ethnicities has been gradually growing.</t>
  </si>
  <si>
    <t>Keep on the diversification</t>
  </si>
  <si>
    <t>IMPACT</t>
  </si>
  <si>
    <t>RANKING</t>
  </si>
  <si>
    <t>MITIGATION PLAN</t>
  </si>
  <si>
    <t>% Independence</t>
  </si>
  <si>
    <t>Medium</t>
  </si>
  <si>
    <t>A majority of our board members are independent of Salesforce and its management</t>
  </si>
  <si>
    <t>Low</t>
  </si>
  <si>
    <t>Is there evidence of a plan/program ?</t>
  </si>
  <si>
    <t>average time as independent directors</t>
  </si>
  <si>
    <t>Board average tenure has been decreasing</t>
  </si>
  <si>
    <t>Recent departures of directors / C-level executives?</t>
  </si>
  <si>
    <t>High</t>
  </si>
  <si>
    <t>CEO/Chairman duality</t>
  </si>
  <si>
    <t>Management and board are Independent</t>
  </si>
  <si>
    <t>Very high</t>
  </si>
  <si>
    <t>"Villain"</t>
  </si>
  <si>
    <t>Transparency (ESG, segments, acquisitions, other)</t>
  </si>
  <si>
    <t>Time taken to report after the end of the quarter / year</t>
  </si>
  <si>
    <t>About 2-3 months</t>
  </si>
  <si>
    <t>Additional participation of the CEO in other boards or excessive participation of Ch.</t>
  </si>
  <si>
    <t>Audit / Consulting</t>
  </si>
  <si>
    <t>ESG-compensation related</t>
  </si>
  <si>
    <t>Management compensation schemes</t>
  </si>
  <si>
    <t>VALUATION MODEL</t>
  </si>
  <si>
    <t>Short Term</t>
  </si>
  <si>
    <t>Long Term</t>
  </si>
  <si>
    <t>Section</t>
  </si>
  <si>
    <t>Line #</t>
  </si>
  <si>
    <t>ITEM</t>
  </si>
  <si>
    <t>2020 (Real)</t>
  </si>
  <si>
    <t>2021 (Real)</t>
  </si>
  <si>
    <t>2022 (Real)</t>
  </si>
  <si>
    <t>INCOME STATEMENT</t>
  </si>
  <si>
    <t>Growth</t>
  </si>
  <si>
    <t>Revenues/Sales</t>
  </si>
  <si>
    <t>EBIT/Operating Margin</t>
  </si>
  <si>
    <t>5a</t>
  </si>
  <si>
    <t>(Dep)</t>
  </si>
  <si>
    <t>5b</t>
  </si>
  <si>
    <t>Amort</t>
  </si>
  <si>
    <t>5c</t>
  </si>
  <si>
    <t>(Stock based compensation)</t>
  </si>
  <si>
    <t>(Net financing cost)</t>
  </si>
  <si>
    <t>Other income/(cost)</t>
  </si>
  <si>
    <t>Earnings before taxes</t>
  </si>
  <si>
    <t>(Income tax)</t>
  </si>
  <si>
    <t>Net income</t>
  </si>
  <si>
    <t> </t>
  </si>
  <si>
    <t>CASH FLOW STATEMENT</t>
  </si>
  <si>
    <t>Operating cash flows before WK</t>
  </si>
  <si>
    <t>(Stock-based compensation)</t>
  </si>
  <si>
    <t>(Working Capital Flows)</t>
  </si>
  <si>
    <t>-Total Operating Cash Flow</t>
  </si>
  <si>
    <t>(CAPEX)</t>
  </si>
  <si>
    <t>Adq</t>
  </si>
  <si>
    <t>(Other investing flows)</t>
  </si>
  <si>
    <t>-Total Investing Flows</t>
  </si>
  <si>
    <t>(Flows related to leases)</t>
  </si>
  <si>
    <t>Flows related to debt</t>
  </si>
  <si>
    <t>(Repurchases)/Issuance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</si>
  <si>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</si>
  <si>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</si>
  <si>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</si>
  <si>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</si>
  <si>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</si>
  <si>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</si>
  <si>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</si>
  <si>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</si>
  <si>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</si>
  <si>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amortization</t>
  </si>
  <si>
    <t>PPE+Right of use Assets</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</si>
  <si>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</si>
  <si>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</si>
  <si>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</si>
  <si>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</si>
  <si>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</si>
  <si>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</si>
  <si>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</si>
  <si>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</si>
  <si>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</si>
  <si>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</si>
  <si>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</si>
  <si>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</si>
  <si>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</si>
  <si>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Modelling factors</t>
  </si>
  <si>
    <t>Reference (line)</t>
  </si>
  <si>
    <t>Depreciation factor</t>
  </si>
  <si>
    <t>% PPE</t>
  </si>
  <si>
    <t>Amortization factor</t>
  </si>
  <si>
    <t>% IA</t>
  </si>
  <si>
    <t>Stock-based comp</t>
  </si>
  <si>
    <t>% revenue</t>
  </si>
  <si>
    <t>Tax Rate</t>
  </si>
  <si>
    <t>% (line 9)</t>
  </si>
  <si>
    <t>Interest Rate on debt</t>
  </si>
  <si>
    <t>% debt (l29)</t>
  </si>
  <si>
    <t>Interest Rate on cash</t>
  </si>
  <si>
    <t>% of cash (l28)</t>
  </si>
  <si>
    <t>PPE+ROA</t>
  </si>
  <si>
    <t>Growing with capex</t>
  </si>
  <si>
    <t>Working capital flows</t>
  </si>
  <si>
    <t>% of change revenues (l2)</t>
  </si>
  <si>
    <t>Intangible Assets</t>
  </si>
  <si>
    <t>Growing with amortization</t>
  </si>
  <si>
    <t>Capex</t>
  </si>
  <si>
    <t>% revenue (l2)</t>
  </si>
  <si>
    <t>Acquisition factor</t>
  </si>
  <si>
    <t>% net income (11)</t>
  </si>
  <si>
    <t>Repurchases</t>
  </si>
  <si>
    <t>Leases</t>
  </si>
  <si>
    <t>Cash Costs for EBIT</t>
  </si>
  <si>
    <t>%EQUITY</t>
  </si>
  <si>
    <t>$ millions</t>
  </si>
  <si>
    <t>Value of flows</t>
  </si>
  <si>
    <t>Value of perpetuity</t>
  </si>
  <si>
    <t>Total Value</t>
  </si>
  <si>
    <t>Actual share price</t>
  </si>
  <si>
    <t>Total value vs Mkt Cap</t>
  </si>
  <si>
    <t>Estimated NPV per share</t>
  </si>
  <si>
    <t>Sensibility</t>
  </si>
  <si>
    <t>Sensitivity +0.1%</t>
  </si>
  <si>
    <t>Sensitivity +0.5%</t>
  </si>
  <si>
    <t>Notes</t>
  </si>
  <si>
    <t>Assumptions</t>
  </si>
  <si>
    <t>Prospects:</t>
  </si>
  <si>
    <t>Links:</t>
  </si>
  <si>
    <t xml:space="preserve">Average </t>
  </si>
  <si>
    <t>Short Term Forecast</t>
  </si>
  <si>
    <t>Long Term Forecast</t>
  </si>
  <si>
    <t>Revenue growth</t>
  </si>
  <si>
    <t>Modelling Factors</t>
  </si>
  <si>
    <t>Last 5 Years</t>
  </si>
  <si>
    <t>Reference</t>
  </si>
  <si>
    <t>Depreciation and Amortization factor</t>
  </si>
  <si>
    <t xml:space="preserve">CAPEX </t>
  </si>
  <si>
    <t>According to the average of the industry the % (in terms of Net Income) of buyback is much more higher than the % o dividends payouts. This may be na indicator that Salesforce is now entering the same trend as the industry due to the recent repurchase they did. And in accordance with our estimates, this might indicate that in the medium term (10y) salesforce will be paying out dividends for their investors at a rate of 10,6% of Net Income. Furthermore, historically speaking when companies make large repurchases it because CFO´s believe that the stock is undervalue.</t>
  </si>
  <si>
    <t>Forecasts</t>
  </si>
  <si>
    <t>% Growth</t>
  </si>
  <si>
    <t>Actual 5y Average</t>
  </si>
  <si>
    <t>Target 5y Average</t>
  </si>
  <si>
    <t>Depretiation</t>
  </si>
  <si>
    <t>% of PPE</t>
  </si>
  <si>
    <t>Average Growth % Sales</t>
  </si>
  <si>
    <t>Amortizatioon</t>
  </si>
  <si>
    <t>Stock-based Compensation</t>
  </si>
  <si>
    <t>% of Sales</t>
  </si>
  <si>
    <t>Industry name</t>
  </si>
  <si>
    <t>Number of firms</t>
  </si>
  <si>
    <t xml:space="preserve">  Dividends </t>
  </si>
  <si>
    <t xml:space="preserve"> Net Income </t>
  </si>
  <si>
    <t>Payout</t>
  </si>
  <si>
    <t>Dividends + Buybacks</t>
  </si>
  <si>
    <t>Buybacks(BB)</t>
  </si>
  <si>
    <t>BB%ofNetIncome</t>
  </si>
  <si>
    <t>Software (Entertainment)</t>
  </si>
  <si>
    <t>Software (Internet)</t>
  </si>
  <si>
    <t>Software (System &amp; Application)</t>
  </si>
  <si>
    <t>Buyback</t>
  </si>
  <si>
    <t>Target long-term</t>
  </si>
  <si>
    <t>The carrying values of the Company’s borrowings were as follows (in millions):</t>
  </si>
  <si>
    <t>Instrument</t>
  </si>
  <si>
    <t>Rate</t>
  </si>
  <si>
    <t xml:space="preserve"> Principal 2022</t>
  </si>
  <si>
    <t>2023 Senior Notes</t>
  </si>
  <si>
    <t>Loan assumed on 50 Fremont</t>
  </si>
  <si>
    <t>2024 Senior Notes</t>
  </si>
  <si>
    <t>2028 Senior Notes</t>
  </si>
  <si>
    <t>2028 Senior Sustainability Notes</t>
  </si>
  <si>
    <t>2031 Senior Notes</t>
  </si>
  <si>
    <t>2041 Senior Notes</t>
  </si>
  <si>
    <t>2051 Senior Notes .</t>
  </si>
  <si>
    <t>2061 Senior Notes .</t>
  </si>
  <si>
    <t>Total carrying value of debt . .</t>
  </si>
  <si>
    <t>Less current portion of debt . .</t>
  </si>
  <si>
    <t>Total noncurrent debt . .</t>
  </si>
  <si>
    <t>CAPEX</t>
  </si>
  <si>
    <t>Change in NWC</t>
  </si>
  <si>
    <t>Shareholders Equity</t>
  </si>
  <si>
    <t>Debt/Equity</t>
  </si>
  <si>
    <t>Flows Related To debt</t>
  </si>
  <si>
    <t>%of Net Sales</t>
  </si>
  <si>
    <t>Industry Average</t>
  </si>
  <si>
    <t xml:space="preserve">Net Iincome </t>
  </si>
  <si>
    <t xml:space="preserve">Dividends + Buybacks </t>
  </si>
  <si>
    <t>Buybacks</t>
  </si>
  <si>
    <t>Buybacks % Net Income</t>
  </si>
  <si>
    <t>Cash Return % Net Income</t>
  </si>
  <si>
    <t>Net Income distribution</t>
  </si>
  <si>
    <t>NET INCOME</t>
  </si>
  <si>
    <t xml:space="preserve">Buybacks </t>
  </si>
  <si>
    <t xml:space="preserve">Target Long Term </t>
  </si>
  <si>
    <t xml:space="preserve">Dividends </t>
  </si>
  <si>
    <t>Revenue</t>
  </si>
  <si>
    <t>AR</t>
  </si>
  <si>
    <t>AP</t>
  </si>
  <si>
    <t>DSO</t>
  </si>
  <si>
    <t>DPO</t>
  </si>
  <si>
    <t>A/R</t>
  </si>
  <si>
    <t>A/P</t>
  </si>
  <si>
    <t>(non-cash WC)</t>
  </si>
  <si>
    <t>Change in NC WC</t>
  </si>
  <si>
    <t>Gross PM</t>
  </si>
  <si>
    <t>Results</t>
  </si>
  <si>
    <t>Growth vs. Previous year</t>
  </si>
  <si>
    <t>Gross Profit</t>
  </si>
  <si>
    <t>% over sales</t>
  </si>
  <si>
    <t>Operating expenses</t>
  </si>
  <si>
    <t xml:space="preserve">     Growth vs. Previous year</t>
  </si>
  <si>
    <t>Other Expenses (Revenues)</t>
  </si>
  <si>
    <t>Changes Net Working Capital</t>
  </si>
  <si>
    <t>EBITDA Margin</t>
  </si>
  <si>
    <t>% Tax</t>
  </si>
  <si>
    <t>Cash Generated</t>
  </si>
  <si>
    <t>Share buyback</t>
  </si>
  <si>
    <t>FNP''</t>
  </si>
  <si>
    <t>FNP'</t>
  </si>
  <si>
    <t>Payout Ratio</t>
  </si>
  <si>
    <t>Assets</t>
  </si>
  <si>
    <t>Accounts Receivable</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</si>
  <si>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</si>
  <si>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</si>
  <si>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</si>
  <si>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</si>
  <si>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</si>
  <si>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</si>
  <si>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</si>
  <si>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</si>
  <si>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</si>
  <si>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</si>
  <si>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Net Debt</t>
  </si>
  <si>
    <t>Minority Interest</t>
  </si>
  <si>
    <t xml:space="preserve">Shareholder's Equity </t>
  </si>
  <si>
    <t>Changes in cash</t>
  </si>
  <si>
    <t>Other Data</t>
  </si>
  <si>
    <t>Number of employees</t>
  </si>
  <si>
    <t xml:space="preserve">Shares Outstanding </t>
  </si>
  <si>
    <t>Fitch/ S&amp;P Rating</t>
  </si>
  <si>
    <t>Dividend Yield</t>
  </si>
  <si>
    <t>Daily Volume in Millions of USD</t>
  </si>
  <si>
    <t xml:space="preserve">Short % of Float </t>
  </si>
  <si>
    <t>Corporate Bonds 3, 5 Y 10</t>
  </si>
  <si>
    <t>Average Price</t>
  </si>
  <si>
    <t>Moody's</t>
  </si>
  <si>
    <t>YTM</t>
  </si>
  <si>
    <t>DIVISA</t>
  </si>
  <si>
    <t>Sector</t>
  </si>
  <si>
    <t>Sub-Industry</t>
  </si>
  <si>
    <t>Environment</t>
  </si>
  <si>
    <t>Communication Services</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</si>
  <si>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</si>
  <si>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</si>
  <si>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</si>
  <si>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</si>
  <si>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</si>
  <si>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</si>
  <si>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</si>
  <si>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</si>
  <si>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</si>
  <si>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</si>
  <si>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</si>
  <si>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</si>
  <si>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</si>
  <si>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</si>
  <si>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</si>
  <si>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</si>
  <si>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</si>
  <si>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</si>
  <si>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</si>
  <si>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</si>
  <si>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</si>
  <si>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Consumer Staples</t>
  </si>
  <si>
    <t>Total Water Use</t>
  </si>
  <si>
    <t>Broadcasting</t>
  </si>
  <si>
    <t>Renewable Energy</t>
  </si>
  <si>
    <t>Movies &amp; Entertainment</t>
  </si>
  <si>
    <t>Financials</t>
  </si>
  <si>
    <t>Forestry</t>
  </si>
  <si>
    <t>Advertising</t>
  </si>
  <si>
    <t>Health Care</t>
  </si>
  <si>
    <t>Land Degradation/Deforestation/Biodiversity loss/Animal sufering/...</t>
  </si>
  <si>
    <t>Alternative Carriers</t>
  </si>
  <si>
    <t>Industrials</t>
  </si>
  <si>
    <t>Publishing</t>
  </si>
  <si>
    <t>Employee turnover</t>
  </si>
  <si>
    <t>Wireless Telecommunication Services</t>
  </si>
  <si>
    <t>Materials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</si>
  <si>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</si>
  <si>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</si>
  <si>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</si>
  <si>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</si>
  <si>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</si>
  <si>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</si>
  <si>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</si>
  <si>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</si>
  <si>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</si>
  <si>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</si>
  <si>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</si>
  <si>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</si>
  <si>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</si>
  <si>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</si>
  <si>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</si>
  <si>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</si>
  <si>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</si>
  <si>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</si>
  <si>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</si>
  <si>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</si>
  <si>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</si>
  <si>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</si>
  <si>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</si>
  <si>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</si>
  <si>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</si>
  <si>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</si>
  <si>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</si>
  <si>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</si>
  <si>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</si>
  <si>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</si>
  <si>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</si>
  <si>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</si>
  <si>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</si>
  <si>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</si>
  <si>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</si>
  <si>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</si>
  <si>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</si>
  <si>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</si>
  <si>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</si>
  <si>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</si>
  <si>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</si>
  <si>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</si>
  <si>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</si>
  <si>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</si>
  <si>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</si>
  <si>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</si>
  <si>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</si>
  <si>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</si>
  <si>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</si>
  <si>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</si>
  <si>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</si>
  <si>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</si>
  <si>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</si>
  <si>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</si>
  <si>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</si>
  <si>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</si>
  <si>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</si>
  <si>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</si>
  <si>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</si>
  <si>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</si>
  <si>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</si>
  <si>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</si>
  <si>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</si>
  <si>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</si>
  <si>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</si>
  <si>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</si>
  <si>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</si>
  <si>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</si>
  <si>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</si>
  <si>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</si>
  <si>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</si>
  <si>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</si>
  <si>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</si>
  <si>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</si>
  <si>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</si>
  <si>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</si>
  <si>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</si>
  <si>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</si>
  <si>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</si>
  <si>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</si>
  <si>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</si>
  <si>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</si>
  <si>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</si>
  <si>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</si>
  <si>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</si>
  <si>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</si>
  <si>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</si>
  <si>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</si>
  <si>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</si>
  <si>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</si>
  <si>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</si>
  <si>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</si>
  <si>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</si>
  <si>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</si>
  <si>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</si>
  <si>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</si>
  <si>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</si>
  <si>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</si>
  <si>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</si>
  <si>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</si>
  <si>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</si>
  <si>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</si>
  <si>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</si>
  <si>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</si>
  <si>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</si>
  <si>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</si>
  <si>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</si>
  <si>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</si>
  <si>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</si>
  <si>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</si>
  <si>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</si>
  <si>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</si>
  <si>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</si>
  <si>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</si>
  <si>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</si>
  <si>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</si>
  <si>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</si>
  <si>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</si>
  <si>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</si>
  <si>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</si>
  <si>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</si>
  <si>
    <t>Figures in Millions of USD</t>
  </si>
  <si>
    <t>Company</t>
  </si>
  <si>
    <t>SALESFORCE, INC. (XNYS:CRM)</t>
  </si>
  <si>
    <t>Report in millions</t>
  </si>
  <si>
    <t>RESULTS</t>
  </si>
  <si>
    <t>Hoja</t>
  </si>
  <si>
    <t>Nombre campo Bloomberg</t>
  </si>
  <si>
    <t>Cambio de signo</t>
  </si>
  <si>
    <t>Income Statement</t>
  </si>
  <si>
    <t>Sales</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</si>
  <si>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</si>
  <si>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</si>
  <si>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</si>
  <si>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</si>
  <si>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</si>
  <si>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</si>
  <si>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</si>
  <si>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</si>
  <si>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</si>
  <si>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</si>
  <si>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</si>
  <si>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</si>
  <si>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</si>
  <si>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</si>
  <si>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</si>
  <si>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</si>
  <si>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</si>
  <si>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</si>
  <si>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</si>
  <si>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cash flows</t>
  </si>
  <si>
    <t>NWC</t>
  </si>
  <si>
    <t>Net Working Capital</t>
  </si>
  <si>
    <t xml:space="preserve">  + Dividendos pagados</t>
  </si>
  <si>
    <t>Cambiar signo</t>
  </si>
  <si>
    <t xml:space="preserve">    + Aumento en capital</t>
  </si>
  <si>
    <t xml:space="preserve">    + Baja en capital</t>
  </si>
  <si>
    <t>Cambiar signo y hacer suma</t>
  </si>
  <si>
    <t>ASSETS</t>
  </si>
  <si>
    <t>Current</t>
  </si>
  <si>
    <t>Balance Sheet</t>
  </si>
  <si>
    <t>Balance</t>
  </si>
  <si>
    <t xml:space="preserve">  + Efectivo, equivalentes y STI</t>
  </si>
  <si>
    <t>Other Current Assets</t>
  </si>
  <si>
    <t xml:space="preserve">  + Cuentas y notas por cobrar</t>
  </si>
  <si>
    <t xml:space="preserve">    + Activos derivados y de cobertura</t>
  </si>
  <si>
    <t xml:space="preserve">  + Inversiones y cuentas por cobrar a LP</t>
  </si>
  <si>
    <t>Non-current</t>
  </si>
  <si>
    <t xml:space="preserve">  + Inventarios</t>
  </si>
  <si>
    <t>Operating leases</t>
  </si>
  <si>
    <t>Goodwill</t>
  </si>
  <si>
    <t>Other Non-Current Assets</t>
  </si>
  <si>
    <t xml:space="preserve">  + Propiedad, planta y equipo; neto</t>
  </si>
  <si>
    <t>Activos totales</t>
  </si>
  <si>
    <t>LIABILITIES</t>
  </si>
  <si>
    <t>Payables</t>
  </si>
  <si>
    <t>Short term Debt</t>
  </si>
  <si>
    <t>Pasivos totales corrientes</t>
  </si>
  <si>
    <t xml:space="preserve">    + Préstamos CP</t>
  </si>
  <si>
    <t>Total non current liabilities</t>
  </si>
  <si>
    <t>Long term debt</t>
  </si>
  <si>
    <t>Pasivos totales no corrientes</t>
  </si>
  <si>
    <t>Other non current Liabilities</t>
  </si>
  <si>
    <t xml:space="preserve">    + Préstamos a largo plazo</t>
  </si>
  <si>
    <t xml:space="preserve">  + Participación minoritaria/no dominante</t>
  </si>
  <si>
    <t>CASH FLOW</t>
  </si>
  <si>
    <t>Changes in assets and liabilities</t>
  </si>
  <si>
    <t>Other Adjustments</t>
  </si>
  <si>
    <t>Other Inflows (Outflows)</t>
  </si>
  <si>
    <t>Debt Borrowing</t>
  </si>
  <si>
    <t>Debt Repayment</t>
  </si>
  <si>
    <t>Lease Increases</t>
  </si>
  <si>
    <t>Lease Payments</t>
  </si>
  <si>
    <t>cash flows FINANCING</t>
  </si>
  <si>
    <t>Dividends paid</t>
  </si>
  <si>
    <t>(Vitalis will later fill this info)</t>
  </si>
  <si>
    <t xml:space="preserve">Other Data </t>
  </si>
  <si>
    <t xml:space="preserve">Average Price </t>
  </si>
  <si>
    <t xml:space="preserve">Number of employees </t>
  </si>
  <si>
    <t>10-K</t>
  </si>
  <si>
    <t>bloomberg</t>
  </si>
  <si>
    <t>Shares Outstanding (Thousands)</t>
  </si>
  <si>
    <t>Yahoo finance</t>
  </si>
  <si>
    <t>Dividend Yield(Yahoo Finance)</t>
  </si>
  <si>
    <t>Yahoo Finance</t>
  </si>
  <si>
    <t>Date updated:</t>
  </si>
  <si>
    <t xml:space="preserve">YouTube Video explaining estimation choices and processes	
	</t>
  </si>
  <si>
    <t>Created by:</t>
  </si>
  <si>
    <t>Aswath Damodaran, adamodar@stern.nyu.edu</t>
  </si>
  <si>
    <t>What is this data?</t>
  </si>
  <si>
    <t>Dividends and FCFE (in millions) and ratios</t>
  </si>
  <si>
    <t>US companies</t>
  </si>
  <si>
    <t>Home Page:</t>
  </si>
  <si>
    <t>http://www.damodaran.com</t>
  </si>
  <si>
    <t>Data website:</t>
  </si>
  <si>
    <t>https://pages.stern.nyu.edu/~adamodar/New_Home_Page/data.html</t>
  </si>
  <si>
    <t>Companies in each industry:</t>
  </si>
  <si>
    <t>https://pages.stern.nyu.edu/~adamodar/pc/datasets/indname.xls</t>
  </si>
  <si>
    <t>Variable definitions:</t>
  </si>
  <si>
    <t>https://pages.stern.nyu.edu/~adamodar/New_Home_Page/datafile/variable.htm</t>
  </si>
  <si>
    <t>Cash Return as % of Net Income</t>
  </si>
  <si>
    <t>Dividends + Buybacks - Stock Issuances</t>
  </si>
  <si>
    <t>FCFE (before debt cash flows)</t>
  </si>
  <si>
    <t>FCFE (after debt cash flows)</t>
  </si>
  <si>
    <t>Net Cash Returned/FCFE (pre-debt)</t>
  </si>
  <si>
    <t>Net Cash Returned/FCFE (post-debt)</t>
  </si>
  <si>
    <t>Net Cash Returned/ Net Income</t>
  </si>
  <si>
    <t>Cash/ Firm Value</t>
  </si>
  <si>
    <t>Aerospace/Defense</t>
  </si>
  <si>
    <t>Air Transport</t>
  </si>
  <si>
    <t>NA</t>
  </si>
  <si>
    <t>Apparel</t>
  </si>
  <si>
    <t>Auto &amp; Truck</t>
  </si>
  <si>
    <t>Auto Parts</t>
  </si>
  <si>
    <t>Bank (Money Center)</t>
  </si>
  <si>
    <t>Banks (Regional)</t>
  </si>
  <si>
    <t>Beverage (Alcoholic)</t>
  </si>
  <si>
    <t>Beverage (Soft)</t>
  </si>
  <si>
    <t>Brokerage &amp; Investment Banking</t>
  </si>
  <si>
    <t>Building Materials</t>
  </si>
  <si>
    <t>Business &amp; Consumer Services</t>
  </si>
  <si>
    <t>Cable TV</t>
  </si>
  <si>
    <t>Chemical (Basic)</t>
  </si>
  <si>
    <t>Chemical (Diversified)</t>
  </si>
  <si>
    <t>Chemical (Specialty)</t>
  </si>
  <si>
    <t>Coal &amp; Related Energy</t>
  </si>
  <si>
    <t>Computer Services</t>
  </si>
  <si>
    <t>Computers/Peripherals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</si>
  <si>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</si>
  <si>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</si>
  <si>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</si>
  <si>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</si>
  <si>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</si>
  <si>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</si>
  <si>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</si>
  <si>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</si>
  <si>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</si>
  <si>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</si>
  <si>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</si>
  <si>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</si>
  <si>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</si>
  <si>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</si>
  <si>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</si>
  <si>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</si>
  <si>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</si>
  <si>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</si>
  <si>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</si>
  <si>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</si>
  <si>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Hospitals/Healthcare Facilities</t>
  </si>
  <si>
    <t>Hotel/Gaming</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</si>
  <si>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</si>
  <si>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</si>
  <si>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</si>
  <si>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</si>
  <si>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</si>
  <si>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</si>
  <si>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</si>
  <si>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</si>
  <si>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</si>
  <si>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</si>
  <si>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</si>
  <si>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</si>
  <si>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</si>
  <si>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</si>
  <si>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</si>
  <si>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</si>
  <si>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</si>
  <si>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</si>
  <si>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</si>
  <si>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</si>
  <si>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Services)</t>
  </si>
  <si>
    <t>Recreation</t>
  </si>
  <si>
    <t>Restaurant/Dining</t>
  </si>
  <si>
    <t>Retail (Automotive)</t>
  </si>
  <si>
    <t>Retail (Building Supply)</t>
  </si>
  <si>
    <t>Retail (Distributors)</t>
  </si>
  <si>
    <t>Retail (General)</t>
  </si>
  <si>
    <t>Retail (Grocery and Food)</t>
  </si>
  <si>
    <t>Retail (Online)</t>
  </si>
  <si>
    <t>Retail (Special Lines)</t>
  </si>
  <si>
    <t>Rubber&amp; Tires</t>
  </si>
  <si>
    <t>Semiconductor</t>
  </si>
  <si>
    <t>Semiconductor Equip</t>
  </si>
  <si>
    <t>Shipbuilding &amp; Marine</t>
  </si>
  <si>
    <t>Shoe</t>
  </si>
  <si>
    <t>Telecom (Wireless)</t>
  </si>
  <si>
    <t>Telecom. Equipment</t>
  </si>
  <si>
    <t>Telecom. Services</t>
  </si>
  <si>
    <t>Transportation</t>
  </si>
  <si>
    <t>Transportation (Railroads)</t>
  </si>
  <si>
    <t>Utility (General)</t>
  </si>
  <si>
    <t>Utility (Water)</t>
  </si>
  <si>
    <t>Total Market</t>
  </si>
  <si>
    <t>Total Market (without financials)</t>
  </si>
  <si>
    <t>Historical (compounded annual) growth rate in net income and revenues - last 5 years</t>
  </si>
  <si>
    <t>Industry Name</t>
  </si>
  <si>
    <t>Number of Firms</t>
  </si>
  <si>
    <t>CAGR in Net Income- Last 5 years</t>
  </si>
  <si>
    <t>CAGR in Revenues- Last 5 years</t>
  </si>
  <si>
    <t>Expected Growth in Revenues - Next 2 years</t>
  </si>
  <si>
    <t>Expected Growth in EPS - Next 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</si>
</sst>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44" formatCode="_-&quot;€&quot;* #,##0.00_-;\-&quot;€&quot;* #,##0.00_-;_-&quot;€&quot;* &quot;-&quot;??_-;_-@_-"/>
    <numFmt numFmtId="43" formatCode="_-* #,##0.00_-;\-* #,##0.00_-;_-* &quot;-&quot;??_-;_-@_-"/>
    <numFmt numFmtId="164" formatCode="_(&quot;$&quot;* #,##0.00_);_(&quot;$&quot;* \(#,##0.00\);_(&quot;$&quot;* &quot;-&quot;??_);_(@_)"/>
    <numFmt numFmtId="165" formatCode="_-&quot;$&quot;* #,##0.00_-;\-&quot;$&quot;* #,##0.00_-;_-&quot;$&quot;* &quot;-&quot;??_-;_-@_-"/>
    <numFmt numFmtId="166" formatCode="&quot;$&quot;#,##0.00"/>
    <numFmt numFmtId="167" formatCode="&quot;$&quot;#,##0"/>
    <numFmt numFmtId="168" formatCode="0.0%"/>
    <numFmt numFmtId="169" formatCode="0.0"/>
    <numFmt numFmtId="170" formatCode="#,##0.0"/>
    <numFmt numFmtId="171" formatCode="[$$-409]#,##0.00_ ;\-[$$-409]#,##0.00\ "/>
    <numFmt numFmtId="172" formatCode="[$$-409]#,##0.00"/>
    <numFmt numFmtId="173" formatCode="[$$-409]#,##0"/>
    <numFmt numFmtId="174" formatCode="_-[$$-409]* #,##0.00_ ;_-[$$-409]* \-#,##0.00\ ;_-[$$-409]* &quot;-&quot;??_ ;_-@_ "/>
    <numFmt numFmtId="175" formatCode="0.000000"/>
    <numFmt numFmtId="176" formatCode="_([$$-409]* #,##0.00_);_([$$-409]* \(#,##0.00\);_([$$-409]* &quot;-&quot;??_);_(@_)"/>
    <numFmt numFmtId="177" formatCode="0.000%"/>
    <numFmt numFmtId="178" formatCode="0.000"/>
    <numFmt numFmtId="179" formatCode="_-[$€-2]\ * #,##0.00_-;\-[$€-2]\ * #,##0.00_-;_-[$€-2]\ * &quot;-&quot;??_-;_-@_-"/>
    <numFmt numFmtId="180" formatCode="_-* #,##0.0000_-;\-* #,##0.0000_-;_-* &quot;-&quot;??_-;_-@_-"/>
    <numFmt numFmtId="181" formatCode="&quot;€&quot;#,##0.00"/>
  </numFmts>
  <fonts count="104">
    <font>
      <sz val="10"/>
      <name val="Arial"/>
    </font>
    <font>
      <sz val="12"/>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i/>
      <sz val="10"/>
      <color indexed="8"/>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16"/>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sz val="10"/>
      <color rgb="FF232A31"/>
      <name val="Arial"/>
      <family val="2"/>
    </font>
    <font>
      <b/>
      <sz val="10"/>
      <color rgb="FF000000"/>
      <name val="Arial"/>
      <family val="2"/>
    </font>
    <font>
      <b/>
      <sz val="11"/>
      <color theme="1"/>
      <name val="Calibri"/>
      <family val="2"/>
      <scheme val="minor"/>
    </font>
    <font>
      <sz val="11"/>
      <color theme="0"/>
      <name val="Calibri"/>
      <family val="2"/>
    </font>
    <font>
      <sz val="12"/>
      <name val="Arial"/>
      <family val="2"/>
    </font>
    <font>
      <sz val="11"/>
      <color rgb="FFFF0000"/>
      <name val="Calibri"/>
      <family val="2"/>
    </font>
    <font>
      <sz val="10"/>
      <name val="Calibri"/>
      <family val="2"/>
      <charset val="1"/>
    </font>
    <font>
      <sz val="14"/>
      <name val="Arial"/>
      <family val="2"/>
    </font>
    <font>
      <sz val="8"/>
      <color theme="0"/>
      <name val="Arial"/>
      <family val="2"/>
    </font>
    <font>
      <b/>
      <sz val="12"/>
      <color rgb="FF000000"/>
      <name val="Arial"/>
      <family val="2"/>
    </font>
    <font>
      <b/>
      <sz val="8"/>
      <color rgb="FFFFFFFF"/>
      <name val="Arial"/>
      <family val="2"/>
    </font>
    <font>
      <b/>
      <sz val="11"/>
      <color rgb="FFFFFFFF"/>
      <name val="Arial"/>
      <family val="2"/>
    </font>
    <font>
      <i/>
      <sz val="10"/>
      <name val="Arial"/>
      <family val="2"/>
    </font>
    <font>
      <i/>
      <sz val="10"/>
      <color theme="1"/>
      <name val="Arial"/>
      <family val="2"/>
    </font>
    <font>
      <b/>
      <sz val="11"/>
      <color rgb="FF000000"/>
      <name val="Calibri"/>
      <family val="2"/>
      <scheme val="minor"/>
    </font>
    <font>
      <b/>
      <sz val="11"/>
      <color indexed="9"/>
      <name val="Arial"/>
      <family val="2"/>
    </font>
    <font>
      <sz val="10"/>
      <color rgb="FF000000"/>
      <name val="Tahoma"/>
      <family val="2"/>
    </font>
    <font>
      <b/>
      <sz val="10"/>
      <color rgb="FF000000"/>
      <name val="Tahoma"/>
      <family val="2"/>
    </font>
    <font>
      <u/>
      <sz val="10"/>
      <color theme="10"/>
      <name val="Arial"/>
      <family val="2"/>
    </font>
    <font>
      <sz val="10"/>
      <name val="Arial"/>
      <family val="2"/>
    </font>
    <font>
      <b/>
      <sz val="12"/>
      <color theme="1"/>
      <name val="Calibri"/>
      <family val="2"/>
      <scheme val="minor"/>
    </font>
    <font>
      <sz val="10"/>
      <color rgb="FF00B050"/>
      <name val="Arial"/>
      <family val="2"/>
    </font>
    <font>
      <sz val="11"/>
      <color rgb="FF000000"/>
      <name val="Calibri"/>
      <family val="2"/>
      <scheme val="minor"/>
    </font>
    <font>
      <b/>
      <sz val="11"/>
      <color theme="1"/>
      <name val="Calibri"/>
      <family val="2"/>
    </font>
    <font>
      <i/>
      <sz val="10"/>
      <color theme="5"/>
      <name val="Arial"/>
      <family val="2"/>
    </font>
    <font>
      <sz val="11"/>
      <name val="TimesNewRoman"/>
    </font>
    <font>
      <u/>
      <sz val="12"/>
      <color theme="10"/>
      <name val="Calibri"/>
      <family val="2"/>
      <scheme val="minor"/>
    </font>
    <font>
      <sz val="10"/>
      <color theme="1"/>
      <name val="Calibri"/>
      <family val="2"/>
      <scheme val="minor"/>
    </font>
    <font>
      <b/>
      <sz val="10"/>
      <color theme="1"/>
      <name val="Calibri"/>
      <family val="2"/>
      <scheme val="minor"/>
    </font>
    <font>
      <b/>
      <sz val="12"/>
      <color rgb="FF000000"/>
      <name val="Calibri"/>
      <family val="2"/>
      <scheme val="minor"/>
    </font>
    <font>
      <i/>
      <sz val="12"/>
      <color rgb="FF000000"/>
      <name val="Calibri"/>
      <family val="2"/>
      <scheme val="minor"/>
    </font>
    <font>
      <sz val="12"/>
      <name val="Calibri"/>
      <family val="2"/>
      <scheme val="minor"/>
    </font>
    <font>
      <sz val="12"/>
      <color rgb="FF000000"/>
      <name val="Calibri"/>
      <family val="2"/>
      <scheme val="minor"/>
    </font>
    <font>
      <i/>
      <sz val="9"/>
      <name val="Geneva"/>
      <family val="2"/>
      <charset val="1"/>
    </font>
    <font>
      <i/>
      <sz val="14"/>
      <color theme="1"/>
      <name val="Calibri"/>
      <family val="2"/>
      <scheme val="minor"/>
    </font>
    <font>
      <b/>
      <i/>
      <sz val="9"/>
      <name val="Geneva"/>
      <family val="2"/>
      <charset val="1"/>
    </font>
    <font>
      <b/>
      <i/>
      <sz val="10"/>
      <color theme="5"/>
      <name val="Arial"/>
      <family val="2"/>
    </font>
    <font>
      <sz val="10"/>
      <color theme="3"/>
      <name val="Arial"/>
      <family val="2"/>
    </font>
    <font>
      <b/>
      <u/>
      <sz val="10"/>
      <name val="Arial"/>
      <family val="2"/>
    </font>
    <font>
      <u/>
      <sz val="10"/>
      <color theme="10"/>
      <name val="Arial"/>
      <family val="2"/>
    </font>
  </fonts>
  <fills count="52">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rgb="FFFF0000"/>
        <bgColor rgb="FF000000"/>
      </patternFill>
    </fill>
    <fill>
      <patternFill patternType="solid">
        <fgColor rgb="FF00B050"/>
        <bgColor rgb="FF000000"/>
      </patternFill>
    </fill>
    <fill>
      <patternFill patternType="solid">
        <fgColor theme="9" tint="0.79998168889431442"/>
        <bgColor indexed="64"/>
      </patternFill>
    </fill>
    <fill>
      <patternFill patternType="solid">
        <fgColor rgb="FFFFFD78"/>
        <bgColor indexed="64"/>
      </patternFill>
    </fill>
    <fill>
      <patternFill patternType="solid">
        <fgColor theme="0" tint="-0.14999847407452621"/>
        <bgColor rgb="FF000000"/>
      </patternFill>
    </fill>
    <fill>
      <patternFill patternType="solid">
        <fgColor rgb="FFFFC000"/>
        <bgColor indexed="64"/>
      </patternFill>
    </fill>
    <fill>
      <patternFill patternType="solid">
        <fgColor theme="0" tint="-0.14999847407452621"/>
        <bgColor theme="0" tint="-0.14999847407452621"/>
      </patternFill>
    </fill>
    <fill>
      <patternFill patternType="solid">
        <fgColor rgb="FFFFC000"/>
        <bgColor rgb="FF000000"/>
      </patternFill>
    </fill>
  </fills>
  <borders count="266">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right/>
      <top style="medium">
        <color theme="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3"/>
      </left>
      <right style="medium">
        <color theme="3"/>
      </right>
      <top style="thin">
        <color theme="0" tint="-0.499984740745262"/>
      </top>
      <bottom/>
      <diagonal/>
    </border>
    <border>
      <left/>
      <right/>
      <top style="medium">
        <color theme="3"/>
      </top>
      <bottom style="medium">
        <color theme="3"/>
      </bottom>
      <diagonal/>
    </border>
    <border>
      <left/>
      <right style="medium">
        <color indexed="64"/>
      </right>
      <top style="medium">
        <color indexed="64"/>
      </top>
      <bottom/>
      <diagonal/>
    </border>
    <border>
      <left/>
      <right style="medium">
        <color theme="3"/>
      </right>
      <top/>
      <bottom style="thin">
        <color theme="0" tint="-0.249977111117893"/>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77111117893"/>
      </left>
      <right style="medium">
        <color theme="3"/>
      </right>
      <top/>
      <bottom style="thin">
        <color theme="0" tint="-0.249977111117893"/>
      </bottom>
      <diagonal/>
    </border>
    <border>
      <left style="thin">
        <color theme="0" tint="-0.14999847407452621"/>
      </left>
      <right style="thin">
        <color theme="0" tint="-0.14999847407452621"/>
      </right>
      <top style="medium">
        <color theme="3"/>
      </top>
      <bottom/>
      <diagonal/>
    </border>
    <border>
      <left style="thin">
        <color theme="0" tint="-0.249977111117893"/>
      </left>
      <right/>
      <top style="medium">
        <color theme="3"/>
      </top>
      <bottom/>
      <diagonal/>
    </border>
    <border>
      <left/>
      <right style="thin">
        <color theme="0" tint="-0.249977111117893"/>
      </right>
      <top style="medium">
        <color theme="3"/>
      </top>
      <bottom/>
      <diagonal/>
    </border>
    <border>
      <left style="thin">
        <color theme="0" tint="-0.249977111117893"/>
      </left>
      <right style="thin">
        <color theme="0" tint="-0.249977111117893"/>
      </right>
      <top style="medium">
        <color theme="3"/>
      </top>
      <bottom/>
      <diagonal/>
    </border>
    <border>
      <left style="thin">
        <color theme="0" tint="-0.249977111117893"/>
      </left>
      <right style="medium">
        <color theme="3"/>
      </right>
      <top style="medium">
        <color theme="3"/>
      </top>
      <bottom/>
      <diagonal/>
    </border>
    <border>
      <left style="thin">
        <color indexed="64"/>
      </left>
      <right style="medium">
        <color rgb="FF1F497D"/>
      </right>
      <top style="thin">
        <color indexed="64"/>
      </top>
      <bottom style="thin">
        <color indexed="64"/>
      </bottom>
      <diagonal/>
    </border>
    <border>
      <left style="thin">
        <color theme="0" tint="-0.24994659260841701"/>
      </left>
      <right style="thin">
        <color theme="0" tint="-0.24994659260841701"/>
      </right>
      <top style="thin">
        <color theme="0" tint="-0.24994659260841701"/>
      </top>
      <bottom/>
      <diagonal/>
    </border>
    <border>
      <left style="thin">
        <color indexed="64"/>
      </left>
      <right style="medium">
        <color rgb="FF1F497D"/>
      </right>
      <top/>
      <bottom style="thin">
        <color indexed="64"/>
      </bottom>
      <diagonal/>
    </border>
    <border>
      <left style="thin">
        <color theme="0" tint="-0.24994659260841701"/>
      </left>
      <right style="medium">
        <color theme="3"/>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right/>
      <top style="medium">
        <color theme="3"/>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style="medium">
        <color theme="3"/>
      </right>
      <top style="medium">
        <color rgb="FF1F497D"/>
      </top>
      <bottom style="thin">
        <color theme="0" tint="-0.24994659260841701"/>
      </bottom>
      <diagonal/>
    </border>
    <border>
      <left style="medium">
        <color theme="3"/>
      </left>
      <right style="medium">
        <color theme="3"/>
      </right>
      <top style="medium">
        <color rgb="FF1F497D"/>
      </top>
      <bottom style="thin">
        <color theme="0" tint="-0.24994659260841701"/>
      </bottom>
      <diagonal/>
    </border>
    <border>
      <left style="medium">
        <color theme="3"/>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rgb="FF1F497D"/>
      </left>
      <right/>
      <top style="thin">
        <color theme="0" tint="-0.24994659260841701"/>
      </top>
      <bottom style="medium">
        <color rgb="FF1F497D"/>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thin">
        <color theme="0" tint="-0.24994659260841701"/>
      </top>
      <bottom style="medium">
        <color rgb="FF1F497D"/>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theme="3"/>
      </left>
      <right style="medium">
        <color theme="3"/>
      </right>
      <top style="medium">
        <color theme="3"/>
      </top>
      <bottom style="medium">
        <color theme="3"/>
      </bottom>
      <diagonal/>
    </border>
    <border>
      <left style="medium">
        <color rgb="FF1F497D"/>
      </left>
      <right style="medium">
        <color rgb="FF1F497D"/>
      </right>
      <top style="thin">
        <color theme="0" tint="-0.24994659260841701"/>
      </top>
      <bottom/>
      <diagonal/>
    </border>
    <border>
      <left style="medium">
        <color rgb="FF1F497D"/>
      </left>
      <right/>
      <top style="medium">
        <color theme="3"/>
      </top>
      <bottom style="medium">
        <color theme="3"/>
      </bottom>
      <diagonal/>
    </border>
    <border>
      <left style="medium">
        <color rgb="FF1F497D"/>
      </left>
      <right/>
      <top style="medium">
        <color theme="3"/>
      </top>
      <bottom style="medium">
        <color rgb="FF1F497D"/>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right style="medium">
        <color indexed="64"/>
      </right>
      <top style="medium">
        <color rgb="FF1F497D"/>
      </top>
      <bottom style="medium">
        <color rgb="FF1F497D"/>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style="medium">
        <color rgb="FF1F497D"/>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right style="medium">
        <color rgb="FF1F497D"/>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thin">
        <color rgb="FF1F497D"/>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style="medium">
        <color indexed="64"/>
      </top>
      <bottom style="medium">
        <color rgb="FF000000"/>
      </bottom>
      <diagonal/>
    </border>
    <border>
      <left/>
      <right style="thin">
        <color indexed="64"/>
      </right>
      <top style="medium">
        <color indexed="64"/>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right style="thin">
        <color indexed="64"/>
      </right>
      <top style="medium">
        <color indexed="64"/>
      </top>
      <bottom style="thin">
        <color indexed="64"/>
      </bottom>
      <diagonal/>
    </border>
    <border>
      <left style="medium">
        <color theme="3"/>
      </left>
      <right/>
      <top style="medium">
        <color rgb="FF000000"/>
      </top>
      <bottom style="medium">
        <color rgb="FF000000"/>
      </bottom>
      <diagonal/>
    </border>
    <border>
      <left/>
      <right/>
      <top style="medium">
        <color rgb="FF000000"/>
      </top>
      <bottom/>
      <diagonal/>
    </border>
    <border>
      <left/>
      <right style="medium">
        <color theme="3"/>
      </right>
      <top style="medium">
        <color rgb="FF000000"/>
      </top>
      <bottom/>
      <diagonal/>
    </border>
    <border>
      <left style="medium">
        <color theme="3"/>
      </left>
      <right/>
      <top style="medium">
        <color rgb="FF000000"/>
      </top>
      <bottom/>
      <diagonal/>
    </border>
    <border>
      <left style="medium">
        <color rgb="FF000000"/>
      </left>
      <right style="thin">
        <color theme="0" tint="-0.24994659260841701"/>
      </right>
      <top/>
      <bottom style="medium">
        <color rgb="FF000000"/>
      </bottom>
      <diagonal/>
    </border>
    <border>
      <left style="thin">
        <color theme="0" tint="-0.24994659260841701"/>
      </left>
      <right style="thin">
        <color theme="0" tint="-0.24994659260841701"/>
      </right>
      <top/>
      <bottom style="medium">
        <color rgb="FF000000"/>
      </bottom>
      <diagonal/>
    </border>
    <border>
      <left style="thin">
        <color theme="0" tint="-0.24994659260841701"/>
      </left>
      <right style="medium">
        <color rgb="FF000000"/>
      </right>
      <top/>
      <bottom style="medium">
        <color rgb="FF000000"/>
      </bottom>
      <diagonal/>
    </border>
    <border>
      <left/>
      <right style="medium">
        <color theme="3"/>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rgb="FF000000"/>
      </right>
      <top/>
      <bottom/>
      <diagonal/>
    </border>
    <border>
      <left style="medium">
        <color rgb="FF000000"/>
      </left>
      <right style="thin">
        <color theme="0" tint="-0.24994659260841701"/>
      </right>
      <top style="medium">
        <color rgb="FF000000"/>
      </top>
      <bottom/>
      <diagonal/>
    </border>
    <border>
      <left style="thin">
        <color theme="0" tint="-0.24994659260841701"/>
      </left>
      <right style="thin">
        <color theme="0" tint="-0.24994659260841701"/>
      </right>
      <top style="medium">
        <color rgb="FF000000"/>
      </top>
      <bottom/>
      <diagonal/>
    </border>
    <border>
      <left style="thin">
        <color theme="0" tint="-0.24994659260841701"/>
      </left>
      <right style="medium">
        <color rgb="FF000000"/>
      </right>
      <top style="medium">
        <color rgb="FF000000"/>
      </top>
      <bottom/>
      <diagonal/>
    </border>
    <border>
      <left style="medium">
        <color rgb="FF000000"/>
      </left>
      <right style="thin">
        <color theme="0" tint="-0.24994659260841701"/>
      </right>
      <top style="medium">
        <color rgb="FF000000"/>
      </top>
      <bottom style="medium">
        <color rgb="FF000000"/>
      </bottom>
      <diagonal/>
    </border>
    <border>
      <left style="thin">
        <color theme="0" tint="-0.24994659260841701"/>
      </left>
      <right style="thin">
        <color theme="0" tint="-0.24994659260841701"/>
      </right>
      <top style="medium">
        <color rgb="FF000000"/>
      </top>
      <bottom style="medium">
        <color rgb="FF000000"/>
      </bottom>
      <diagonal/>
    </border>
    <border>
      <left style="thin">
        <color theme="0" tint="-0.24994659260841701"/>
      </left>
      <right style="medium">
        <color rgb="FF000000"/>
      </right>
      <top style="medium">
        <color rgb="FF000000"/>
      </top>
      <bottom style="medium">
        <color rgb="FF000000"/>
      </bottom>
      <diagonal/>
    </border>
    <border>
      <left/>
      <right style="medium">
        <color rgb="FF1F497D"/>
      </right>
      <top/>
      <bottom style="medium">
        <color theme="0" tint="-0.24994659260841701"/>
      </bottom>
      <diagonal/>
    </border>
    <border>
      <left/>
      <right style="medium">
        <color rgb="FF1F497D"/>
      </right>
      <top style="medium">
        <color theme="0" tint="-0.24994659260841701"/>
      </top>
      <bottom/>
      <diagonal/>
    </border>
    <border>
      <left style="medium">
        <color rgb="FF1F497D"/>
      </left>
      <right/>
      <top/>
      <bottom style="thin">
        <color theme="0" tint="-0.24994659260841701"/>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theme="4" tint="-0.24994659260841701"/>
      </left>
      <right style="medium">
        <color theme="4" tint="-0.24994659260841701"/>
      </right>
      <top style="medium">
        <color theme="4" tint="-0.24994659260841701"/>
      </top>
      <bottom style="thin">
        <color theme="0" tint="-0.499984740745262"/>
      </bottom>
      <diagonal/>
    </border>
    <border>
      <left style="medium">
        <color theme="4" tint="-0.24994659260841701"/>
      </left>
      <right style="medium">
        <color theme="4" tint="-0.24994659260841701"/>
      </right>
      <top/>
      <bottom/>
      <diagonal/>
    </border>
    <border>
      <left style="medium">
        <color theme="4" tint="-0.24994659260841701"/>
      </left>
      <right style="medium">
        <color theme="4" tint="-0.24994659260841701"/>
      </right>
      <top/>
      <bottom style="medium">
        <color theme="4" tint="-0.24994659260841701"/>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style="medium">
        <color rgb="FF1F497D"/>
      </left>
      <right style="thin">
        <color rgb="FF1F497D"/>
      </right>
      <top style="thin">
        <color rgb="FF1F497D"/>
      </top>
      <bottom style="thin">
        <color rgb="FF1F497D"/>
      </bottom>
      <diagonal/>
    </border>
    <border>
      <left style="thin">
        <color rgb="FF1F497D"/>
      </left>
      <right style="medium">
        <color rgb="FF1F497D"/>
      </right>
      <top style="thin">
        <color rgb="FF1F497D"/>
      </top>
      <bottom style="thin">
        <color rgb="FF1F497D"/>
      </bottom>
      <diagonal/>
    </border>
    <border>
      <left style="medium">
        <color rgb="FF1F497D"/>
      </left>
      <right style="thin">
        <color rgb="FF1F497D"/>
      </right>
      <top style="thin">
        <color rgb="FF1F497D"/>
      </top>
      <bottom style="medium">
        <color rgb="FF1F497D"/>
      </bottom>
      <diagonal/>
    </border>
    <border>
      <left style="thin">
        <color rgb="FF1F497D"/>
      </left>
      <right style="thin">
        <color rgb="FF1F497D"/>
      </right>
      <top style="thin">
        <color rgb="FF1F497D"/>
      </top>
      <bottom style="medium">
        <color rgb="FF1F497D"/>
      </bottom>
      <diagonal/>
    </border>
    <border>
      <left style="thin">
        <color rgb="FF1F497D"/>
      </left>
      <right style="medium">
        <color rgb="FF1F497D"/>
      </right>
      <top style="thin">
        <color rgb="FF1F497D"/>
      </top>
      <bottom style="medium">
        <color rgb="FF1F497D"/>
      </bottom>
      <diagonal/>
    </border>
    <border>
      <left style="medium">
        <color theme="3"/>
      </left>
      <right style="thin">
        <color theme="0" tint="-0.24994659260841701"/>
      </right>
      <top style="thin">
        <color theme="0" tint="-0.24994659260841701"/>
      </top>
      <bottom style="thin">
        <color theme="0" tint="-0.24994659260841701"/>
      </bottom>
      <diagonal/>
    </border>
    <border>
      <left style="medium">
        <color theme="3"/>
      </left>
      <right/>
      <top style="thin">
        <color theme="0" tint="-0.24994659260841701"/>
      </top>
      <bottom/>
      <diagonal/>
    </border>
    <border>
      <left style="medium">
        <color theme="3"/>
      </left>
      <right/>
      <top/>
      <bottom style="thin">
        <color theme="0" tint="-0.24994659260841701"/>
      </bottom>
      <diagonal/>
    </border>
    <border>
      <left style="medium">
        <color theme="3"/>
      </left>
      <right style="thin">
        <color indexed="64"/>
      </right>
      <top style="thin">
        <color indexed="64"/>
      </top>
      <bottom style="thin">
        <color indexed="64"/>
      </bottom>
      <diagonal/>
    </border>
    <border>
      <left style="medium">
        <color theme="3"/>
      </left>
      <right style="thin">
        <color indexed="64"/>
      </right>
      <top style="thin">
        <color indexed="64"/>
      </top>
      <bottom style="medium">
        <color theme="3"/>
      </bottom>
      <diagonal/>
    </border>
    <border>
      <left style="thin">
        <color indexed="64"/>
      </left>
      <right style="thin">
        <color indexed="64"/>
      </right>
      <top style="thin">
        <color indexed="64"/>
      </top>
      <bottom style="medium">
        <color theme="3"/>
      </bottom>
      <diagonal/>
    </border>
    <border>
      <left style="thin">
        <color indexed="64"/>
      </left>
      <right style="medium">
        <color rgb="FF1F497D"/>
      </right>
      <top style="thin">
        <color indexed="64"/>
      </top>
      <bottom style="medium">
        <color theme="3"/>
      </bottom>
      <diagonal/>
    </border>
    <border>
      <left/>
      <right/>
      <top style="medium">
        <color theme="1" tint="0.24994659260841701"/>
      </top>
      <bottom/>
      <diagonal/>
    </border>
    <border>
      <left style="medium">
        <color theme="1" tint="0.24994659260841701"/>
      </left>
      <right style="medium">
        <color theme="1" tint="0.24994659260841701"/>
      </right>
      <top/>
      <bottom style="medium">
        <color theme="1" tint="0.2499465926084170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theme="1" tint="0.24994659260841701"/>
      </left>
      <right style="medium">
        <color theme="1" tint="0.24994659260841701"/>
      </right>
      <top style="medium">
        <color theme="1" tint="0.24994659260841701"/>
      </top>
      <bottom/>
      <diagonal/>
    </border>
    <border>
      <left style="medium">
        <color theme="1" tint="0.24994659260841701"/>
      </left>
      <right style="medium">
        <color theme="1" tint="0.24994659260841701"/>
      </right>
      <top/>
      <bottom/>
      <diagonal/>
    </border>
    <border>
      <left/>
      <right style="dashDot">
        <color indexed="64"/>
      </right>
      <top/>
      <bottom/>
      <diagonal/>
    </border>
    <border>
      <left/>
      <right/>
      <top style="thin">
        <color indexed="64"/>
      </top>
      <bottom style="double">
        <color indexed="64"/>
      </bottom>
      <diagonal/>
    </border>
    <border>
      <left/>
      <right/>
      <top style="medium">
        <color indexed="64"/>
      </top>
      <bottom style="thin">
        <color indexed="64"/>
      </bottom>
      <diagonal/>
    </border>
    <border>
      <left/>
      <right style="medium">
        <color rgb="FF000000"/>
      </right>
      <top style="medium">
        <color indexed="64"/>
      </top>
      <bottom style="thin">
        <color indexed="64"/>
      </bottom>
      <diagonal/>
    </border>
    <border>
      <left/>
      <right style="medium">
        <color rgb="FF000000"/>
      </right>
      <top style="thin">
        <color indexed="64"/>
      </top>
      <bottom style="thin">
        <color indexed="64"/>
      </bottom>
      <diagonal/>
    </border>
    <border>
      <left style="medium">
        <color indexed="64"/>
      </left>
      <right style="thin">
        <color indexed="64"/>
      </right>
      <top/>
      <bottom/>
      <diagonal/>
    </border>
    <border>
      <left/>
      <right style="medium">
        <color rgb="FF000000"/>
      </right>
      <top style="thin">
        <color indexed="64"/>
      </top>
      <bottom style="medium">
        <color indexed="64"/>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rgb="FF000000"/>
      </right>
      <top style="thin">
        <color indexed="64"/>
      </top>
      <bottom/>
      <diagonal/>
    </border>
    <border>
      <left style="medium">
        <color theme="1"/>
      </left>
      <right/>
      <top style="medium">
        <color theme="1"/>
      </top>
      <bottom/>
      <diagonal/>
    </border>
    <border>
      <left style="thin">
        <color indexed="64"/>
      </left>
      <right/>
      <top style="medium">
        <color theme="1"/>
      </top>
      <bottom style="thin">
        <color indexed="64"/>
      </bottom>
      <diagonal/>
    </border>
    <border>
      <left/>
      <right/>
      <top style="medium">
        <color theme="1"/>
      </top>
      <bottom style="thin">
        <color indexed="64"/>
      </bottom>
      <diagonal/>
    </border>
    <border>
      <left/>
      <right style="medium">
        <color theme="1"/>
      </right>
      <top style="medium">
        <color theme="1"/>
      </top>
      <bottom style="thin">
        <color indexed="64"/>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right/>
      <top style="medium">
        <color theme="1"/>
      </top>
      <bottom/>
      <diagonal/>
    </border>
    <border>
      <left/>
      <right/>
      <top style="thin">
        <color theme="0" tint="-0.249977111117893"/>
      </top>
      <bottom/>
      <diagonal/>
    </border>
    <border>
      <left/>
      <right style="thin">
        <color theme="0" tint="-0.249977111117893"/>
      </right>
      <top style="thin">
        <color theme="0" tint="-0.249977111117893"/>
      </top>
      <bottom/>
      <diagonal/>
    </border>
    <border>
      <left/>
      <right style="thin">
        <color theme="0" tint="-0.249977111117893"/>
      </right>
      <top/>
      <bottom/>
      <diagonal/>
    </border>
    <border>
      <left style="medium">
        <color rgb="FF000000"/>
      </left>
      <right/>
      <top/>
      <bottom style="medium">
        <color indexed="64"/>
      </bottom>
      <diagonal/>
    </border>
    <border>
      <left/>
      <right style="medium">
        <color theme="3"/>
      </right>
      <top/>
      <bottom style="medium">
        <color indexed="64"/>
      </bottom>
      <diagonal/>
    </border>
  </borders>
  <cellStyleXfs count="43">
    <xf numFmtId="0" fontId="0" fillId="0" borderId="0"/>
    <xf numFmtId="0" fontId="18" fillId="2" borderId="1" applyNumberFormat="0" applyProtection="0">
      <alignment horizontal="left" vertical="center" readingOrder="1"/>
    </xf>
    <xf numFmtId="0" fontId="19" fillId="2" borderId="2">
      <alignment horizontal="left"/>
    </xf>
    <xf numFmtId="0" fontId="19" fillId="2" borderId="3">
      <alignment horizontal="right"/>
    </xf>
    <xf numFmtId="0" fontId="19" fillId="2" borderId="3">
      <alignment horizontal="left"/>
    </xf>
    <xf numFmtId="3" fontId="20" fillId="3" borderId="4">
      <alignment horizontal="right"/>
    </xf>
    <xf numFmtId="170" fontId="13" fillId="3" borderId="4">
      <alignment horizontal="right"/>
    </xf>
    <xf numFmtId="4" fontId="13" fillId="3" borderId="4">
      <alignment horizontal="right"/>
    </xf>
    <xf numFmtId="0" fontId="22" fillId="4" borderId="5" applyNumberFormat="0" applyAlignment="0" applyProtection="0"/>
    <xf numFmtId="0" fontId="20" fillId="3" borderId="6"/>
    <xf numFmtId="0" fontId="21" fillId="3" borderId="6"/>
    <xf numFmtId="165" fontId="24" fillId="0" borderId="0" applyFont="0" applyFill="0" applyBorder="0" applyAlignment="0" applyProtection="0"/>
    <xf numFmtId="165" fontId="14" fillId="0" borderId="0" applyFont="0" applyFill="0" applyBorder="0" applyAlignment="0" applyProtection="0"/>
    <xf numFmtId="0" fontId="26" fillId="0" borderId="0"/>
    <xf numFmtId="0" fontId="14" fillId="0" borderId="0"/>
    <xf numFmtId="9" fontId="10" fillId="0" borderId="0" applyFont="0" applyFill="0" applyBorder="0" applyAlignment="0" applyProtection="0"/>
    <xf numFmtId="9" fontId="24" fillId="0" borderId="0" applyFont="0" applyFill="0" applyBorder="0" applyAlignment="0" applyProtection="0"/>
    <xf numFmtId="9" fontId="14" fillId="0" borderId="0" applyFont="0" applyFill="0" applyBorder="0" applyAlignment="0" applyProtection="0"/>
    <xf numFmtId="9" fontId="26" fillId="0" borderId="0" applyFont="0" applyFill="0" applyBorder="0" applyAlignment="0" applyProtection="0"/>
    <xf numFmtId="0" fontId="9" fillId="0" borderId="0"/>
    <xf numFmtId="0" fontId="9" fillId="0" borderId="0"/>
    <xf numFmtId="9" fontId="10" fillId="0" borderId="0" applyFont="0" applyFill="0" applyBorder="0" applyAlignment="0" applyProtection="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8" fillId="0" borderId="0"/>
    <xf numFmtId="9" fontId="8" fillId="0" borderId="0" applyFont="0" applyFill="0" applyBorder="0" applyAlignment="0" applyProtection="0"/>
    <xf numFmtId="0" fontId="7" fillId="0" borderId="0"/>
    <xf numFmtId="0" fontId="6" fillId="0" borderId="0"/>
    <xf numFmtId="9" fontId="6" fillId="0" borderId="0" applyFont="0" applyFill="0" applyBorder="0" applyAlignment="0" applyProtection="0"/>
    <xf numFmtId="9" fontId="5" fillId="0" borderId="0" applyFont="0" applyFill="0" applyBorder="0" applyAlignment="0" applyProtection="0"/>
    <xf numFmtId="0" fontId="4" fillId="0" borderId="0"/>
    <xf numFmtId="0" fontId="3" fillId="0" borderId="0"/>
    <xf numFmtId="43" fontId="83" fillId="0" borderId="0" applyFont="0" applyFill="0" applyBorder="0" applyAlignment="0" applyProtection="0"/>
    <xf numFmtId="44" fontId="83" fillId="0" borderId="0" applyFont="0" applyFill="0" applyBorder="0" applyAlignment="0" applyProtection="0"/>
    <xf numFmtId="0" fontId="2" fillId="0" borderId="0"/>
    <xf numFmtId="0" fontId="90" fillId="0" borderId="0" applyNumberForma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164" fontId="2" fillId="0" borderId="0" applyFont="0" applyFill="0" applyBorder="0" applyAlignment="0" applyProtection="0"/>
    <xf numFmtId="0" fontId="103" fillId="0" borderId="0" applyNumberFormat="0" applyFill="0" applyBorder="0" applyAlignment="0" applyProtection="0"/>
  </cellStyleXfs>
  <cellXfs count="1242">
    <xf numFmtId="0" fontId="0" fillId="0" borderId="0" xfId="0"/>
    <xf numFmtId="9" fontId="0" fillId="0" borderId="0" xfId="15" applyFont="1" applyAlignment="1">
      <alignment horizontal="center"/>
    </xf>
    <xf numFmtId="0" fontId="0" fillId="0" borderId="0" xfId="0" applyAlignment="1">
      <alignment horizontal="center"/>
    </xf>
    <xf numFmtId="167" fontId="0" fillId="0" borderId="0" xfId="0" applyNumberFormat="1"/>
    <xf numFmtId="10" fontId="0" fillId="0" borderId="0" xfId="0" applyNumberFormat="1" applyAlignment="1">
      <alignment horizontal="center"/>
    </xf>
    <xf numFmtId="168" fontId="0" fillId="0" borderId="0" xfId="0" applyNumberFormat="1" applyAlignment="1">
      <alignment horizontal="center"/>
    </xf>
    <xf numFmtId="0" fontId="15" fillId="0" borderId="0" xfId="0" applyFont="1" applyAlignment="1">
      <alignment horizontal="center"/>
    </xf>
    <xf numFmtId="0" fontId="28" fillId="0" borderId="0" xfId="0" applyFont="1"/>
    <xf numFmtId="0" fontId="17" fillId="0" borderId="19" xfId="0" applyFont="1" applyBorder="1"/>
    <xf numFmtId="0" fontId="15" fillId="0" borderId="22" xfId="0" applyFont="1" applyBorder="1" applyAlignment="1">
      <alignment horizontal="center"/>
    </xf>
    <xf numFmtId="0" fontId="10" fillId="0" borderId="0" xfId="0" applyFont="1"/>
    <xf numFmtId="0" fontId="10" fillId="0" borderId="19" xfId="0" applyFont="1" applyBorder="1"/>
    <xf numFmtId="0" fontId="10" fillId="0" borderId="19" xfId="0" applyFont="1" applyBorder="1" applyAlignment="1">
      <alignment horizontal="left"/>
    </xf>
    <xf numFmtId="0" fontId="15" fillId="0" borderId="0" xfId="0" applyFont="1"/>
    <xf numFmtId="167" fontId="15" fillId="0" borderId="0" xfId="0" applyNumberFormat="1" applyFont="1" applyAlignment="1">
      <alignment horizontal="center"/>
    </xf>
    <xf numFmtId="9" fontId="15" fillId="0" borderId="0" xfId="15" applyFont="1"/>
    <xf numFmtId="9" fontId="10" fillId="8" borderId="19" xfId="15" applyFont="1" applyFill="1" applyBorder="1" applyAlignment="1">
      <alignment horizontal="center"/>
    </xf>
    <xf numFmtId="10" fontId="10" fillId="8" borderId="19" xfId="0" applyNumberFormat="1" applyFont="1" applyFill="1" applyBorder="1" applyAlignment="1">
      <alignment horizontal="center"/>
    </xf>
    <xf numFmtId="0" fontId="10" fillId="8" borderId="26" xfId="0" applyFont="1" applyFill="1" applyBorder="1" applyAlignment="1">
      <alignment horizontal="center" vertical="center"/>
    </xf>
    <xf numFmtId="0" fontId="28" fillId="8" borderId="0" xfId="0" applyFont="1" applyFill="1"/>
    <xf numFmtId="0" fontId="35" fillId="0" borderId="0" xfId="0" applyFont="1"/>
    <xf numFmtId="0" fontId="28" fillId="8" borderId="0" xfId="0" applyFont="1" applyFill="1" applyAlignment="1">
      <alignment horizontal="center"/>
    </xf>
    <xf numFmtId="0" fontId="21" fillId="3" borderId="6" xfId="10"/>
    <xf numFmtId="9" fontId="0" fillId="8" borderId="19" xfId="15" applyFont="1" applyFill="1" applyBorder="1" applyAlignment="1">
      <alignment horizontal="center"/>
    </xf>
    <xf numFmtId="0" fontId="0" fillId="0" borderId="43" xfId="0" applyBorder="1"/>
    <xf numFmtId="0" fontId="40" fillId="0" borderId="0" xfId="0" applyFont="1"/>
    <xf numFmtId="0" fontId="41" fillId="0" borderId="0" xfId="0" applyFont="1"/>
    <xf numFmtId="0" fontId="42" fillId="0" borderId="0" xfId="0" applyFont="1" applyAlignment="1">
      <alignment horizontal="center"/>
    </xf>
    <xf numFmtId="169" fontId="41" fillId="0" borderId="0" xfId="0" applyNumberFormat="1" applyFont="1" applyAlignment="1">
      <alignment horizontal="center"/>
    </xf>
    <xf numFmtId="0" fontId="43" fillId="0" borderId="0" xfId="0" applyFont="1"/>
    <xf numFmtId="0" fontId="44" fillId="0" borderId="0" xfId="0" applyFont="1"/>
    <xf numFmtId="0" fontId="0" fillId="0" borderId="12" xfId="0" applyBorder="1"/>
    <xf numFmtId="0" fontId="41" fillId="0" borderId="0" xfId="0" applyFont="1" applyAlignment="1">
      <alignment horizontal="center"/>
    </xf>
    <xf numFmtId="167" fontId="10" fillId="24" borderId="19" xfId="0" applyNumberFormat="1" applyFont="1" applyFill="1" applyBorder="1" applyAlignment="1">
      <alignment horizontal="center"/>
    </xf>
    <xf numFmtId="3" fontId="40" fillId="0" borderId="0" xfId="0" applyNumberFormat="1" applyFont="1"/>
    <xf numFmtId="0" fontId="42" fillId="17" borderId="0" xfId="0" applyFont="1" applyFill="1" applyAlignment="1">
      <alignment horizontal="center"/>
    </xf>
    <xf numFmtId="3" fontId="0" fillId="25" borderId="1" xfId="0" applyNumberFormat="1" applyFill="1" applyBorder="1" applyAlignment="1">
      <alignment horizontal="center"/>
    </xf>
    <xf numFmtId="3" fontId="0" fillId="25" borderId="45" xfId="0" applyNumberFormat="1" applyFill="1" applyBorder="1" applyAlignment="1">
      <alignment horizontal="center"/>
    </xf>
    <xf numFmtId="168" fontId="15" fillId="26" borderId="1" xfId="15" applyNumberFormat="1" applyFont="1" applyFill="1" applyBorder="1" applyAlignment="1">
      <alignment horizontal="center"/>
    </xf>
    <xf numFmtId="168" fontId="15" fillId="26" borderId="45" xfId="15" applyNumberFormat="1" applyFont="1" applyFill="1" applyBorder="1" applyAlignment="1">
      <alignment horizontal="center"/>
    </xf>
    <xf numFmtId="3" fontId="0" fillId="25" borderId="1" xfId="15" applyNumberFormat="1" applyFont="1" applyFill="1" applyBorder="1" applyAlignment="1">
      <alignment horizontal="center"/>
    </xf>
    <xf numFmtId="3" fontId="0" fillId="25" borderId="45" xfId="15" applyNumberFormat="1" applyFont="1" applyFill="1" applyBorder="1" applyAlignment="1">
      <alignment horizontal="center"/>
    </xf>
    <xf numFmtId="3" fontId="15" fillId="27" borderId="1" xfId="15" applyNumberFormat="1" applyFont="1" applyFill="1" applyBorder="1" applyAlignment="1">
      <alignment horizontal="center"/>
    </xf>
    <xf numFmtId="3" fontId="0" fillId="0" borderId="0" xfId="0" applyNumberFormat="1" applyAlignment="1">
      <alignment horizontal="center"/>
    </xf>
    <xf numFmtId="169" fontId="0" fillId="0" borderId="0" xfId="0" applyNumberFormat="1" applyAlignment="1">
      <alignment horizontal="center"/>
    </xf>
    <xf numFmtId="9" fontId="37" fillId="0" borderId="0" xfId="15" applyFont="1" applyFill="1" applyAlignment="1">
      <alignment horizontal="center"/>
    </xf>
    <xf numFmtId="168" fontId="37" fillId="0" borderId="0" xfId="15" applyNumberFormat="1" applyFont="1" applyFill="1" applyAlignment="1">
      <alignment horizontal="center"/>
    </xf>
    <xf numFmtId="9" fontId="37" fillId="0" borderId="0" xfId="21" applyFont="1" applyFill="1" applyAlignment="1">
      <alignment horizontal="center"/>
    </xf>
    <xf numFmtId="172" fontId="10" fillId="24" borderId="19" xfId="0" applyNumberFormat="1" applyFont="1" applyFill="1" applyBorder="1" applyAlignment="1">
      <alignment horizontal="center"/>
    </xf>
    <xf numFmtId="168" fontId="35" fillId="24" borderId="19" xfId="15" applyNumberFormat="1" applyFont="1" applyFill="1" applyBorder="1" applyAlignment="1">
      <alignment horizontal="center"/>
    </xf>
    <xf numFmtId="0" fontId="15" fillId="0" borderId="37" xfId="0" applyFont="1" applyBorder="1"/>
    <xf numFmtId="0" fontId="19" fillId="5" borderId="8" xfId="4" applyFill="1" applyBorder="1" applyAlignment="1"/>
    <xf numFmtId="0" fontId="10" fillId="0" borderId="0" xfId="25"/>
    <xf numFmtId="0" fontId="29" fillId="5" borderId="7" xfId="25" applyFont="1" applyFill="1" applyBorder="1" applyAlignment="1">
      <alignment horizontal="center"/>
    </xf>
    <xf numFmtId="0" fontId="29" fillId="5" borderId="11" xfId="25" applyFont="1" applyFill="1" applyBorder="1" applyAlignment="1">
      <alignment horizontal="center"/>
    </xf>
    <xf numFmtId="0" fontId="31" fillId="3" borderId="10" xfId="10" applyFont="1" applyBorder="1"/>
    <xf numFmtId="0" fontId="10" fillId="0" borderId="0" xfId="25" applyAlignment="1">
      <alignment vertical="center"/>
    </xf>
    <xf numFmtId="0" fontId="31" fillId="3" borderId="13" xfId="10" applyFont="1" applyBorder="1"/>
    <xf numFmtId="0" fontId="31" fillId="0" borderId="10" xfId="10" applyFont="1" applyFill="1" applyBorder="1"/>
    <xf numFmtId="0" fontId="22" fillId="0" borderId="0" xfId="8" applyFill="1" applyBorder="1"/>
    <xf numFmtId="9" fontId="10" fillId="0" borderId="0" xfId="27" applyFont="1"/>
    <xf numFmtId="0" fontId="32" fillId="0" borderId="0" xfId="42" applyFont="1" applyAlignment="1" applyProtection="1"/>
    <xf numFmtId="0" fontId="29" fillId="29" borderId="0" xfId="25" applyFont="1" applyFill="1" applyAlignment="1">
      <alignment horizontal="center" vertical="center"/>
    </xf>
    <xf numFmtId="0" fontId="30" fillId="0" borderId="9" xfId="9" applyFont="1" applyFill="1" applyBorder="1"/>
    <xf numFmtId="0" fontId="21" fillId="3" borderId="13" xfId="10" applyBorder="1"/>
    <xf numFmtId="0" fontId="21" fillId="3" borderId="10" xfId="10" applyBorder="1"/>
    <xf numFmtId="0" fontId="28" fillId="0" borderId="0" xfId="25" applyFont="1"/>
    <xf numFmtId="0" fontId="15" fillId="0" borderId="32" xfId="0" applyFont="1" applyBorder="1"/>
    <xf numFmtId="0" fontId="15" fillId="0" borderId="38" xfId="0" applyFont="1" applyBorder="1"/>
    <xf numFmtId="0" fontId="0" fillId="0" borderId="4" xfId="0" applyBorder="1"/>
    <xf numFmtId="0" fontId="0" fillId="0" borderId="6" xfId="0" applyBorder="1"/>
    <xf numFmtId="0" fontId="0" fillId="0" borderId="36" xfId="0" applyBorder="1"/>
    <xf numFmtId="0" fontId="0" fillId="0" borderId="2" xfId="0" applyBorder="1"/>
    <xf numFmtId="0" fontId="0" fillId="0" borderId="37" xfId="0" applyBorder="1"/>
    <xf numFmtId="0" fontId="0" fillId="0" borderId="32" xfId="0" applyBorder="1"/>
    <xf numFmtId="0" fontId="0" fillId="0" borderId="38" xfId="0" applyBorder="1"/>
    <xf numFmtId="0" fontId="15" fillId="0" borderId="44" xfId="0" applyFont="1" applyBorder="1"/>
    <xf numFmtId="0" fontId="15" fillId="0" borderId="1" xfId="0" applyFont="1" applyBorder="1"/>
    <xf numFmtId="0" fontId="15" fillId="0" borderId="45" xfId="0" applyFont="1" applyBorder="1"/>
    <xf numFmtId="0" fontId="29" fillId="32" borderId="28" xfId="0" applyFont="1" applyFill="1" applyBorder="1" applyAlignment="1">
      <alignment horizontal="center"/>
    </xf>
    <xf numFmtId="0" fontId="29" fillId="32" borderId="25" xfId="0" applyFont="1" applyFill="1" applyBorder="1" applyAlignment="1">
      <alignment horizontal="center"/>
    </xf>
    <xf numFmtId="9" fontId="35" fillId="8" borderId="52" xfId="15" applyFont="1" applyFill="1" applyBorder="1" applyAlignment="1">
      <alignment horizontal="center"/>
    </xf>
    <xf numFmtId="9" fontId="10" fillId="8" borderId="52" xfId="15" applyFont="1" applyFill="1" applyBorder="1" applyAlignment="1">
      <alignment horizontal="center"/>
    </xf>
    <xf numFmtId="0" fontId="15" fillId="0" borderId="52" xfId="0" applyFont="1" applyBorder="1" applyAlignment="1">
      <alignment horizontal="center"/>
    </xf>
    <xf numFmtId="168" fontId="35" fillId="24" borderId="52" xfId="15" applyNumberFormat="1" applyFont="1" applyFill="1" applyBorder="1" applyAlignment="1">
      <alignment horizontal="center"/>
    </xf>
    <xf numFmtId="0" fontId="29" fillId="32" borderId="19" xfId="0" applyFont="1" applyFill="1" applyBorder="1" applyAlignment="1">
      <alignment horizontal="center" vertical="center" wrapText="1"/>
    </xf>
    <xf numFmtId="0" fontId="29" fillId="32" borderId="19" xfId="0" applyFont="1" applyFill="1" applyBorder="1" applyAlignment="1">
      <alignment horizontal="center"/>
    </xf>
    <xf numFmtId="0" fontId="29" fillId="32" borderId="23" xfId="0" applyFont="1" applyFill="1" applyBorder="1" applyAlignment="1">
      <alignment horizontal="center" vertical="center" wrapText="1"/>
    </xf>
    <xf numFmtId="0" fontId="29" fillId="32" borderId="52" xfId="0" applyFont="1" applyFill="1" applyBorder="1" applyAlignment="1">
      <alignment horizontal="center"/>
    </xf>
    <xf numFmtId="3" fontId="10" fillId="0" borderId="0" xfId="0" applyNumberFormat="1" applyFont="1"/>
    <xf numFmtId="0" fontId="10" fillId="17" borderId="44" xfId="0" applyFont="1" applyFill="1" applyBorder="1"/>
    <xf numFmtId="0" fontId="10" fillId="0" borderId="44" xfId="0" applyFont="1" applyBorder="1" applyAlignment="1">
      <alignment horizontal="left" indent="1"/>
    </xf>
    <xf numFmtId="0" fontId="10" fillId="0" borderId="44" xfId="0" applyFont="1" applyBorder="1" applyAlignment="1">
      <alignment horizontal="left"/>
    </xf>
    <xf numFmtId="0" fontId="10" fillId="17" borderId="44" xfId="0" applyFont="1" applyFill="1" applyBorder="1" applyAlignment="1">
      <alignment horizontal="left" indent="1"/>
    </xf>
    <xf numFmtId="0" fontId="15" fillId="0" borderId="44" xfId="0" applyFont="1" applyBorder="1" applyAlignment="1">
      <alignment horizontal="left"/>
    </xf>
    <xf numFmtId="0" fontId="15" fillId="17" borderId="44" xfId="0" applyFont="1" applyFill="1" applyBorder="1"/>
    <xf numFmtId="0" fontId="10" fillId="0" borderId="44" xfId="0" applyFont="1" applyBorder="1"/>
    <xf numFmtId="173" fontId="10" fillId="24" borderId="19" xfId="0" applyNumberFormat="1" applyFont="1" applyFill="1" applyBorder="1" applyAlignment="1">
      <alignment horizontal="center"/>
    </xf>
    <xf numFmtId="9" fontId="10" fillId="24" borderId="19" xfId="15" applyFont="1" applyFill="1" applyBorder="1" applyAlignment="1">
      <alignment horizontal="center"/>
    </xf>
    <xf numFmtId="172" fontId="10" fillId="0" borderId="19" xfId="0" applyNumberFormat="1" applyFont="1" applyBorder="1" applyAlignment="1">
      <alignment horizontal="center"/>
    </xf>
    <xf numFmtId="167" fontId="10" fillId="7" borderId="19" xfId="0" applyNumberFormat="1" applyFont="1" applyFill="1" applyBorder="1" applyAlignment="1">
      <alignment horizontal="center"/>
    </xf>
    <xf numFmtId="4" fontId="10" fillId="7" borderId="19" xfId="0" applyNumberFormat="1" applyFont="1" applyFill="1" applyBorder="1" applyAlignment="1">
      <alignment horizontal="center"/>
    </xf>
    <xf numFmtId="9" fontId="35" fillId="7" borderId="52" xfId="15" applyFont="1" applyFill="1" applyBorder="1" applyAlignment="1">
      <alignment horizontal="center"/>
    </xf>
    <xf numFmtId="0" fontId="10" fillId="7" borderId="19" xfId="0" applyFont="1" applyFill="1" applyBorder="1"/>
    <xf numFmtId="9" fontId="10" fillId="7" borderId="19" xfId="15" applyFont="1" applyFill="1" applyBorder="1" applyAlignment="1">
      <alignment horizontal="center"/>
    </xf>
    <xf numFmtId="168" fontId="10" fillId="7" borderId="19" xfId="15" applyNumberFormat="1" applyFont="1" applyFill="1" applyBorder="1" applyAlignment="1">
      <alignment horizontal="center"/>
    </xf>
    <xf numFmtId="9" fontId="10" fillId="7" borderId="19" xfId="15" applyFont="1" applyFill="1" applyBorder="1"/>
    <xf numFmtId="173" fontId="35" fillId="8" borderId="52" xfId="15" applyNumberFormat="1" applyFont="1" applyFill="1" applyBorder="1" applyAlignment="1">
      <alignment horizontal="center"/>
    </xf>
    <xf numFmtId="173" fontId="10" fillId="8" borderId="52" xfId="0" applyNumberFormat="1" applyFont="1" applyFill="1" applyBorder="1" applyAlignment="1">
      <alignment horizontal="center"/>
    </xf>
    <xf numFmtId="0" fontId="49" fillId="32" borderId="52" xfId="0" applyFont="1" applyFill="1" applyBorder="1" applyAlignment="1">
      <alignment horizontal="center"/>
    </xf>
    <xf numFmtId="0" fontId="50" fillId="32" borderId="52" xfId="0" applyFont="1" applyFill="1" applyBorder="1" applyAlignment="1">
      <alignment horizontal="center"/>
    </xf>
    <xf numFmtId="167" fontId="15" fillId="24" borderId="19" xfId="0" applyNumberFormat="1" applyFont="1" applyFill="1" applyBorder="1" applyAlignment="1">
      <alignment horizontal="center"/>
    </xf>
    <xf numFmtId="0" fontId="15" fillId="14" borderId="12" xfId="0" applyFont="1" applyFill="1" applyBorder="1" applyAlignment="1">
      <alignment horizontal="center"/>
    </xf>
    <xf numFmtId="0" fontId="0" fillId="0" borderId="50" xfId="0" applyBorder="1"/>
    <xf numFmtId="0" fontId="0" fillId="0" borderId="71" xfId="0" applyBorder="1"/>
    <xf numFmtId="0" fontId="15" fillId="0" borderId="89" xfId="0" applyFont="1" applyBorder="1" applyAlignment="1">
      <alignment horizontal="left"/>
    </xf>
    <xf numFmtId="0" fontId="15" fillId="0" borderId="90" xfId="0" applyFont="1" applyBorder="1" applyAlignment="1">
      <alignment horizontal="left"/>
    </xf>
    <xf numFmtId="167" fontId="15" fillId="0" borderId="76" xfId="0" applyNumberFormat="1" applyFont="1" applyBorder="1" applyAlignment="1">
      <alignment horizontal="center"/>
    </xf>
    <xf numFmtId="9" fontId="0" fillId="0" borderId="90" xfId="15" applyFont="1" applyBorder="1"/>
    <xf numFmtId="9" fontId="0" fillId="0" borderId="91" xfId="15" applyFont="1" applyBorder="1"/>
    <xf numFmtId="0" fontId="15" fillId="0" borderId="89" xfId="0" applyFont="1" applyBorder="1" applyAlignment="1">
      <alignment horizontal="center"/>
    </xf>
    <xf numFmtId="9" fontId="0" fillId="0" borderId="67" xfId="0" applyNumberFormat="1" applyBorder="1"/>
    <xf numFmtId="167" fontId="0" fillId="0" borderId="84" xfId="0" applyNumberFormat="1" applyBorder="1" applyAlignment="1">
      <alignment horizontal="center"/>
    </xf>
    <xf numFmtId="167" fontId="0" fillId="0" borderId="87" xfId="0" applyNumberFormat="1" applyBorder="1" applyAlignment="1">
      <alignment horizontal="center"/>
    </xf>
    <xf numFmtId="0" fontId="0" fillId="33" borderId="92" xfId="0" applyFill="1" applyBorder="1"/>
    <xf numFmtId="0" fontId="0" fillId="33" borderId="93" xfId="0" applyFill="1" applyBorder="1"/>
    <xf numFmtId="10" fontId="0" fillId="33" borderId="93" xfId="0" applyNumberFormat="1" applyFill="1" applyBorder="1"/>
    <xf numFmtId="10" fontId="0" fillId="33" borderId="94" xfId="0" applyNumberFormat="1" applyFill="1" applyBorder="1"/>
    <xf numFmtId="0" fontId="15" fillId="8" borderId="39" xfId="0" applyFont="1" applyFill="1" applyBorder="1" applyAlignment="1">
      <alignment horizontal="center"/>
    </xf>
    <xf numFmtId="9" fontId="0" fillId="0" borderId="95" xfId="15" applyFont="1" applyBorder="1"/>
    <xf numFmtId="0" fontId="15" fillId="0" borderId="95" xfId="0" applyFont="1" applyBorder="1"/>
    <xf numFmtId="0" fontId="15" fillId="14" borderId="66" xfId="0" applyFont="1" applyFill="1" applyBorder="1" applyAlignment="1">
      <alignment horizontal="center"/>
    </xf>
    <xf numFmtId="9" fontId="15" fillId="14" borderId="66" xfId="15" applyFont="1" applyFill="1" applyBorder="1" applyAlignment="1">
      <alignment horizontal="center"/>
    </xf>
    <xf numFmtId="0" fontId="15" fillId="0" borderId="66" xfId="0" applyFont="1" applyBorder="1" applyAlignment="1">
      <alignment horizontal="center"/>
    </xf>
    <xf numFmtId="167" fontId="0" fillId="0" borderId="96" xfId="0" applyNumberFormat="1" applyBorder="1" applyAlignment="1">
      <alignment horizontal="center"/>
    </xf>
    <xf numFmtId="0" fontId="15" fillId="0" borderId="98" xfId="0" applyFont="1" applyBorder="1"/>
    <xf numFmtId="0" fontId="15" fillId="0" borderId="97" xfId="0" applyFont="1" applyBorder="1" applyAlignment="1">
      <alignment horizontal="center"/>
    </xf>
    <xf numFmtId="0" fontId="0" fillId="0" borderId="68" xfId="0" applyBorder="1"/>
    <xf numFmtId="0" fontId="12" fillId="0" borderId="69" xfId="42" applyFont="1" applyBorder="1" applyAlignment="1" applyProtection="1">
      <alignment horizontal="center"/>
    </xf>
    <xf numFmtId="0" fontId="0" fillId="0" borderId="69" xfId="0" applyBorder="1" applyAlignment="1">
      <alignment horizontal="center"/>
    </xf>
    <xf numFmtId="0" fontId="0" fillId="0" borderId="69" xfId="0" applyBorder="1"/>
    <xf numFmtId="0" fontId="0" fillId="0" borderId="70" xfId="0" applyBorder="1"/>
    <xf numFmtId="0" fontId="0" fillId="0" borderId="51" xfId="0" applyBorder="1"/>
    <xf numFmtId="0" fontId="0" fillId="0" borderId="76" xfId="0" applyBorder="1"/>
    <xf numFmtId="0" fontId="0" fillId="0" borderId="76" xfId="0" applyBorder="1" applyAlignment="1">
      <alignment horizontal="center"/>
    </xf>
    <xf numFmtId="0" fontId="0" fillId="0" borderId="77" xfId="0" applyBorder="1"/>
    <xf numFmtId="9" fontId="0" fillId="0" borderId="0" xfId="0" applyNumberFormat="1"/>
    <xf numFmtId="0" fontId="15" fillId="14" borderId="94" xfId="0" applyFont="1" applyFill="1" applyBorder="1" applyAlignment="1">
      <alignment horizontal="center"/>
    </xf>
    <xf numFmtId="0" fontId="0" fillId="33" borderId="73" xfId="0" applyFill="1" applyBorder="1"/>
    <xf numFmtId="0" fontId="0" fillId="33" borderId="75" xfId="0" applyFill="1" applyBorder="1"/>
    <xf numFmtId="0" fontId="15" fillId="0" borderId="73" xfId="0" applyFont="1" applyBorder="1" applyAlignment="1">
      <alignment horizontal="center"/>
    </xf>
    <xf numFmtId="167" fontId="0" fillId="0" borderId="85" xfId="0" applyNumberFormat="1" applyBorder="1" applyAlignment="1">
      <alignment horizontal="center"/>
    </xf>
    <xf numFmtId="167" fontId="0" fillId="0" borderId="88" xfId="0" applyNumberFormat="1" applyBorder="1" applyAlignment="1">
      <alignment horizontal="center"/>
    </xf>
    <xf numFmtId="0" fontId="15" fillId="8" borderId="9" xfId="0" applyFont="1" applyFill="1" applyBorder="1" applyAlignment="1">
      <alignment horizontal="center"/>
    </xf>
    <xf numFmtId="173" fontId="0" fillId="0" borderId="101" xfId="0" applyNumberFormat="1" applyBorder="1" applyAlignment="1">
      <alignment horizontal="center"/>
    </xf>
    <xf numFmtId="173" fontId="0" fillId="0" borderId="103" xfId="0" applyNumberFormat="1" applyBorder="1" applyAlignment="1">
      <alignment horizontal="center"/>
    </xf>
    <xf numFmtId="0" fontId="0" fillId="31" borderId="74" xfId="0" applyFill="1" applyBorder="1"/>
    <xf numFmtId="0" fontId="29" fillId="31" borderId="74" xfId="0" applyFont="1" applyFill="1" applyBorder="1" applyAlignment="1">
      <alignment horizontal="left"/>
    </xf>
    <xf numFmtId="9" fontId="0" fillId="31" borderId="74" xfId="15" applyFont="1" applyFill="1" applyBorder="1" applyAlignment="1">
      <alignment horizontal="center" vertical="center"/>
    </xf>
    <xf numFmtId="171" fontId="29" fillId="31" borderId="75" xfId="0" applyNumberFormat="1" applyFont="1" applyFill="1" applyBorder="1" applyAlignment="1">
      <alignment horizontal="center" vertical="center"/>
    </xf>
    <xf numFmtId="0" fontId="15" fillId="17" borderId="107" xfId="0" applyFont="1" applyFill="1" applyBorder="1"/>
    <xf numFmtId="0" fontId="15" fillId="17" borderId="109" xfId="0" applyFont="1" applyFill="1" applyBorder="1"/>
    <xf numFmtId="173" fontId="0" fillId="0" borderId="110" xfId="0" applyNumberFormat="1" applyBorder="1" applyAlignment="1">
      <alignment horizontal="center"/>
    </xf>
    <xf numFmtId="173" fontId="0" fillId="0" borderId="108" xfId="0" applyNumberFormat="1" applyBorder="1" applyAlignment="1">
      <alignment horizontal="center"/>
    </xf>
    <xf numFmtId="173" fontId="0" fillId="0" borderId="111" xfId="0" applyNumberFormat="1" applyBorder="1" applyAlignment="1">
      <alignment horizontal="center"/>
    </xf>
    <xf numFmtId="0" fontId="29" fillId="32" borderId="112" xfId="0" applyFont="1" applyFill="1" applyBorder="1" applyAlignment="1">
      <alignment horizontal="center"/>
    </xf>
    <xf numFmtId="0" fontId="0" fillId="32" borderId="113" xfId="0" applyFill="1" applyBorder="1"/>
    <xf numFmtId="0" fontId="0" fillId="32" borderId="114" xfId="0" applyFill="1" applyBorder="1"/>
    <xf numFmtId="0" fontId="29" fillId="32" borderId="107" xfId="0" applyFont="1" applyFill="1" applyBorder="1" applyAlignment="1">
      <alignment horizontal="center"/>
    </xf>
    <xf numFmtId="0" fontId="0" fillId="32" borderId="103" xfId="0" applyFill="1" applyBorder="1"/>
    <xf numFmtId="0" fontId="0" fillId="32" borderId="108" xfId="0" applyFill="1" applyBorder="1"/>
    <xf numFmtId="0" fontId="15" fillId="0" borderId="105" xfId="0" applyFont="1" applyBorder="1" applyAlignment="1">
      <alignment horizontal="left" vertical="center"/>
    </xf>
    <xf numFmtId="0" fontId="48" fillId="5" borderId="73" xfId="0" applyFont="1" applyFill="1" applyBorder="1" applyAlignment="1">
      <alignment horizontal="left" vertical="center"/>
    </xf>
    <xf numFmtId="0" fontId="48" fillId="31" borderId="73" xfId="0" applyFont="1" applyFill="1" applyBorder="1" applyAlignment="1">
      <alignment horizontal="left" vertical="center"/>
    </xf>
    <xf numFmtId="0" fontId="48" fillId="13" borderId="75" xfId="0" applyFont="1" applyFill="1" applyBorder="1" applyAlignment="1">
      <alignment horizontal="center"/>
    </xf>
    <xf numFmtId="0" fontId="15" fillId="8" borderId="105" xfId="0" applyFont="1" applyFill="1" applyBorder="1" applyAlignment="1">
      <alignment horizontal="left" vertical="center"/>
    </xf>
    <xf numFmtId="0" fontId="15" fillId="8" borderId="107" xfId="0" applyFont="1" applyFill="1" applyBorder="1" applyAlignment="1">
      <alignment horizontal="left" vertical="center"/>
    </xf>
    <xf numFmtId="0" fontId="0" fillId="31" borderId="74" xfId="0" applyFill="1" applyBorder="1" applyAlignment="1">
      <alignment horizontal="center"/>
    </xf>
    <xf numFmtId="0" fontId="10" fillId="0" borderId="68" xfId="0" applyFont="1" applyBorder="1"/>
    <xf numFmtId="0" fontId="51" fillId="5" borderId="65" xfId="0" applyFont="1" applyFill="1" applyBorder="1" applyAlignment="1">
      <alignment horizontal="center"/>
    </xf>
    <xf numFmtId="0" fontId="51" fillId="5" borderId="65" xfId="0" applyFont="1" applyFill="1" applyBorder="1"/>
    <xf numFmtId="0" fontId="0" fillId="0" borderId="65" xfId="0" applyBorder="1"/>
    <xf numFmtId="173" fontId="0" fillId="24" borderId="103" xfId="0" applyNumberFormat="1" applyFill="1" applyBorder="1" applyAlignment="1">
      <alignment horizontal="center"/>
    </xf>
    <xf numFmtId="173" fontId="0" fillId="24" borderId="110" xfId="0" applyNumberFormat="1" applyFill="1" applyBorder="1" applyAlignment="1">
      <alignment horizontal="center"/>
    </xf>
    <xf numFmtId="0" fontId="31" fillId="0" borderId="10" xfId="25" applyFont="1" applyBorder="1" applyAlignment="1">
      <alignment horizontal="center"/>
    </xf>
    <xf numFmtId="0" fontId="31" fillId="0" borderId="16" xfId="25" applyFont="1" applyBorder="1" applyAlignment="1">
      <alignment horizontal="center"/>
    </xf>
    <xf numFmtId="0" fontId="31" fillId="0" borderId="10" xfId="25" applyFont="1" applyBorder="1" applyAlignment="1">
      <alignment horizontal="center" vertical="center"/>
    </xf>
    <xf numFmtId="0" fontId="31" fillId="0" borderId="16" xfId="25" applyFont="1" applyBorder="1" applyAlignment="1">
      <alignment horizontal="center" vertical="center"/>
    </xf>
    <xf numFmtId="0" fontId="31" fillId="0" borderId="14" xfId="25" applyFont="1" applyBorder="1" applyAlignment="1">
      <alignment horizontal="center"/>
    </xf>
    <xf numFmtId="0" fontId="31" fillId="0" borderId="17" xfId="25" applyFont="1" applyBorder="1" applyAlignment="1">
      <alignment horizontal="center"/>
    </xf>
    <xf numFmtId="0" fontId="52" fillId="5" borderId="118" xfId="4" applyFont="1" applyFill="1" applyBorder="1" applyAlignment="1">
      <alignment horizontal="center" vertical="center"/>
    </xf>
    <xf numFmtId="0" fontId="52" fillId="5" borderId="118" xfId="3" applyFont="1" applyFill="1" applyBorder="1" applyAlignment="1">
      <alignment horizontal="center" vertical="center" wrapText="1"/>
    </xf>
    <xf numFmtId="0" fontId="52" fillId="5" borderId="118" xfId="3" applyFont="1" applyFill="1" applyBorder="1" applyAlignment="1">
      <alignment horizontal="center" vertical="center"/>
    </xf>
    <xf numFmtId="0" fontId="10" fillId="3" borderId="118" xfId="10" applyFont="1" applyBorder="1" applyAlignment="1">
      <alignment horizontal="center" vertical="center"/>
    </xf>
    <xf numFmtId="170" fontId="10" fillId="8" borderId="118" xfId="6" applyFont="1" applyFill="1" applyBorder="1" applyAlignment="1">
      <alignment horizontal="right" vertical="center" wrapText="1"/>
    </xf>
    <xf numFmtId="0" fontId="31" fillId="3" borderId="118" xfId="10" applyFont="1" applyBorder="1" applyAlignment="1">
      <alignment vertical="center"/>
    </xf>
    <xf numFmtId="170" fontId="10" fillId="3" borderId="118" xfId="6" applyFont="1" applyBorder="1" applyAlignment="1">
      <alignment horizontal="right" vertical="center" wrapText="1"/>
    </xf>
    <xf numFmtId="0" fontId="31" fillId="3" borderId="118" xfId="10" applyFont="1" applyBorder="1" applyAlignment="1">
      <alignment horizontal="center" vertical="center"/>
    </xf>
    <xf numFmtId="3" fontId="15" fillId="34" borderId="120" xfId="5" applyFont="1" applyFill="1" applyBorder="1" applyAlignment="1">
      <alignment horizontal="center" vertical="center"/>
    </xf>
    <xf numFmtId="0" fontId="15" fillId="0" borderId="0" xfId="25" applyFont="1" applyAlignment="1">
      <alignment vertical="center"/>
    </xf>
    <xf numFmtId="0" fontId="10" fillId="12" borderId="0" xfId="25" applyFill="1" applyAlignment="1">
      <alignment vertical="center"/>
    </xf>
    <xf numFmtId="0" fontId="30" fillId="0" borderId="118" xfId="9" applyFont="1" applyFill="1" applyBorder="1" applyAlignment="1">
      <alignment horizontal="center" vertical="center"/>
    </xf>
    <xf numFmtId="3" fontId="53" fillId="34" borderId="119" xfId="5" applyFont="1" applyFill="1" applyBorder="1" applyAlignment="1">
      <alignment horizontal="right" vertical="center"/>
    </xf>
    <xf numFmtId="3" fontId="53" fillId="34" borderId="120" xfId="5" applyFont="1" applyFill="1" applyBorder="1" applyAlignment="1">
      <alignment horizontal="right" vertical="center"/>
    </xf>
    <xf numFmtId="3" fontId="53" fillId="34" borderId="121" xfId="5" applyFont="1" applyFill="1" applyBorder="1" applyAlignment="1">
      <alignment horizontal="right" vertical="center"/>
    </xf>
    <xf numFmtId="170" fontId="10" fillId="3" borderId="118" xfId="6" applyFont="1" applyBorder="1" applyAlignment="1">
      <alignment horizontal="center" vertical="center"/>
    </xf>
    <xf numFmtId="4" fontId="34" fillId="0" borderId="118" xfId="7" applyFont="1" applyFill="1" applyBorder="1" applyAlignment="1">
      <alignment horizontal="right" vertical="center"/>
    </xf>
    <xf numFmtId="0" fontId="0" fillId="34" borderId="120" xfId="0" applyFill="1" applyBorder="1" applyAlignment="1">
      <alignment horizontal="center" vertical="center"/>
    </xf>
    <xf numFmtId="4" fontId="10" fillId="34" borderId="120" xfId="7" applyFont="1" applyFill="1" applyBorder="1" applyAlignment="1">
      <alignment horizontal="right" vertical="center"/>
    </xf>
    <xf numFmtId="3" fontId="15" fillId="34" borderId="121" xfId="5" applyFont="1" applyFill="1" applyBorder="1" applyAlignment="1">
      <alignment horizontal="right" vertical="center" wrapText="1"/>
    </xf>
    <xf numFmtId="4" fontId="10" fillId="3" borderId="118" xfId="7" applyFont="1" applyBorder="1" applyAlignment="1">
      <alignment horizontal="center" vertical="center"/>
    </xf>
    <xf numFmtId="4" fontId="10" fillId="3" borderId="118" xfId="7" applyFont="1" applyBorder="1" applyAlignment="1">
      <alignment horizontal="right" vertical="center" wrapText="1"/>
    </xf>
    <xf numFmtId="0" fontId="31" fillId="0" borderId="118" xfId="10" applyFont="1" applyFill="1" applyBorder="1" applyAlignment="1">
      <alignment vertical="center"/>
    </xf>
    <xf numFmtId="0" fontId="10" fillId="0" borderId="118" xfId="10" applyFont="1" applyFill="1" applyBorder="1" applyAlignment="1">
      <alignment horizontal="center" vertical="center"/>
    </xf>
    <xf numFmtId="0" fontId="10" fillId="0" borderId="118" xfId="26" applyFont="1" applyBorder="1" applyAlignment="1">
      <alignment horizontal="right" vertical="center" wrapText="1"/>
    </xf>
    <xf numFmtId="3" fontId="15" fillId="34" borderId="119" xfId="5" applyFont="1" applyFill="1" applyBorder="1" applyAlignment="1">
      <alignment horizontal="right" vertical="center"/>
    </xf>
    <xf numFmtId="4" fontId="10" fillId="6" borderId="118" xfId="7" applyFont="1" applyFill="1" applyBorder="1" applyAlignment="1">
      <alignment horizontal="right" vertical="center"/>
    </xf>
    <xf numFmtId="4" fontId="10" fillId="6" borderId="118" xfId="7" applyFont="1" applyFill="1" applyBorder="1" applyAlignment="1">
      <alignment horizontal="center" vertical="center"/>
    </xf>
    <xf numFmtId="0" fontId="31" fillId="3" borderId="118" xfId="10" applyFont="1" applyBorder="1" applyAlignment="1">
      <alignment vertical="center" wrapText="1"/>
    </xf>
    <xf numFmtId="4" fontId="10" fillId="0" borderId="118" xfId="7" applyFont="1" applyFill="1" applyBorder="1" applyAlignment="1">
      <alignment horizontal="center" vertical="center"/>
    </xf>
    <xf numFmtId="0" fontId="52" fillId="32" borderId="118" xfId="3" applyFont="1" applyFill="1" applyBorder="1" applyAlignment="1">
      <alignment horizontal="center" vertical="center" wrapText="1"/>
    </xf>
    <xf numFmtId="0" fontId="10" fillId="0" borderId="118" xfId="25" applyBorder="1"/>
    <xf numFmtId="0" fontId="10" fillId="0" borderId="118" xfId="25" applyBorder="1" applyAlignment="1">
      <alignment vertical="center"/>
    </xf>
    <xf numFmtId="0" fontId="37" fillId="12" borderId="118" xfId="25" applyFont="1" applyFill="1" applyBorder="1" applyAlignment="1">
      <alignment horizontal="center" vertical="center"/>
    </xf>
    <xf numFmtId="0" fontId="55" fillId="0" borderId="0" xfId="0" applyFont="1"/>
    <xf numFmtId="0" fontId="57" fillId="0" borderId="0" xfId="0" applyFont="1"/>
    <xf numFmtId="0" fontId="15" fillId="0" borderId="38" xfId="0" applyFont="1" applyBorder="1" applyAlignment="1">
      <alignment horizontal="center"/>
    </xf>
    <xf numFmtId="0" fontId="15" fillId="0" borderId="36" xfId="0" applyFont="1" applyBorder="1" applyAlignment="1">
      <alignment horizontal="center"/>
    </xf>
    <xf numFmtId="0" fontId="57" fillId="0" borderId="38" xfId="0" applyFont="1" applyBorder="1" applyAlignment="1">
      <alignment horizontal="center"/>
    </xf>
    <xf numFmtId="0" fontId="57" fillId="0" borderId="36" xfId="0" applyFont="1" applyBorder="1" applyAlignment="1">
      <alignment horizontal="center"/>
    </xf>
    <xf numFmtId="0" fontId="57" fillId="0" borderId="32" xfId="0" applyFont="1" applyBorder="1"/>
    <xf numFmtId="0" fontId="57" fillId="0" borderId="122" xfId="0" applyFont="1" applyBorder="1" applyAlignment="1">
      <alignment horizontal="center" vertical="center"/>
    </xf>
    <xf numFmtId="0" fontId="57" fillId="0" borderId="126" xfId="0" applyFont="1" applyBorder="1" applyAlignment="1">
      <alignment horizontal="center" vertical="center"/>
    </xf>
    <xf numFmtId="0" fontId="10" fillId="0" borderId="32" xfId="0" applyFont="1" applyBorder="1"/>
    <xf numFmtId="0" fontId="15" fillId="12" borderId="129" xfId="0" applyFont="1" applyFill="1" applyBorder="1" applyAlignment="1">
      <alignment horizontal="center"/>
    </xf>
    <xf numFmtId="0" fontId="57" fillId="12" borderId="129" xfId="0" applyFont="1" applyFill="1" applyBorder="1"/>
    <xf numFmtId="0" fontId="57" fillId="12" borderId="135" xfId="0" applyFont="1" applyFill="1" applyBorder="1"/>
    <xf numFmtId="0" fontId="55" fillId="12" borderId="135" xfId="0" applyFont="1" applyFill="1" applyBorder="1"/>
    <xf numFmtId="10" fontId="0" fillId="0" borderId="132" xfId="0" applyNumberFormat="1" applyBorder="1" applyAlignment="1">
      <alignment horizontal="center" vertical="center"/>
    </xf>
    <xf numFmtId="10" fontId="0" fillId="0" borderId="136" xfId="0" applyNumberFormat="1" applyBorder="1" applyAlignment="1">
      <alignment horizontal="center" vertical="center"/>
    </xf>
    <xf numFmtId="10" fontId="0" fillId="0" borderId="137" xfId="0" applyNumberFormat="1" applyBorder="1" applyAlignment="1">
      <alignment horizontal="center" vertical="center"/>
    </xf>
    <xf numFmtId="10" fontId="0" fillId="0" borderId="138" xfId="0" applyNumberFormat="1" applyBorder="1" applyAlignment="1">
      <alignment horizontal="center" vertical="center"/>
    </xf>
    <xf numFmtId="0" fontId="57" fillId="0" borderId="139" xfId="0" applyFont="1" applyBorder="1" applyAlignment="1">
      <alignment horizontal="center" vertical="center"/>
    </xf>
    <xf numFmtId="0" fontId="57" fillId="0" borderId="140" xfId="0" applyFont="1" applyBorder="1" applyAlignment="1">
      <alignment horizontal="center" vertical="center"/>
    </xf>
    <xf numFmtId="0" fontId="29" fillId="5" borderId="8" xfId="25" applyFont="1" applyFill="1" applyBorder="1" applyAlignment="1">
      <alignment horizontal="center"/>
    </xf>
    <xf numFmtId="0" fontId="55" fillId="8" borderId="0" xfId="0" applyFont="1" applyFill="1"/>
    <xf numFmtId="0" fontId="59" fillId="42" borderId="0" xfId="0" applyFont="1" applyFill="1"/>
    <xf numFmtId="0" fontId="10" fillId="37" borderId="32" xfId="0" applyFont="1" applyFill="1" applyBorder="1"/>
    <xf numFmtId="0" fontId="57" fillId="0" borderId="145" xfId="0" applyFont="1" applyBorder="1" applyAlignment="1">
      <alignment horizontal="center"/>
    </xf>
    <xf numFmtId="0" fontId="55" fillId="12" borderId="146" xfId="0" applyFont="1" applyFill="1" applyBorder="1" applyAlignment="1">
      <alignment horizontal="center"/>
    </xf>
    <xf numFmtId="0" fontId="10" fillId="39" borderId="146" xfId="0" applyFont="1" applyFill="1" applyBorder="1"/>
    <xf numFmtId="0" fontId="57" fillId="0" borderId="147" xfId="0" applyFont="1" applyBorder="1" applyAlignment="1">
      <alignment horizontal="center"/>
    </xf>
    <xf numFmtId="0" fontId="58" fillId="0" borderId="148" xfId="0" applyFont="1" applyBorder="1" applyAlignment="1">
      <alignment horizontal="center"/>
    </xf>
    <xf numFmtId="0" fontId="15" fillId="0" borderId="149" xfId="0" applyFont="1" applyBorder="1" applyAlignment="1">
      <alignment horizontal="center"/>
    </xf>
    <xf numFmtId="0" fontId="15" fillId="0" borderId="152" xfId="0" applyFont="1" applyBorder="1" applyAlignment="1">
      <alignment horizontal="center"/>
    </xf>
    <xf numFmtId="0" fontId="10" fillId="39" borderId="0" xfId="0" applyFont="1" applyFill="1"/>
    <xf numFmtId="0" fontId="15" fillId="41" borderId="32" xfId="0" quotePrefix="1" applyFont="1" applyFill="1" applyBorder="1"/>
    <xf numFmtId="0" fontId="15" fillId="41" borderId="0" xfId="0" quotePrefix="1" applyFont="1" applyFill="1"/>
    <xf numFmtId="0" fontId="55" fillId="39" borderId="0" xfId="0" applyFont="1" applyFill="1"/>
    <xf numFmtId="0" fontId="15" fillId="37" borderId="32" xfId="0" applyFont="1" applyFill="1" applyBorder="1"/>
    <xf numFmtId="0" fontId="10" fillId="0" borderId="162" xfId="0" applyFont="1" applyBorder="1"/>
    <xf numFmtId="0" fontId="15" fillId="0" borderId="163" xfId="0" applyFont="1" applyBorder="1" applyAlignment="1">
      <alignment horizontal="center"/>
    </xf>
    <xf numFmtId="0" fontId="15" fillId="0" borderId="41" xfId="0" applyFont="1" applyBorder="1" applyAlignment="1">
      <alignment horizontal="center"/>
    </xf>
    <xf numFmtId="0" fontId="15" fillId="0" borderId="164" xfId="0" applyFont="1" applyBorder="1" applyAlignment="1">
      <alignment horizontal="center"/>
    </xf>
    <xf numFmtId="0" fontId="15" fillId="0" borderId="155" xfId="0" applyFont="1" applyBorder="1" applyAlignment="1">
      <alignment horizontal="center"/>
    </xf>
    <xf numFmtId="0" fontId="10" fillId="39" borderId="130" xfId="0" applyFont="1" applyFill="1" applyBorder="1"/>
    <xf numFmtId="14" fontId="15" fillId="0" borderId="21" xfId="0" applyNumberFormat="1" applyFont="1" applyBorder="1" applyAlignment="1">
      <alignment horizontal="center" vertical="center"/>
    </xf>
    <xf numFmtId="0" fontId="10" fillId="0" borderId="57" xfId="0" applyFont="1" applyBorder="1" applyAlignment="1">
      <alignment horizontal="center" vertical="center"/>
    </xf>
    <xf numFmtId="10" fontId="0" fillId="0" borderId="0" xfId="15" applyNumberFormat="1" applyFont="1"/>
    <xf numFmtId="9" fontId="35" fillId="38" borderId="157" xfId="15" applyFont="1" applyFill="1" applyBorder="1" applyAlignment="1">
      <alignment horizontal="center" vertical="center"/>
    </xf>
    <xf numFmtId="168" fontId="35" fillId="43" borderId="158" xfId="29" applyNumberFormat="1" applyFont="1" applyFill="1" applyBorder="1" applyAlignment="1">
      <alignment horizontal="center" vertical="center"/>
    </xf>
    <xf numFmtId="0" fontId="60" fillId="0" borderId="46" xfId="0" applyFont="1" applyBorder="1" applyAlignment="1">
      <alignment horizontal="center" vertical="center"/>
    </xf>
    <xf numFmtId="0" fontId="60" fillId="41" borderId="160" xfId="0" applyFont="1" applyFill="1" applyBorder="1" applyAlignment="1">
      <alignment horizontal="center" vertical="center"/>
    </xf>
    <xf numFmtId="0" fontId="60" fillId="41" borderId="46" xfId="0" applyFont="1" applyFill="1" applyBorder="1" applyAlignment="1">
      <alignment horizontal="center" vertical="center"/>
    </xf>
    <xf numFmtId="3" fontId="60" fillId="40" borderId="46" xfId="0" applyNumberFormat="1" applyFont="1" applyFill="1" applyBorder="1" applyAlignment="1">
      <alignment horizontal="center" vertical="center"/>
    </xf>
    <xf numFmtId="3" fontId="60" fillId="40" borderId="160" xfId="0" applyNumberFormat="1" applyFont="1" applyFill="1" applyBorder="1" applyAlignment="1">
      <alignment horizontal="center" vertical="center"/>
    </xf>
    <xf numFmtId="0" fontId="10" fillId="0" borderId="46" xfId="0" quotePrefix="1" applyFont="1" applyBorder="1" applyAlignment="1">
      <alignment horizontal="center" vertical="center"/>
    </xf>
    <xf numFmtId="0" fontId="10" fillId="0" borderId="151" xfId="0" quotePrefix="1" applyFont="1" applyBorder="1" applyAlignment="1">
      <alignment horizontal="center" vertical="center"/>
    </xf>
    <xf numFmtId="9" fontId="40" fillId="0" borderId="0" xfId="15" applyFont="1"/>
    <xf numFmtId="9" fontId="0" fillId="0" borderId="96" xfId="0" applyNumberFormat="1" applyBorder="1" applyAlignment="1">
      <alignment horizontal="center"/>
    </xf>
    <xf numFmtId="9" fontId="15" fillId="0" borderId="73" xfId="0" applyNumberFormat="1" applyFont="1" applyBorder="1" applyAlignment="1">
      <alignment horizontal="center"/>
    </xf>
    <xf numFmtId="9" fontId="15" fillId="0" borderId="74" xfId="0" applyNumberFormat="1" applyFont="1" applyBorder="1" applyAlignment="1">
      <alignment horizontal="center"/>
    </xf>
    <xf numFmtId="9" fontId="10" fillId="0" borderId="78" xfId="0" applyNumberFormat="1" applyFont="1" applyBorder="1" applyAlignment="1">
      <alignment horizontal="center"/>
    </xf>
    <xf numFmtId="3" fontId="0" fillId="0" borderId="0" xfId="0" applyNumberFormat="1"/>
    <xf numFmtId="0" fontId="12" fillId="0" borderId="50" xfId="42" applyFont="1" applyBorder="1" applyAlignment="1" applyProtection="1"/>
    <xf numFmtId="10" fontId="0" fillId="0" borderId="0" xfId="0" applyNumberFormat="1"/>
    <xf numFmtId="4" fontId="34" fillId="12" borderId="118" xfId="7" applyFont="1" applyFill="1" applyBorder="1" applyAlignment="1">
      <alignment horizontal="right" vertical="center"/>
    </xf>
    <xf numFmtId="4" fontId="10" fillId="0" borderId="0" xfId="7" applyFont="1" applyFill="1" applyBorder="1">
      <alignment horizontal="right"/>
    </xf>
    <xf numFmtId="4" fontId="34" fillId="0" borderId="0" xfId="7" applyFont="1" applyFill="1" applyBorder="1">
      <alignment horizontal="right"/>
    </xf>
    <xf numFmtId="4" fontId="34" fillId="9" borderId="118" xfId="7" applyFont="1" applyFill="1" applyBorder="1" applyAlignment="1">
      <alignment horizontal="right" vertical="center"/>
    </xf>
    <xf numFmtId="4" fontId="34" fillId="28" borderId="118" xfId="7" applyFont="1" applyFill="1" applyBorder="1" applyAlignment="1">
      <alignment horizontal="right" vertical="center"/>
    </xf>
    <xf numFmtId="4" fontId="27" fillId="12" borderId="118" xfId="7" applyFont="1" applyFill="1" applyBorder="1" applyAlignment="1">
      <alignment horizontal="right" vertical="center"/>
    </xf>
    <xf numFmtId="4" fontId="27" fillId="28" borderId="118" xfId="7" applyFont="1" applyFill="1" applyBorder="1" applyAlignment="1">
      <alignment horizontal="right" vertical="center"/>
    </xf>
    <xf numFmtId="1" fontId="60" fillId="41" borderId="151" xfId="0" applyNumberFormat="1" applyFont="1" applyFill="1" applyBorder="1" applyAlignment="1">
      <alignment horizontal="center" vertical="center"/>
    </xf>
    <xf numFmtId="3" fontId="60" fillId="40" borderId="46" xfId="0" quotePrefix="1" applyNumberFormat="1" applyFont="1" applyFill="1" applyBorder="1" applyAlignment="1">
      <alignment horizontal="center" vertical="center"/>
    </xf>
    <xf numFmtId="3" fontId="60" fillId="40" borderId="160" xfId="0" quotePrefix="1" applyNumberFormat="1" applyFont="1" applyFill="1" applyBorder="1" applyAlignment="1">
      <alignment horizontal="center" vertical="center"/>
    </xf>
    <xf numFmtId="1" fontId="55" fillId="40" borderId="38" xfId="0" applyNumberFormat="1" applyFont="1" applyFill="1" applyBorder="1" applyAlignment="1">
      <alignment horizontal="center" vertical="center"/>
    </xf>
    <xf numFmtId="4" fontId="7" fillId="0" borderId="46" xfId="28" applyNumberFormat="1" applyBorder="1" applyAlignment="1">
      <alignment horizontal="center"/>
    </xf>
    <xf numFmtId="0" fontId="28" fillId="0" borderId="0" xfId="0" applyFont="1" applyAlignment="1">
      <alignment horizontal="center"/>
    </xf>
    <xf numFmtId="0" fontId="67" fillId="0" borderId="0" xfId="0" applyFont="1"/>
    <xf numFmtId="0" fontId="0" fillId="0" borderId="46" xfId="0" applyBorder="1"/>
    <xf numFmtId="0" fontId="66" fillId="0" borderId="0" xfId="0" applyFont="1"/>
    <xf numFmtId="3" fontId="55" fillId="0" borderId="38" xfId="0" applyNumberFormat="1" applyFont="1" applyBorder="1" applyAlignment="1">
      <alignment horizontal="center" vertical="center"/>
    </xf>
    <xf numFmtId="0" fontId="55" fillId="0" borderId="38" xfId="0" applyFont="1" applyBorder="1" applyAlignment="1">
      <alignment horizontal="center" vertical="center"/>
    </xf>
    <xf numFmtId="3" fontId="10" fillId="8" borderId="15" xfId="0" applyNumberFormat="1" applyFont="1" applyFill="1" applyBorder="1" applyAlignment="1">
      <alignment horizontal="center"/>
    </xf>
    <xf numFmtId="3" fontId="63" fillId="38" borderId="46" xfId="0" applyNumberFormat="1" applyFont="1" applyFill="1" applyBorder="1" applyAlignment="1">
      <alignment horizontal="center" vertical="center"/>
    </xf>
    <xf numFmtId="3" fontId="63" fillId="0" borderId="160" xfId="0" applyNumberFormat="1" applyFont="1" applyBorder="1" applyAlignment="1">
      <alignment horizontal="center" vertical="center"/>
    </xf>
    <xf numFmtId="3" fontId="63" fillId="38" borderId="160" xfId="0" applyNumberFormat="1" applyFont="1" applyFill="1" applyBorder="1" applyAlignment="1">
      <alignment horizontal="center" vertical="center"/>
    </xf>
    <xf numFmtId="0" fontId="63" fillId="38" borderId="161" xfId="0" applyFont="1" applyFill="1" applyBorder="1" applyAlignment="1">
      <alignment horizontal="center" vertical="center"/>
    </xf>
    <xf numFmtId="168" fontId="35" fillId="43" borderId="175" xfId="29" applyNumberFormat="1" applyFont="1" applyFill="1" applyBorder="1" applyAlignment="1">
      <alignment horizontal="center" vertical="center"/>
    </xf>
    <xf numFmtId="3" fontId="6" fillId="43" borderId="44" xfId="29" applyNumberFormat="1" applyFill="1" applyBorder="1" applyAlignment="1">
      <alignment horizontal="center" vertical="center"/>
    </xf>
    <xf numFmtId="3" fontId="63" fillId="38" borderId="44" xfId="0" applyNumberFormat="1" applyFont="1" applyFill="1" applyBorder="1" applyAlignment="1">
      <alignment horizontal="center" vertical="center"/>
    </xf>
    <xf numFmtId="1" fontId="55" fillId="0" borderId="46" xfId="0" applyNumberFormat="1" applyFont="1" applyBorder="1" applyAlignment="1">
      <alignment horizontal="center" vertical="center"/>
    </xf>
    <xf numFmtId="1" fontId="60" fillId="0" borderId="46" xfId="0" applyNumberFormat="1" applyFont="1" applyBorder="1" applyAlignment="1">
      <alignment horizontal="center" vertical="center"/>
    </xf>
    <xf numFmtId="1" fontId="55" fillId="0" borderId="160" xfId="0" applyNumberFormat="1" applyFont="1" applyBorder="1" applyAlignment="1">
      <alignment horizontal="center" vertical="center"/>
    </xf>
    <xf numFmtId="1" fontId="55" fillId="0" borderId="151" xfId="0" applyNumberFormat="1" applyFont="1" applyBorder="1" applyAlignment="1">
      <alignment horizontal="center" vertical="center"/>
    </xf>
    <xf numFmtId="1" fontId="60" fillId="0" borderId="160" xfId="0" applyNumberFormat="1" applyFont="1" applyBorder="1" applyAlignment="1">
      <alignment horizontal="center" vertical="center"/>
    </xf>
    <xf numFmtId="1" fontId="60" fillId="0" borderId="151" xfId="0" applyNumberFormat="1" applyFont="1" applyBorder="1" applyAlignment="1">
      <alignment horizontal="center" vertical="center"/>
    </xf>
    <xf numFmtId="1" fontId="63" fillId="38" borderId="161" xfId="0" applyNumberFormat="1" applyFont="1" applyFill="1" applyBorder="1" applyAlignment="1">
      <alignment horizontal="center" vertical="center"/>
    </xf>
    <xf numFmtId="168" fontId="10" fillId="0" borderId="157" xfId="15" applyNumberFormat="1" applyFont="1" applyFill="1" applyBorder="1" applyAlignment="1">
      <alignment horizontal="center" vertical="center"/>
    </xf>
    <xf numFmtId="168" fontId="10" fillId="0" borderId="158" xfId="15" applyNumberFormat="1" applyFont="1" applyFill="1" applyBorder="1" applyAlignment="1">
      <alignment horizontal="center" vertical="center"/>
    </xf>
    <xf numFmtId="168" fontId="0" fillId="0" borderId="159" xfId="15" applyNumberFormat="1" applyFont="1" applyFill="1" applyBorder="1" applyAlignment="1">
      <alignment horizontal="center" vertical="center"/>
    </xf>
    <xf numFmtId="1" fontId="63" fillId="0" borderId="160" xfId="0" applyNumberFormat="1" applyFont="1" applyBorder="1" applyAlignment="1">
      <alignment horizontal="center" vertical="center"/>
    </xf>
    <xf numFmtId="1" fontId="60" fillId="41" borderId="46" xfId="0" applyNumberFormat="1" applyFont="1" applyFill="1" applyBorder="1" applyAlignment="1">
      <alignment horizontal="center" vertical="center"/>
    </xf>
    <xf numFmtId="1" fontId="60" fillId="41" borderId="160" xfId="0" applyNumberFormat="1" applyFont="1" applyFill="1" applyBorder="1" applyAlignment="1">
      <alignment horizontal="center" vertical="center"/>
    </xf>
    <xf numFmtId="0" fontId="10" fillId="0" borderId="160" xfId="0" quotePrefix="1" applyFont="1" applyBorder="1" applyAlignment="1">
      <alignment horizontal="center" vertical="center"/>
    </xf>
    <xf numFmtId="1" fontId="55" fillId="40" borderId="46" xfId="0" applyNumberFormat="1" applyFont="1" applyFill="1" applyBorder="1" applyAlignment="1">
      <alignment horizontal="center" vertical="center"/>
    </xf>
    <xf numFmtId="1" fontId="55" fillId="40" borderId="157" xfId="0" applyNumberFormat="1" applyFont="1" applyFill="1" applyBorder="1" applyAlignment="1">
      <alignment horizontal="center" vertical="center"/>
    </xf>
    <xf numFmtId="1" fontId="55" fillId="40" borderId="158" xfId="0" applyNumberFormat="1" applyFont="1" applyFill="1" applyBorder="1" applyAlignment="1">
      <alignment horizontal="center" vertical="center"/>
    </xf>
    <xf numFmtId="1" fontId="55" fillId="40" borderId="160" xfId="0" applyNumberFormat="1" applyFont="1" applyFill="1" applyBorder="1" applyAlignment="1">
      <alignment horizontal="center" vertical="center"/>
    </xf>
    <xf numFmtId="1" fontId="55" fillId="40" borderId="175" xfId="0" applyNumberFormat="1" applyFont="1" applyFill="1" applyBorder="1" applyAlignment="1">
      <alignment horizontal="center" vertical="center"/>
    </xf>
    <xf numFmtId="1" fontId="55" fillId="40" borderId="44" xfId="0" applyNumberFormat="1" applyFont="1" applyFill="1" applyBorder="1" applyAlignment="1">
      <alignment horizontal="center" vertical="center"/>
    </xf>
    <xf numFmtId="1" fontId="55" fillId="40" borderId="176" xfId="0" applyNumberFormat="1" applyFont="1" applyFill="1" applyBorder="1" applyAlignment="1">
      <alignment horizontal="center" vertical="center"/>
    </xf>
    <xf numFmtId="1" fontId="0" fillId="0" borderId="46" xfId="0" applyNumberFormat="1" applyBorder="1" applyAlignment="1">
      <alignment horizontal="center" vertical="center"/>
    </xf>
    <xf numFmtId="1" fontId="0" fillId="0" borderId="157" xfId="0" applyNumberFormat="1" applyBorder="1" applyAlignment="1">
      <alignment horizontal="center" vertical="center"/>
    </xf>
    <xf numFmtId="1" fontId="0" fillId="0" borderId="158" xfId="0" applyNumberFormat="1" applyBorder="1" applyAlignment="1">
      <alignment horizontal="center" vertical="center"/>
    </xf>
    <xf numFmtId="1" fontId="0" fillId="0" borderId="159" xfId="0" applyNumberFormat="1" applyBorder="1" applyAlignment="1">
      <alignment horizontal="center" vertical="center"/>
    </xf>
    <xf numFmtId="1" fontId="0" fillId="0" borderId="160" xfId="0" applyNumberFormat="1" applyBorder="1" applyAlignment="1">
      <alignment horizontal="center" vertical="center"/>
    </xf>
    <xf numFmtId="1" fontId="0" fillId="0" borderId="151" xfId="0" applyNumberFormat="1" applyBorder="1" applyAlignment="1">
      <alignment horizontal="center" vertical="center"/>
    </xf>
    <xf numFmtId="1" fontId="55" fillId="40" borderId="149" xfId="0" applyNumberFormat="1" applyFont="1" applyFill="1" applyBorder="1" applyAlignment="1">
      <alignment horizontal="center" vertical="center"/>
    </xf>
    <xf numFmtId="1" fontId="55" fillId="40" borderId="150" xfId="0" applyNumberFormat="1" applyFont="1" applyFill="1" applyBorder="1" applyAlignment="1">
      <alignment horizontal="center" vertical="center"/>
    </xf>
    <xf numFmtId="1" fontId="55" fillId="40" borderId="152" xfId="0" applyNumberFormat="1" applyFont="1" applyFill="1" applyBorder="1" applyAlignment="1">
      <alignment horizontal="center" vertical="center"/>
    </xf>
    <xf numFmtId="1" fontId="55" fillId="40" borderId="153" xfId="0" applyNumberFormat="1" applyFont="1" applyFill="1" applyBorder="1" applyAlignment="1">
      <alignment horizontal="center" vertical="center"/>
    </xf>
    <xf numFmtId="1" fontId="55" fillId="40" borderId="154" xfId="0" applyNumberFormat="1" applyFont="1" applyFill="1" applyBorder="1" applyAlignment="1">
      <alignment horizontal="center" vertical="center"/>
    </xf>
    <xf numFmtId="4" fontId="7" fillId="0" borderId="160" xfId="28" applyNumberFormat="1" applyBorder="1" applyAlignment="1">
      <alignment horizontal="center"/>
    </xf>
    <xf numFmtId="4" fontId="7" fillId="0" borderId="151" xfId="28" applyNumberFormat="1" applyBorder="1" applyAlignment="1">
      <alignment horizontal="center"/>
    </xf>
    <xf numFmtId="9" fontId="0" fillId="0" borderId="0" xfId="15" applyFont="1" applyBorder="1" applyAlignment="1">
      <alignment horizontal="left"/>
    </xf>
    <xf numFmtId="3" fontId="60" fillId="0" borderId="46" xfId="0" applyNumberFormat="1" applyFont="1" applyBorder="1" applyAlignment="1">
      <alignment horizontal="center" vertical="center"/>
    </xf>
    <xf numFmtId="3" fontId="60" fillId="0" borderId="160" xfId="0" applyNumberFormat="1" applyFont="1" applyBorder="1" applyAlignment="1">
      <alignment horizontal="center" vertical="center"/>
    </xf>
    <xf numFmtId="2" fontId="10" fillId="24" borderId="19" xfId="0" applyNumberFormat="1" applyFont="1" applyFill="1" applyBorder="1" applyAlignment="1">
      <alignment horizontal="center"/>
    </xf>
    <xf numFmtId="0" fontId="10" fillId="8" borderId="19" xfId="0" applyFont="1" applyFill="1" applyBorder="1" applyAlignment="1">
      <alignment horizontal="center" vertical="center" wrapText="1"/>
    </xf>
    <xf numFmtId="0" fontId="36" fillId="8" borderId="19" xfId="0" applyFont="1" applyFill="1" applyBorder="1" applyAlignment="1">
      <alignment horizontal="center" vertical="center" wrapText="1"/>
    </xf>
    <xf numFmtId="173" fontId="0" fillId="0" borderId="103" xfId="0" applyNumberFormat="1" applyBorder="1" applyAlignment="1">
      <alignment horizontal="center" wrapText="1"/>
    </xf>
    <xf numFmtId="0" fontId="48" fillId="9" borderId="73" xfId="0" applyFont="1" applyFill="1" applyBorder="1" applyAlignment="1">
      <alignment horizontal="center" vertical="center" wrapText="1"/>
    </xf>
    <xf numFmtId="0" fontId="48" fillId="10" borderId="74" xfId="0" applyFont="1" applyFill="1" applyBorder="1" applyAlignment="1">
      <alignment horizontal="center" vertical="center" wrapText="1"/>
    </xf>
    <xf numFmtId="0" fontId="48" fillId="11" borderId="74" xfId="0" applyFont="1" applyFill="1" applyBorder="1" applyAlignment="1">
      <alignment horizontal="center" vertical="center" wrapText="1"/>
    </xf>
    <xf numFmtId="0" fontId="48" fillId="15" borderId="74" xfId="0" applyFont="1" applyFill="1" applyBorder="1" applyAlignment="1">
      <alignment horizontal="center" vertical="center" wrapText="1"/>
    </xf>
    <xf numFmtId="0" fontId="48" fillId="23" borderId="104" xfId="0" applyFont="1" applyFill="1" applyBorder="1" applyAlignment="1">
      <alignment horizontal="center" vertical="center" wrapText="1"/>
    </xf>
    <xf numFmtId="0" fontId="48" fillId="16" borderId="74" xfId="0" applyFont="1" applyFill="1" applyBorder="1" applyAlignment="1">
      <alignment horizontal="center" vertical="center" wrapText="1"/>
    </xf>
    <xf numFmtId="0" fontId="48" fillId="10" borderId="65" xfId="0" applyFont="1" applyFill="1" applyBorder="1" applyAlignment="1">
      <alignment horizontal="center" vertical="center" wrapText="1"/>
    </xf>
    <xf numFmtId="0" fontId="48" fillId="11" borderId="65" xfId="0" applyFont="1" applyFill="1" applyBorder="1" applyAlignment="1">
      <alignment horizontal="center" vertical="center" wrapText="1"/>
    </xf>
    <xf numFmtId="0" fontId="48" fillId="15" borderId="65" xfId="0" applyFont="1" applyFill="1" applyBorder="1" applyAlignment="1">
      <alignment horizontal="center" vertical="center" wrapText="1"/>
    </xf>
    <xf numFmtId="0" fontId="48" fillId="23" borderId="65" xfId="0" applyFont="1" applyFill="1" applyBorder="1" applyAlignment="1">
      <alignment horizontal="center" vertical="center" wrapText="1"/>
    </xf>
    <xf numFmtId="0" fontId="48" fillId="16" borderId="65" xfId="0" applyFont="1" applyFill="1" applyBorder="1" applyAlignment="1">
      <alignment horizontal="center" vertical="center" wrapText="1"/>
    </xf>
    <xf numFmtId="0" fontId="57" fillId="0" borderId="0" xfId="0" applyFont="1" applyAlignment="1">
      <alignment horizontal="center" vertical="center"/>
    </xf>
    <xf numFmtId="14" fontId="15" fillId="0" borderId="20" xfId="0" applyNumberFormat="1" applyFont="1" applyBorder="1" applyAlignment="1">
      <alignment horizontal="center" vertical="center"/>
    </xf>
    <xf numFmtId="14" fontId="15" fillId="0" borderId="54" xfId="0" applyNumberFormat="1" applyFont="1" applyBorder="1" applyAlignment="1">
      <alignment horizontal="center" vertical="center"/>
    </xf>
    <xf numFmtId="0" fontId="0" fillId="0" borderId="0" xfId="0" applyAlignment="1">
      <alignment horizontal="left"/>
    </xf>
    <xf numFmtId="2" fontId="10" fillId="24" borderId="52" xfId="0" applyNumberFormat="1" applyFont="1" applyFill="1" applyBorder="1" applyAlignment="1">
      <alignment horizontal="center"/>
    </xf>
    <xf numFmtId="2" fontId="35" fillId="24" borderId="52" xfId="15" applyNumberFormat="1" applyFont="1" applyFill="1" applyBorder="1" applyAlignment="1">
      <alignment horizontal="center"/>
    </xf>
    <xf numFmtId="0" fontId="10" fillId="7" borderId="177" xfId="0" applyFont="1" applyFill="1" applyBorder="1"/>
    <xf numFmtId="0" fontId="29" fillId="32" borderId="62" xfId="0" applyFont="1" applyFill="1" applyBorder="1" applyAlignment="1">
      <alignment horizontal="center"/>
    </xf>
    <xf numFmtId="0" fontId="15" fillId="0" borderId="62" xfId="0" applyFont="1" applyBorder="1" applyAlignment="1">
      <alignment horizontal="center"/>
    </xf>
    <xf numFmtId="167" fontId="15" fillId="24" borderId="23" xfId="0" applyNumberFormat="1" applyFont="1" applyFill="1" applyBorder="1" applyAlignment="1">
      <alignment horizontal="center"/>
    </xf>
    <xf numFmtId="2" fontId="35" fillId="24" borderId="62" xfId="15" applyNumberFormat="1" applyFont="1" applyFill="1" applyBorder="1" applyAlignment="1">
      <alignment horizontal="center"/>
    </xf>
    <xf numFmtId="0" fontId="10" fillId="0" borderId="0" xfId="0" applyFont="1" applyAlignment="1">
      <alignment horizontal="center"/>
    </xf>
    <xf numFmtId="10" fontId="10" fillId="0" borderId="128" xfId="0" applyNumberFormat="1" applyFont="1" applyBorder="1" applyAlignment="1">
      <alignment horizontal="center" vertical="center"/>
    </xf>
    <xf numFmtId="10" fontId="10" fillId="0" borderId="5" xfId="0" applyNumberFormat="1" applyFont="1" applyBorder="1" applyAlignment="1">
      <alignment horizontal="center" vertical="center"/>
    </xf>
    <xf numFmtId="10" fontId="0" fillId="0" borderId="123" xfId="0" applyNumberFormat="1" applyBorder="1" applyAlignment="1">
      <alignment horizontal="center" vertical="center"/>
    </xf>
    <xf numFmtId="1" fontId="60" fillId="40" borderId="161" xfId="0" applyNumberFormat="1" applyFont="1" applyFill="1" applyBorder="1" applyAlignment="1">
      <alignment horizontal="center" vertical="center"/>
    </xf>
    <xf numFmtId="1" fontId="60" fillId="40" borderId="174" xfId="0" applyNumberFormat="1" applyFont="1" applyFill="1" applyBorder="1" applyAlignment="1">
      <alignment horizontal="center" vertical="center"/>
    </xf>
    <xf numFmtId="0" fontId="0" fillId="0" borderId="46" xfId="0" applyBorder="1" applyAlignment="1">
      <alignment horizontal="center"/>
    </xf>
    <xf numFmtId="167" fontId="0" fillId="0" borderId="46" xfId="0" applyNumberFormat="1" applyBorder="1" applyAlignment="1">
      <alignment horizontal="center"/>
    </xf>
    <xf numFmtId="168" fontId="66" fillId="0" borderId="46" xfId="15" applyNumberFormat="1" applyFont="1" applyBorder="1" applyAlignment="1">
      <alignment horizontal="center"/>
    </xf>
    <xf numFmtId="0" fontId="66" fillId="0" borderId="46" xfId="0" applyFont="1" applyBorder="1"/>
    <xf numFmtId="166" fontId="66" fillId="0" borderId="46" xfId="0" applyNumberFormat="1" applyFont="1" applyBorder="1" applyAlignment="1">
      <alignment horizontal="center"/>
    </xf>
    <xf numFmtId="9" fontId="0" fillId="0" borderId="0" xfId="15" applyFont="1" applyAlignment="1">
      <alignment horizontal="left"/>
    </xf>
    <xf numFmtId="4" fontId="7" fillId="0" borderId="45" xfId="28" applyNumberFormat="1" applyBorder="1" applyAlignment="1">
      <alignment horizontal="center"/>
    </xf>
    <xf numFmtId="0" fontId="55" fillId="0" borderId="178" xfId="0" applyFont="1" applyBorder="1"/>
    <xf numFmtId="0" fontId="55" fillId="0" borderId="35" xfId="0" applyFont="1" applyBorder="1"/>
    <xf numFmtId="3" fontId="69" fillId="0" borderId="160" xfId="0" quotePrefix="1" applyNumberFormat="1" applyFont="1" applyBorder="1" applyAlignment="1">
      <alignment horizontal="center" vertical="center"/>
    </xf>
    <xf numFmtId="0" fontId="55" fillId="40" borderId="149" xfId="0" applyFont="1" applyFill="1" applyBorder="1" applyAlignment="1">
      <alignment horizontal="center" vertical="center"/>
    </xf>
    <xf numFmtId="0" fontId="55" fillId="40" borderId="2" xfId="0" applyFont="1" applyFill="1" applyBorder="1" applyAlignment="1">
      <alignment horizontal="center" vertical="center"/>
    </xf>
    <xf numFmtId="1" fontId="55" fillId="40" borderId="126" xfId="0" applyNumberFormat="1" applyFont="1" applyFill="1" applyBorder="1" applyAlignment="1">
      <alignment horizontal="center" vertical="center"/>
    </xf>
    <xf numFmtId="1" fontId="55" fillId="40" borderId="180" xfId="0" applyNumberFormat="1" applyFont="1" applyFill="1" applyBorder="1" applyAlignment="1">
      <alignment horizontal="center" vertical="center"/>
    </xf>
    <xf numFmtId="3" fontId="60" fillId="41" borderId="181" xfId="0" applyNumberFormat="1" applyFont="1" applyFill="1" applyBorder="1" applyAlignment="1">
      <alignment horizontal="center" vertical="center"/>
    </xf>
    <xf numFmtId="3" fontId="60" fillId="41" borderId="3" xfId="0" applyNumberFormat="1" applyFont="1" applyFill="1" applyBorder="1" applyAlignment="1">
      <alignment horizontal="center" vertical="center"/>
    </xf>
    <xf numFmtId="3" fontId="61" fillId="12" borderId="0" xfId="0" applyNumberFormat="1" applyFont="1" applyFill="1" applyAlignment="1">
      <alignment horizontal="center" vertical="center"/>
    </xf>
    <xf numFmtId="3" fontId="61" fillId="12" borderId="182" xfId="0" applyNumberFormat="1" applyFont="1" applyFill="1" applyBorder="1" applyAlignment="1">
      <alignment horizontal="center" vertical="center"/>
    </xf>
    <xf numFmtId="1" fontId="60" fillId="41" borderId="44" xfId="0" applyNumberFormat="1" applyFont="1" applyFill="1" applyBorder="1" applyAlignment="1">
      <alignment horizontal="center" vertical="center"/>
    </xf>
    <xf numFmtId="1" fontId="60" fillId="0" borderId="44" xfId="0" applyNumberFormat="1" applyFont="1" applyBorder="1" applyAlignment="1">
      <alignment horizontal="center" vertical="center"/>
    </xf>
    <xf numFmtId="0" fontId="10" fillId="0" borderId="44" xfId="0" quotePrefix="1" applyFont="1" applyBorder="1" applyAlignment="1">
      <alignment horizontal="center" vertical="center"/>
    </xf>
    <xf numFmtId="0" fontId="0" fillId="37" borderId="32" xfId="0" applyFill="1" applyBorder="1"/>
    <xf numFmtId="0" fontId="66" fillId="0" borderId="0" xfId="28" applyFont="1" applyAlignment="1">
      <alignment horizontal="center" vertical="center"/>
    </xf>
    <xf numFmtId="0" fontId="7" fillId="0" borderId="0" xfId="28"/>
    <xf numFmtId="0" fontId="7" fillId="0" borderId="36" xfId="28" applyBorder="1"/>
    <xf numFmtId="0" fontId="55" fillId="0" borderId="183" xfId="0" applyFont="1" applyBorder="1"/>
    <xf numFmtId="0" fontId="57" fillId="0" borderId="124" xfId="0" applyFont="1" applyBorder="1" applyAlignment="1">
      <alignment horizontal="center" vertical="center"/>
    </xf>
    <xf numFmtId="0" fontId="57" fillId="0" borderId="125" xfId="0" applyFont="1" applyBorder="1" applyAlignment="1">
      <alignment horizontal="center" vertical="center"/>
    </xf>
    <xf numFmtId="0" fontId="55" fillId="0" borderId="184" xfId="0" applyFont="1" applyBorder="1"/>
    <xf numFmtId="0" fontId="55" fillId="0" borderId="123" xfId="0" applyFont="1" applyBorder="1" applyAlignment="1">
      <alignment horizontal="center" vertical="center"/>
    </xf>
    <xf numFmtId="0" fontId="55" fillId="0" borderId="185" xfId="0" applyFont="1" applyBorder="1"/>
    <xf numFmtId="0" fontId="55" fillId="0" borderId="127" xfId="0" applyFont="1" applyBorder="1" applyAlignment="1">
      <alignment horizontal="center" vertical="center"/>
    </xf>
    <xf numFmtId="10" fontId="0" fillId="0" borderId="0" xfId="0" applyNumberFormat="1" applyAlignment="1">
      <alignment horizontal="center" vertical="center"/>
    </xf>
    <xf numFmtId="0" fontId="55" fillId="0" borderId="124" xfId="0" applyFont="1" applyBorder="1" applyAlignment="1">
      <alignment horizontal="center" vertical="center"/>
    </xf>
    <xf numFmtId="0" fontId="55" fillId="0" borderId="123" xfId="0" applyFont="1" applyBorder="1"/>
    <xf numFmtId="0" fontId="57" fillId="0" borderId="46" xfId="0" applyFont="1" applyBorder="1"/>
    <xf numFmtId="9" fontId="25" fillId="0" borderId="0" xfId="15" applyFont="1" applyAlignment="1">
      <alignment horizontal="center" vertical="center"/>
    </xf>
    <xf numFmtId="1" fontId="60" fillId="41" borderId="149" xfId="0" applyNumberFormat="1" applyFont="1" applyFill="1" applyBorder="1" applyAlignment="1">
      <alignment horizontal="center" vertical="center"/>
    </xf>
    <xf numFmtId="1" fontId="60" fillId="41" borderId="2" xfId="0" applyNumberFormat="1" applyFont="1" applyFill="1" applyBorder="1" applyAlignment="1">
      <alignment horizontal="center" vertical="center"/>
    </xf>
    <xf numFmtId="1" fontId="60" fillId="41" borderId="37" xfId="0" applyNumberFormat="1" applyFont="1" applyFill="1" applyBorder="1" applyAlignment="1">
      <alignment horizontal="center" vertical="center"/>
    </xf>
    <xf numFmtId="1" fontId="60" fillId="41" borderId="179" xfId="0" applyNumberFormat="1" applyFont="1" applyFill="1" applyBorder="1" applyAlignment="1">
      <alignment horizontal="center" vertical="center"/>
    </xf>
    <xf numFmtId="168" fontId="40" fillId="0" borderId="0" xfId="0" applyNumberFormat="1" applyFont="1"/>
    <xf numFmtId="1" fontId="55" fillId="40" borderId="187" xfId="0" applyNumberFormat="1" applyFont="1" applyFill="1" applyBorder="1" applyAlignment="1">
      <alignment horizontal="center" vertical="center"/>
    </xf>
    <xf numFmtId="1" fontId="0" fillId="0" borderId="188" xfId="0" applyNumberFormat="1" applyBorder="1" applyAlignment="1">
      <alignment horizontal="center" vertical="center"/>
    </xf>
    <xf numFmtId="1" fontId="0" fillId="0" borderId="45" xfId="0" applyNumberFormat="1" applyBorder="1" applyAlignment="1">
      <alignment horizontal="center" vertical="center"/>
    </xf>
    <xf numFmtId="3" fontId="69" fillId="0" borderId="160" xfId="0" applyNumberFormat="1" applyFont="1" applyBorder="1" applyAlignment="1">
      <alignment horizontal="center" vertical="center"/>
    </xf>
    <xf numFmtId="2" fontId="0" fillId="24" borderId="62" xfId="0" applyNumberFormat="1" applyFill="1" applyBorder="1" applyAlignment="1">
      <alignment horizontal="center"/>
    </xf>
    <xf numFmtId="167" fontId="0" fillId="24" borderId="23" xfId="0" applyNumberFormat="1" applyFill="1" applyBorder="1" applyAlignment="1">
      <alignment horizontal="center"/>
    </xf>
    <xf numFmtId="10" fontId="0" fillId="8" borderId="23" xfId="24" applyNumberFormat="1" applyFont="1" applyFill="1" applyBorder="1" applyAlignment="1">
      <alignment horizontal="center"/>
    </xf>
    <xf numFmtId="168" fontId="0" fillId="8" borderId="23" xfId="24" applyNumberFormat="1" applyFont="1" applyFill="1" applyBorder="1" applyAlignment="1">
      <alignment horizontal="center"/>
    </xf>
    <xf numFmtId="168" fontId="0" fillId="8" borderId="23" xfId="15" quotePrefix="1" applyNumberFormat="1" applyFont="1" applyFill="1" applyBorder="1" applyAlignment="1">
      <alignment horizontal="center"/>
    </xf>
    <xf numFmtId="169" fontId="0" fillId="24" borderId="23" xfId="0" applyNumberFormat="1" applyFill="1" applyBorder="1" applyAlignment="1">
      <alignment horizontal="center"/>
    </xf>
    <xf numFmtId="169" fontId="0" fillId="24" borderId="23" xfId="15" applyNumberFormat="1" applyFont="1" applyFill="1" applyBorder="1" applyAlignment="1">
      <alignment horizontal="center"/>
    </xf>
    <xf numFmtId="168" fontId="0" fillId="24" borderId="23" xfId="15" applyNumberFormat="1" applyFont="1" applyFill="1" applyBorder="1" applyAlignment="1">
      <alignment horizontal="center"/>
    </xf>
    <xf numFmtId="2" fontId="0" fillId="24" borderId="23" xfId="15" applyNumberFormat="1" applyFont="1" applyFill="1" applyBorder="1" applyAlignment="1">
      <alignment horizontal="center"/>
    </xf>
    <xf numFmtId="0" fontId="0" fillId="0" borderId="22" xfId="0" quotePrefix="1" applyBorder="1"/>
    <xf numFmtId="4" fontId="0" fillId="8" borderId="23" xfId="0" applyNumberFormat="1" applyFill="1" applyBorder="1" applyAlignment="1">
      <alignment horizontal="center"/>
    </xf>
    <xf numFmtId="0" fontId="0" fillId="0" borderId="22" xfId="0" applyBorder="1"/>
    <xf numFmtId="0" fontId="0" fillId="0" borderId="58" xfId="0" applyBorder="1" applyAlignment="1">
      <alignment horizontal="center" vertical="center"/>
    </xf>
    <xf numFmtId="175" fontId="0" fillId="0" borderId="0" xfId="0" applyNumberFormat="1" applyAlignment="1">
      <alignment horizontal="center"/>
    </xf>
    <xf numFmtId="1" fontId="60" fillId="0" borderId="149" xfId="0" applyNumberFormat="1" applyFont="1" applyBorder="1" applyAlignment="1">
      <alignment horizontal="center" vertical="center"/>
    </xf>
    <xf numFmtId="1" fontId="60" fillId="0" borderId="2" xfId="0" applyNumberFormat="1" applyFont="1" applyBorder="1" applyAlignment="1">
      <alignment horizontal="center" vertical="center"/>
    </xf>
    <xf numFmtId="1" fontId="60" fillId="0" borderId="179" xfId="0" applyNumberFormat="1" applyFont="1" applyBorder="1" applyAlignment="1">
      <alignment horizontal="center" vertical="center"/>
    </xf>
    <xf numFmtId="1" fontId="10" fillId="0" borderId="181" xfId="0" applyNumberFormat="1" applyFont="1" applyBorder="1" applyAlignment="1">
      <alignment horizontal="center" vertical="center"/>
    </xf>
    <xf numFmtId="10" fontId="71" fillId="35" borderId="118" xfId="25" applyNumberFormat="1" applyFont="1" applyFill="1" applyBorder="1"/>
    <xf numFmtId="174" fontId="10" fillId="0" borderId="118" xfId="25" applyNumberFormat="1" applyBorder="1"/>
    <xf numFmtId="168" fontId="55" fillId="0" borderId="0" xfId="15" applyNumberFormat="1" applyFont="1"/>
    <xf numFmtId="3" fontId="69" fillId="38" borderId="160" xfId="0" quotePrefix="1" applyNumberFormat="1" applyFont="1" applyFill="1" applyBorder="1" applyAlignment="1">
      <alignment horizontal="center" vertical="center"/>
    </xf>
    <xf numFmtId="3" fontId="69" fillId="38" borderId="46" xfId="0" quotePrefix="1" applyNumberFormat="1" applyFont="1" applyFill="1" applyBorder="1" applyAlignment="1">
      <alignment horizontal="center" vertical="center"/>
    </xf>
    <xf numFmtId="3" fontId="69" fillId="38" borderId="44" xfId="0" quotePrefix="1" applyNumberFormat="1" applyFont="1" applyFill="1" applyBorder="1" applyAlignment="1">
      <alignment horizontal="center" vertical="center"/>
    </xf>
    <xf numFmtId="3" fontId="27" fillId="38" borderId="160" xfId="0" applyNumberFormat="1" applyFont="1" applyFill="1" applyBorder="1" applyAlignment="1">
      <alignment horizontal="center" vertical="center"/>
    </xf>
    <xf numFmtId="3" fontId="27" fillId="38" borderId="46" xfId="0" applyNumberFormat="1" applyFont="1" applyFill="1" applyBorder="1" applyAlignment="1">
      <alignment horizontal="center" vertical="center"/>
    </xf>
    <xf numFmtId="3" fontId="27" fillId="38" borderId="44" xfId="0" applyNumberFormat="1" applyFont="1" applyFill="1" applyBorder="1" applyAlignment="1">
      <alignment horizontal="center" vertical="center"/>
    </xf>
    <xf numFmtId="0" fontId="69" fillId="38" borderId="160" xfId="0" applyFont="1" applyFill="1" applyBorder="1" applyAlignment="1">
      <alignment horizontal="center" vertical="center"/>
    </xf>
    <xf numFmtId="0" fontId="69" fillId="38" borderId="46" xfId="0" applyFont="1" applyFill="1" applyBorder="1" applyAlignment="1">
      <alignment horizontal="center" vertical="center"/>
    </xf>
    <xf numFmtId="0" fontId="69" fillId="38" borderId="44" xfId="0" applyFont="1" applyFill="1" applyBorder="1" applyAlignment="1">
      <alignment horizontal="center" vertical="center"/>
    </xf>
    <xf numFmtId="1" fontId="69" fillId="0" borderId="160" xfId="0" applyNumberFormat="1" applyFont="1" applyBorder="1" applyAlignment="1">
      <alignment horizontal="center" vertical="center"/>
    </xf>
    <xf numFmtId="1" fontId="69" fillId="0" borderId="46" xfId="0" quotePrefix="1" applyNumberFormat="1" applyFont="1" applyBorder="1" applyAlignment="1">
      <alignment horizontal="center" vertical="center"/>
    </xf>
    <xf numFmtId="1" fontId="69" fillId="0" borderId="151" xfId="0" quotePrefix="1" applyNumberFormat="1" applyFont="1" applyBorder="1" applyAlignment="1">
      <alignment horizontal="center" vertical="center"/>
    </xf>
    <xf numFmtId="1" fontId="27" fillId="0" borderId="160" xfId="0" applyNumberFormat="1" applyFont="1" applyBorder="1" applyAlignment="1">
      <alignment horizontal="center" vertical="center"/>
    </xf>
    <xf numFmtId="1" fontId="27" fillId="0" borderId="46" xfId="0" applyNumberFormat="1" applyFont="1" applyBorder="1" applyAlignment="1">
      <alignment horizontal="center" vertical="center"/>
    </xf>
    <xf numFmtId="1" fontId="27" fillId="0" borderId="151" xfId="0" applyNumberFormat="1" applyFont="1" applyBorder="1" applyAlignment="1">
      <alignment horizontal="center" vertical="center"/>
    </xf>
    <xf numFmtId="1" fontId="69" fillId="0" borderId="46" xfId="0" applyNumberFormat="1" applyFont="1" applyBorder="1" applyAlignment="1">
      <alignment horizontal="center" vertical="center"/>
    </xf>
    <xf numFmtId="1" fontId="69" fillId="0" borderId="151" xfId="0" applyNumberFormat="1" applyFont="1" applyBorder="1" applyAlignment="1">
      <alignment horizontal="center" vertical="center"/>
    </xf>
    <xf numFmtId="1" fontId="10" fillId="0" borderId="3" xfId="0" applyNumberFormat="1" applyFont="1" applyBorder="1" applyAlignment="1">
      <alignment horizontal="center" vertical="center"/>
    </xf>
    <xf numFmtId="1" fontId="10" fillId="0" borderId="34" xfId="0" applyNumberFormat="1" applyFont="1" applyBorder="1" applyAlignment="1">
      <alignment horizontal="center" vertical="center"/>
    </xf>
    <xf numFmtId="1" fontId="10" fillId="0" borderId="186" xfId="0" applyNumberFormat="1" applyFont="1" applyBorder="1" applyAlignment="1">
      <alignment horizontal="center" vertical="center"/>
    </xf>
    <xf numFmtId="0" fontId="67" fillId="0" borderId="0" xfId="0" applyFont="1" applyAlignment="1">
      <alignment horizontal="center"/>
    </xf>
    <xf numFmtId="1" fontId="67" fillId="0" borderId="0" xfId="0" applyNumberFormat="1" applyFont="1" applyAlignment="1">
      <alignment horizontal="center"/>
    </xf>
    <xf numFmtId="1" fontId="72" fillId="0" borderId="0" xfId="0" applyNumberFormat="1" applyFont="1" applyAlignment="1">
      <alignment horizontal="left"/>
    </xf>
    <xf numFmtId="0" fontId="10" fillId="0" borderId="0" xfId="25" applyAlignment="1">
      <alignment vertical="center" wrapText="1"/>
    </xf>
    <xf numFmtId="3" fontId="53" fillId="34" borderId="120" xfId="5" applyFont="1" applyFill="1" applyBorder="1" applyAlignment="1">
      <alignment horizontal="right" vertical="center" wrapText="1"/>
    </xf>
    <xf numFmtId="4" fontId="10" fillId="34" borderId="120" xfId="7" applyFont="1" applyFill="1" applyBorder="1" applyAlignment="1">
      <alignment horizontal="right" vertical="center" wrapText="1"/>
    </xf>
    <xf numFmtId="4" fontId="34" fillId="0" borderId="118" xfId="7" applyFont="1" applyFill="1" applyBorder="1" applyAlignment="1">
      <alignment horizontal="right" vertical="center" wrapText="1"/>
    </xf>
    <xf numFmtId="0" fontId="10" fillId="0" borderId="118" xfId="10" applyFont="1" applyFill="1" applyBorder="1" applyAlignment="1">
      <alignment horizontal="right" vertical="center" wrapText="1"/>
    </xf>
    <xf numFmtId="0" fontId="22" fillId="0" borderId="0" xfId="8" applyFill="1" applyBorder="1" applyAlignment="1">
      <alignment wrapText="1"/>
    </xf>
    <xf numFmtId="0" fontId="10" fillId="0" borderId="0" xfId="25" applyAlignment="1">
      <alignment wrapText="1"/>
    </xf>
    <xf numFmtId="0" fontId="0" fillId="0" borderId="0" xfId="0" applyAlignment="1">
      <alignment wrapText="1"/>
    </xf>
    <xf numFmtId="0" fontId="0" fillId="0" borderId="0" xfId="25" applyFont="1"/>
    <xf numFmtId="2" fontId="10" fillId="0" borderId="0" xfId="25" applyNumberFormat="1"/>
    <xf numFmtId="2" fontId="0" fillId="0" borderId="0" xfId="25" applyNumberFormat="1" applyFont="1"/>
    <xf numFmtId="0" fontId="60" fillId="0" borderId="0" xfId="0" applyFont="1"/>
    <xf numFmtId="0" fontId="60" fillId="0" borderId="0" xfId="0" applyFont="1" applyAlignment="1">
      <alignment horizontal="center"/>
    </xf>
    <xf numFmtId="167" fontId="10" fillId="0" borderId="0" xfId="0" applyNumberFormat="1" applyFont="1"/>
    <xf numFmtId="166" fontId="10" fillId="0" borderId="0" xfId="0" applyNumberFormat="1" applyFont="1"/>
    <xf numFmtId="167" fontId="28" fillId="0" borderId="0" xfId="0" applyNumberFormat="1" applyFont="1"/>
    <xf numFmtId="168" fontId="10" fillId="24" borderId="19" xfId="15" applyNumberFormat="1" applyFont="1" applyFill="1" applyBorder="1" applyAlignment="1">
      <alignment horizontal="center"/>
    </xf>
    <xf numFmtId="173" fontId="36" fillId="24" borderId="103" xfId="0" applyNumberFormat="1" applyFont="1" applyFill="1" applyBorder="1" applyAlignment="1">
      <alignment horizontal="center"/>
    </xf>
    <xf numFmtId="0" fontId="48" fillId="9" borderId="73" xfId="0" applyFont="1" applyFill="1" applyBorder="1" applyAlignment="1">
      <alignment horizontal="center" vertical="center"/>
    </xf>
    <xf numFmtId="0" fontId="48" fillId="31" borderId="73" xfId="0" applyFont="1" applyFill="1" applyBorder="1" applyAlignment="1">
      <alignment horizontal="center" vertical="center"/>
    </xf>
    <xf numFmtId="0" fontId="48" fillId="5" borderId="145" xfId="0" applyFont="1" applyFill="1" applyBorder="1" applyAlignment="1">
      <alignment horizontal="center"/>
    </xf>
    <xf numFmtId="0" fontId="29" fillId="32" borderId="10" xfId="0" applyFont="1" applyFill="1" applyBorder="1" applyAlignment="1">
      <alignment horizontal="center"/>
    </xf>
    <xf numFmtId="0" fontId="48" fillId="5" borderId="130" xfId="0" applyFont="1" applyFill="1" applyBorder="1" applyAlignment="1">
      <alignment horizontal="center"/>
    </xf>
    <xf numFmtId="0" fontId="29" fillId="32" borderId="192" xfId="0" applyFont="1" applyFill="1" applyBorder="1" applyAlignment="1">
      <alignment horizontal="center"/>
    </xf>
    <xf numFmtId="0" fontId="15" fillId="17" borderId="106" xfId="0" applyFont="1" applyFill="1" applyBorder="1" applyAlignment="1">
      <alignment horizontal="left" vertical="center"/>
    </xf>
    <xf numFmtId="173" fontId="0" fillId="17" borderId="102" xfId="0" applyNumberFormat="1" applyFill="1" applyBorder="1" applyAlignment="1">
      <alignment horizontal="center"/>
    </xf>
    <xf numFmtId="0" fontId="15" fillId="17" borderId="107" xfId="0" applyFont="1" applyFill="1" applyBorder="1" applyAlignment="1">
      <alignment horizontal="left" vertical="center"/>
    </xf>
    <xf numFmtId="9" fontId="0" fillId="17" borderId="103" xfId="15" applyFont="1" applyFill="1" applyBorder="1" applyAlignment="1">
      <alignment horizontal="center"/>
    </xf>
    <xf numFmtId="9" fontId="10" fillId="17" borderId="102" xfId="15" applyFont="1" applyFill="1" applyBorder="1" applyAlignment="1">
      <alignment horizontal="center"/>
    </xf>
    <xf numFmtId="9" fontId="0" fillId="17" borderId="102" xfId="15" applyFont="1" applyFill="1" applyBorder="1" applyAlignment="1">
      <alignment horizontal="center"/>
    </xf>
    <xf numFmtId="2" fontId="10" fillId="17" borderId="103" xfId="0" applyNumberFormat="1" applyFont="1" applyFill="1" applyBorder="1" applyAlignment="1">
      <alignment horizontal="center" vertical="center"/>
    </xf>
    <xf numFmtId="2" fontId="0" fillId="17" borderId="103" xfId="0" applyNumberFormat="1" applyFill="1" applyBorder="1" applyAlignment="1">
      <alignment horizontal="center"/>
    </xf>
    <xf numFmtId="0" fontId="15" fillId="17" borderId="105" xfId="0" applyFont="1" applyFill="1" applyBorder="1" applyAlignment="1">
      <alignment horizontal="left" vertical="center"/>
    </xf>
    <xf numFmtId="2" fontId="0" fillId="17" borderId="101" xfId="0" applyNumberFormat="1" applyFill="1" applyBorder="1" applyAlignment="1">
      <alignment horizontal="center"/>
    </xf>
    <xf numFmtId="2" fontId="10" fillId="17" borderId="103" xfId="0" applyNumberFormat="1" applyFont="1" applyFill="1" applyBorder="1" applyAlignment="1">
      <alignment horizontal="center"/>
    </xf>
    <xf numFmtId="169" fontId="0" fillId="17" borderId="103" xfId="0" applyNumberFormat="1" applyFill="1" applyBorder="1" applyAlignment="1">
      <alignment horizontal="center"/>
    </xf>
    <xf numFmtId="9" fontId="0" fillId="0" borderId="101" xfId="15" applyFont="1" applyFill="1" applyBorder="1" applyAlignment="1">
      <alignment horizontal="center"/>
    </xf>
    <xf numFmtId="0" fontId="15" fillId="0" borderId="107" xfId="0" applyFont="1" applyBorder="1" applyAlignment="1">
      <alignment horizontal="left" vertical="center"/>
    </xf>
    <xf numFmtId="9" fontId="0" fillId="0" borderId="103" xfId="15" applyFont="1" applyFill="1" applyBorder="1" applyAlignment="1">
      <alignment horizontal="center"/>
    </xf>
    <xf numFmtId="2" fontId="0" fillId="0" borderId="101" xfId="0" applyNumberFormat="1" applyBorder="1" applyAlignment="1">
      <alignment horizontal="center"/>
    </xf>
    <xf numFmtId="0" fontId="15" fillId="0" borderId="106" xfId="0" applyFont="1" applyBorder="1" applyAlignment="1">
      <alignment horizontal="left" vertical="center"/>
    </xf>
    <xf numFmtId="2" fontId="0" fillId="0" borderId="103" xfId="0" applyNumberFormat="1" applyBorder="1" applyAlignment="1">
      <alignment horizontal="center"/>
    </xf>
    <xf numFmtId="2" fontId="10" fillId="17" borderId="101" xfId="0" applyNumberFormat="1" applyFont="1" applyFill="1" applyBorder="1" applyAlignment="1">
      <alignment horizontal="center"/>
    </xf>
    <xf numFmtId="2" fontId="0" fillId="17" borderId="102" xfId="0" applyNumberFormat="1" applyFill="1" applyBorder="1" applyAlignment="1">
      <alignment horizontal="center"/>
    </xf>
    <xf numFmtId="0" fontId="16" fillId="17" borderId="107" xfId="0" applyFont="1" applyFill="1" applyBorder="1" applyAlignment="1">
      <alignment horizontal="left" vertical="center"/>
    </xf>
    <xf numFmtId="2" fontId="0" fillId="17" borderId="103" xfId="15" applyNumberFormat="1" applyFont="1" applyFill="1" applyBorder="1" applyAlignment="1">
      <alignment horizontal="center"/>
    </xf>
    <xf numFmtId="10" fontId="0" fillId="17" borderId="103" xfId="15" applyNumberFormat="1" applyFont="1" applyFill="1" applyBorder="1" applyAlignment="1">
      <alignment horizontal="center" vertical="center"/>
    </xf>
    <xf numFmtId="0" fontId="15" fillId="0" borderId="109" xfId="0" applyFont="1" applyBorder="1" applyAlignment="1">
      <alignment horizontal="left" vertical="center"/>
    </xf>
    <xf numFmtId="10" fontId="10" fillId="0" borderId="102" xfId="15" applyNumberFormat="1" applyFont="1" applyFill="1" applyBorder="1" applyAlignment="1">
      <alignment horizontal="center"/>
    </xf>
    <xf numFmtId="10" fontId="0" fillId="0" borderId="102" xfId="15" applyNumberFormat="1" applyFont="1" applyFill="1" applyBorder="1" applyAlignment="1">
      <alignment horizontal="center"/>
    </xf>
    <xf numFmtId="169" fontId="0" fillId="0" borderId="102" xfId="0" applyNumberFormat="1" applyBorder="1" applyAlignment="1">
      <alignment horizontal="center"/>
    </xf>
    <xf numFmtId="169" fontId="10" fillId="0" borderId="101" xfId="0" applyNumberFormat="1" applyFont="1" applyBorder="1" applyAlignment="1">
      <alignment horizontal="center"/>
    </xf>
    <xf numFmtId="169" fontId="0" fillId="0" borderId="101" xfId="0" applyNumberFormat="1" applyBorder="1" applyAlignment="1">
      <alignment horizontal="center"/>
    </xf>
    <xf numFmtId="2" fontId="0" fillId="0" borderId="102" xfId="0" applyNumberFormat="1" applyBorder="1" applyAlignment="1">
      <alignment horizontal="center"/>
    </xf>
    <xf numFmtId="169" fontId="0" fillId="0" borderId="103" xfId="0" applyNumberFormat="1" applyBorder="1" applyAlignment="1">
      <alignment horizontal="center"/>
    </xf>
    <xf numFmtId="168" fontId="0" fillId="0" borderId="101" xfId="15" applyNumberFormat="1" applyFont="1" applyFill="1" applyBorder="1" applyAlignment="1">
      <alignment horizontal="center"/>
    </xf>
    <xf numFmtId="173" fontId="28" fillId="18" borderId="207" xfId="0" applyNumberFormat="1" applyFont="1" applyFill="1" applyBorder="1" applyAlignment="1">
      <alignment horizontal="center"/>
    </xf>
    <xf numFmtId="173" fontId="28" fillId="18" borderId="208" xfId="0" applyNumberFormat="1" applyFont="1" applyFill="1" applyBorder="1" applyAlignment="1">
      <alignment horizontal="center"/>
    </xf>
    <xf numFmtId="9" fontId="28" fillId="31" borderId="75" xfId="15" applyFont="1" applyFill="1" applyBorder="1" applyAlignment="1">
      <alignment horizontal="center" vertical="center"/>
    </xf>
    <xf numFmtId="9" fontId="28" fillId="18" borderId="207" xfId="15" applyFont="1" applyFill="1" applyBorder="1" applyAlignment="1">
      <alignment horizontal="center"/>
    </xf>
    <xf numFmtId="9" fontId="28" fillId="18" borderId="108" xfId="15" applyFont="1" applyFill="1" applyBorder="1" applyAlignment="1">
      <alignment horizontal="center"/>
    </xf>
    <xf numFmtId="9" fontId="28" fillId="18" borderId="208" xfId="15" applyFont="1" applyFill="1" applyBorder="1" applyAlignment="1">
      <alignment horizontal="center"/>
    </xf>
    <xf numFmtId="0" fontId="28" fillId="31" borderId="75" xfId="0" applyFont="1" applyFill="1" applyBorder="1" applyAlignment="1">
      <alignment horizontal="center" vertical="center"/>
    </xf>
    <xf numFmtId="2" fontId="28" fillId="18" borderId="108" xfId="0" applyNumberFormat="1" applyFont="1" applyFill="1" applyBorder="1" applyAlignment="1">
      <alignment horizontal="center"/>
    </xf>
    <xf numFmtId="2" fontId="28" fillId="18" borderId="208" xfId="0" applyNumberFormat="1" applyFont="1" applyFill="1" applyBorder="1" applyAlignment="1">
      <alignment horizontal="center"/>
    </xf>
    <xf numFmtId="2" fontId="28" fillId="31" borderId="75" xfId="15" applyNumberFormat="1" applyFont="1" applyFill="1" applyBorder="1" applyAlignment="1">
      <alignment horizontal="center" vertical="center"/>
    </xf>
    <xf numFmtId="2" fontId="28" fillId="18" borderId="207" xfId="0" applyNumberFormat="1" applyFont="1" applyFill="1" applyBorder="1" applyAlignment="1">
      <alignment horizontal="center"/>
    </xf>
    <xf numFmtId="10" fontId="28" fillId="31" borderId="75" xfId="0" applyNumberFormat="1" applyFont="1" applyFill="1" applyBorder="1" applyAlignment="1">
      <alignment horizontal="center" vertical="center"/>
    </xf>
    <xf numFmtId="171" fontId="28" fillId="31" borderId="75" xfId="18" applyNumberFormat="1" applyFont="1" applyFill="1" applyBorder="1" applyAlignment="1">
      <alignment horizontal="center" vertical="center"/>
    </xf>
    <xf numFmtId="2" fontId="28" fillId="18" borderId="108" xfId="15" applyNumberFormat="1" applyFont="1" applyFill="1" applyBorder="1" applyAlignment="1">
      <alignment horizontal="center"/>
    </xf>
    <xf numFmtId="0" fontId="28" fillId="31" borderId="75" xfId="0" applyFont="1" applyFill="1" applyBorder="1" applyAlignment="1">
      <alignment horizontal="center"/>
    </xf>
    <xf numFmtId="9" fontId="28" fillId="18" borderId="77" xfId="15" applyFont="1" applyFill="1" applyBorder="1" applyAlignment="1">
      <alignment horizontal="center"/>
    </xf>
    <xf numFmtId="0" fontId="15" fillId="0" borderId="95" xfId="0" applyFont="1" applyBorder="1" applyAlignment="1">
      <alignment horizontal="left"/>
    </xf>
    <xf numFmtId="9" fontId="10" fillId="0" borderId="209" xfId="0" applyNumberFormat="1" applyFont="1" applyBorder="1" applyAlignment="1">
      <alignment horizontal="center"/>
    </xf>
    <xf numFmtId="3" fontId="55" fillId="0" borderId="149" xfId="0" applyNumberFormat="1" applyFont="1" applyBorder="1" applyAlignment="1">
      <alignment horizontal="center" vertical="center"/>
    </xf>
    <xf numFmtId="3" fontId="55" fillId="8" borderId="150" xfId="0" applyNumberFormat="1" applyFont="1" applyFill="1" applyBorder="1" applyAlignment="1">
      <alignment horizontal="center" vertical="center"/>
    </xf>
    <xf numFmtId="0" fontId="55" fillId="0" borderId="210" xfId="0" applyFont="1" applyBorder="1"/>
    <xf numFmtId="4" fontId="7" fillId="0" borderId="211" xfId="28" applyNumberFormat="1" applyBorder="1" applyAlignment="1">
      <alignment horizontal="center"/>
    </xf>
    <xf numFmtId="0" fontId="55" fillId="0" borderId="43" xfId="0" applyFont="1" applyBorder="1"/>
    <xf numFmtId="10" fontId="7" fillId="0" borderId="0" xfId="28" quotePrefix="1" applyNumberFormat="1" applyAlignment="1">
      <alignment horizontal="right"/>
    </xf>
    <xf numFmtId="0" fontId="60" fillId="0" borderId="151" xfId="0" applyFont="1" applyBorder="1" applyAlignment="1">
      <alignment horizontal="center" vertical="center"/>
    </xf>
    <xf numFmtId="3" fontId="60" fillId="40" borderId="151" xfId="0" applyNumberFormat="1" applyFont="1" applyFill="1" applyBorder="1" applyAlignment="1">
      <alignment horizontal="center" vertical="center"/>
    </xf>
    <xf numFmtId="3" fontId="60" fillId="40" borderId="151" xfId="0" quotePrefix="1" applyNumberFormat="1" applyFont="1" applyFill="1" applyBorder="1" applyAlignment="1">
      <alignment horizontal="center" vertical="center"/>
    </xf>
    <xf numFmtId="3" fontId="60" fillId="0" borderId="151" xfId="0" applyNumberFormat="1" applyFont="1" applyBorder="1" applyAlignment="1">
      <alignment horizontal="center" vertical="center"/>
    </xf>
    <xf numFmtId="3" fontId="60" fillId="41" borderId="186" xfId="0" applyNumberFormat="1" applyFont="1" applyFill="1" applyBorder="1" applyAlignment="1">
      <alignment horizontal="center" vertical="center"/>
    </xf>
    <xf numFmtId="1" fontId="55" fillId="40" borderId="212" xfId="0" applyNumberFormat="1" applyFont="1" applyFill="1" applyBorder="1" applyAlignment="1">
      <alignment horizontal="center" vertical="center"/>
    </xf>
    <xf numFmtId="1" fontId="55" fillId="40" borderId="181" xfId="0" applyNumberFormat="1" applyFont="1" applyFill="1" applyBorder="1" applyAlignment="1">
      <alignment horizontal="center" vertical="center"/>
    </xf>
    <xf numFmtId="1" fontId="55" fillId="40" borderId="3" xfId="0" applyNumberFormat="1" applyFont="1" applyFill="1" applyBorder="1" applyAlignment="1">
      <alignment horizontal="center" vertical="center"/>
    </xf>
    <xf numFmtId="1" fontId="55" fillId="40" borderId="34" xfId="0" applyNumberFormat="1" applyFont="1" applyFill="1" applyBorder="1" applyAlignment="1">
      <alignment horizontal="center" vertical="center"/>
    </xf>
    <xf numFmtId="1" fontId="0" fillId="0" borderId="181" xfId="0" applyNumberFormat="1" applyBorder="1" applyAlignment="1">
      <alignment horizontal="center" vertical="center"/>
    </xf>
    <xf numFmtId="1" fontId="0" fillId="0" borderId="3" xfId="0" applyNumberFormat="1" applyBorder="1" applyAlignment="1">
      <alignment horizontal="center" vertical="center"/>
    </xf>
    <xf numFmtId="1" fontId="0" fillId="0" borderId="186" xfId="0" applyNumberFormat="1" applyBorder="1" applyAlignment="1">
      <alignment horizontal="center" vertical="center"/>
    </xf>
    <xf numFmtId="1" fontId="0" fillId="0" borderId="35" xfId="0" applyNumberFormat="1" applyBorder="1" applyAlignment="1">
      <alignment horizontal="center" vertical="center"/>
    </xf>
    <xf numFmtId="1" fontId="55" fillId="0" borderId="149" xfId="0" applyNumberFormat="1" applyFont="1" applyBorder="1" applyAlignment="1">
      <alignment horizontal="center" vertical="center"/>
    </xf>
    <xf numFmtId="1" fontId="55" fillId="0" borderId="2" xfId="0" applyNumberFormat="1" applyFont="1" applyBorder="1" applyAlignment="1">
      <alignment horizontal="center" vertical="center"/>
    </xf>
    <xf numFmtId="1" fontId="55" fillId="0" borderId="179" xfId="0" applyNumberFormat="1" applyFont="1" applyBorder="1" applyAlignment="1">
      <alignment horizontal="center" vertical="center"/>
    </xf>
    <xf numFmtId="1" fontId="55" fillId="0" borderId="38" xfId="0" applyNumberFormat="1" applyFont="1" applyBorder="1" applyAlignment="1">
      <alignment horizontal="center" vertical="center"/>
    </xf>
    <xf numFmtId="4" fontId="7" fillId="0" borderId="186" xfId="28" applyNumberFormat="1" applyBorder="1" applyAlignment="1">
      <alignment horizontal="center"/>
    </xf>
    <xf numFmtId="4" fontId="7" fillId="0" borderId="181" xfId="28" applyNumberFormat="1" applyBorder="1" applyAlignment="1">
      <alignment horizontal="center"/>
    </xf>
    <xf numFmtId="4" fontId="7" fillId="0" borderId="3" xfId="28" applyNumberFormat="1" applyBorder="1" applyAlignment="1">
      <alignment horizontal="center"/>
    </xf>
    <xf numFmtId="4" fontId="7" fillId="0" borderId="35" xfId="28" applyNumberFormat="1" applyBorder="1" applyAlignment="1">
      <alignment horizontal="center"/>
    </xf>
    <xf numFmtId="0" fontId="29" fillId="0" borderId="0" xfId="25" applyFont="1" applyAlignment="1">
      <alignment horizontal="center" vertical="center"/>
    </xf>
    <xf numFmtId="4" fontId="27" fillId="0" borderId="0" xfId="7" applyFont="1" applyFill="1" applyBorder="1">
      <alignment horizontal="right"/>
    </xf>
    <xf numFmtId="0" fontId="48" fillId="31" borderId="66" xfId="0" applyFont="1" applyFill="1" applyBorder="1" applyAlignment="1">
      <alignment horizontal="left" vertical="center"/>
    </xf>
    <xf numFmtId="10" fontId="0" fillId="0" borderId="51" xfId="0" applyNumberFormat="1" applyBorder="1" applyAlignment="1">
      <alignment horizontal="center" vertical="center"/>
    </xf>
    <xf numFmtId="0" fontId="15" fillId="8" borderId="109" xfId="0" applyFont="1" applyFill="1" applyBorder="1" applyAlignment="1">
      <alignment horizontal="left" vertical="center"/>
    </xf>
    <xf numFmtId="10" fontId="0" fillId="8" borderId="110" xfId="15" applyNumberFormat="1" applyFont="1" applyFill="1" applyBorder="1" applyAlignment="1">
      <alignment horizontal="center" vertical="center"/>
    </xf>
    <xf numFmtId="10" fontId="0" fillId="8" borderId="111" xfId="15" applyNumberFormat="1" applyFont="1" applyFill="1" applyBorder="1" applyAlignment="1">
      <alignment horizontal="center" vertical="center"/>
    </xf>
    <xf numFmtId="0" fontId="48" fillId="0" borderId="0" xfId="0" applyFont="1" applyAlignment="1">
      <alignment horizontal="left" vertical="center"/>
    </xf>
    <xf numFmtId="10" fontId="0" fillId="0" borderId="0" xfId="15" applyNumberFormat="1" applyFont="1" applyFill="1" applyBorder="1" applyAlignment="1">
      <alignment horizontal="center" vertical="center"/>
    </xf>
    <xf numFmtId="0" fontId="59" fillId="36" borderId="77" xfId="0" applyFont="1" applyFill="1" applyBorder="1" applyAlignment="1">
      <alignment horizontal="center" vertical="center"/>
    </xf>
    <xf numFmtId="173" fontId="0" fillId="0" borderId="207" xfId="0" applyNumberFormat="1" applyBorder="1" applyAlignment="1">
      <alignment horizontal="center"/>
    </xf>
    <xf numFmtId="173" fontId="0" fillId="17" borderId="208" xfId="0" applyNumberFormat="1" applyFill="1" applyBorder="1" applyAlignment="1">
      <alignment horizontal="center"/>
    </xf>
    <xf numFmtId="0" fontId="0" fillId="31" borderId="75" xfId="0" applyFill="1" applyBorder="1" applyAlignment="1">
      <alignment horizontal="center"/>
    </xf>
    <xf numFmtId="9" fontId="0" fillId="0" borderId="207" xfId="15" applyFont="1" applyFill="1" applyBorder="1" applyAlignment="1">
      <alignment horizontal="center"/>
    </xf>
    <xf numFmtId="9" fontId="0" fillId="17" borderId="108" xfId="15" applyFont="1" applyFill="1" applyBorder="1" applyAlignment="1">
      <alignment horizontal="center"/>
    </xf>
    <xf numFmtId="9" fontId="0" fillId="0" borderId="108" xfId="15" applyFont="1" applyFill="1" applyBorder="1" applyAlignment="1">
      <alignment horizontal="center"/>
    </xf>
    <xf numFmtId="9" fontId="0" fillId="17" borderId="208" xfId="15" applyFont="1" applyFill="1" applyBorder="1" applyAlignment="1">
      <alignment horizontal="center"/>
    </xf>
    <xf numFmtId="2" fontId="0" fillId="0" borderId="207" xfId="0" applyNumberFormat="1" applyBorder="1" applyAlignment="1">
      <alignment horizontal="center"/>
    </xf>
    <xf numFmtId="2" fontId="0" fillId="17" borderId="108" xfId="0" applyNumberFormat="1" applyFill="1" applyBorder="1" applyAlignment="1">
      <alignment horizontal="center"/>
    </xf>
    <xf numFmtId="2" fontId="0" fillId="0" borderId="208" xfId="0" applyNumberFormat="1" applyBorder="1" applyAlignment="1">
      <alignment horizontal="center"/>
    </xf>
    <xf numFmtId="2" fontId="0" fillId="17" borderId="207" xfId="0" applyNumberFormat="1" applyFill="1" applyBorder="1" applyAlignment="1">
      <alignment horizontal="center"/>
    </xf>
    <xf numFmtId="2" fontId="0" fillId="0" borderId="108" xfId="0" applyNumberFormat="1" applyBorder="1" applyAlignment="1">
      <alignment horizontal="center"/>
    </xf>
    <xf numFmtId="2" fontId="0" fillId="17" borderId="208" xfId="0" applyNumberFormat="1" applyFill="1" applyBorder="1" applyAlignment="1">
      <alignment horizontal="center"/>
    </xf>
    <xf numFmtId="169" fontId="0" fillId="0" borderId="207" xfId="0" applyNumberFormat="1" applyBorder="1" applyAlignment="1">
      <alignment horizontal="center"/>
    </xf>
    <xf numFmtId="169" fontId="0" fillId="17" borderId="108" xfId="0" applyNumberFormat="1" applyFill="1" applyBorder="1" applyAlignment="1">
      <alignment horizontal="center"/>
    </xf>
    <xf numFmtId="169" fontId="0" fillId="0" borderId="108" xfId="0" applyNumberFormat="1" applyBorder="1" applyAlignment="1">
      <alignment horizontal="center"/>
    </xf>
    <xf numFmtId="169" fontId="0" fillId="0" borderId="208" xfId="0" applyNumberFormat="1" applyBorder="1" applyAlignment="1">
      <alignment horizontal="center"/>
    </xf>
    <xf numFmtId="168" fontId="0" fillId="0" borderId="207" xfId="15" applyNumberFormat="1" applyFont="1" applyFill="1" applyBorder="1" applyAlignment="1">
      <alignment horizontal="center"/>
    </xf>
    <xf numFmtId="2" fontId="0" fillId="17" borderId="108" xfId="15" applyNumberFormat="1" applyFont="1" applyFill="1" applyBorder="1" applyAlignment="1">
      <alignment horizontal="center"/>
    </xf>
    <xf numFmtId="10" fontId="0" fillId="0" borderId="208" xfId="15" applyNumberFormat="1" applyFont="1" applyFill="1" applyBorder="1" applyAlignment="1">
      <alignment horizontal="center"/>
    </xf>
    <xf numFmtId="10" fontId="0" fillId="17" borderId="108" xfId="15" applyNumberFormat="1" applyFont="1" applyFill="1" applyBorder="1" applyAlignment="1">
      <alignment horizontal="center" vertical="center"/>
    </xf>
    <xf numFmtId="0" fontId="74" fillId="36" borderId="75" xfId="0" applyFont="1" applyFill="1" applyBorder="1" applyAlignment="1">
      <alignment horizontal="center" vertical="center" wrapText="1"/>
    </xf>
    <xf numFmtId="9" fontId="0" fillId="0" borderId="0" xfId="15" applyFont="1" applyBorder="1" applyAlignment="1">
      <alignment horizontal="center" vertical="center"/>
    </xf>
    <xf numFmtId="0" fontId="29" fillId="5" borderId="216" xfId="25" applyFont="1" applyFill="1" applyBorder="1" applyAlignment="1">
      <alignment horizontal="center" vertical="center"/>
    </xf>
    <xf numFmtId="4" fontId="27" fillId="28" borderId="217" xfId="7" applyFont="1" applyFill="1" applyBorder="1">
      <alignment horizontal="right"/>
    </xf>
    <xf numFmtId="4" fontId="10" fillId="12" borderId="217" xfId="7" applyFont="1" applyFill="1" applyBorder="1">
      <alignment horizontal="right"/>
    </xf>
    <xf numFmtId="4" fontId="34" fillId="9" borderId="218" xfId="7" applyFont="1" applyFill="1" applyBorder="1">
      <alignment horizontal="right"/>
    </xf>
    <xf numFmtId="0" fontId="59" fillId="36" borderId="0" xfId="23" applyFont="1" applyFill="1"/>
    <xf numFmtId="0" fontId="75" fillId="36" borderId="0" xfId="23" applyFont="1" applyFill="1" applyAlignment="1">
      <alignment horizontal="left" vertical="center"/>
    </xf>
    <xf numFmtId="0" fontId="75" fillId="36" borderId="0" xfId="23" applyFont="1" applyFill="1" applyAlignment="1">
      <alignment horizontal="center" vertical="center"/>
    </xf>
    <xf numFmtId="0" fontId="10" fillId="31" borderId="0" xfId="23" applyFill="1"/>
    <xf numFmtId="0" fontId="10" fillId="0" borderId="0" xfId="23"/>
    <xf numFmtId="10" fontId="0" fillId="0" borderId="0" xfId="15" applyNumberFormat="1" applyFont="1" applyAlignment="1">
      <alignment horizontal="left"/>
    </xf>
    <xf numFmtId="0" fontId="15" fillId="0" borderId="0" xfId="23" applyFont="1"/>
    <xf numFmtId="0" fontId="10" fillId="8" borderId="0" xfId="23" applyFill="1"/>
    <xf numFmtId="0" fontId="40" fillId="0" borderId="0" xfId="23" applyFont="1"/>
    <xf numFmtId="10" fontId="10" fillId="8" borderId="0" xfId="23" applyNumberFormat="1" applyFill="1"/>
    <xf numFmtId="0" fontId="10" fillId="0" borderId="0" xfId="23" applyAlignment="1">
      <alignment horizontal="left"/>
    </xf>
    <xf numFmtId="0" fontId="15" fillId="0" borderId="0" xfId="23" applyFont="1" applyAlignment="1">
      <alignment horizontal="center"/>
    </xf>
    <xf numFmtId="168" fontId="0" fillId="0" borderId="0" xfId="15" applyNumberFormat="1" applyFont="1"/>
    <xf numFmtId="0" fontId="51" fillId="31" borderId="0" xfId="23" applyFont="1" applyFill="1"/>
    <xf numFmtId="168" fontId="40" fillId="0" borderId="0" xfId="23" applyNumberFormat="1" applyFont="1"/>
    <xf numFmtId="0" fontId="0" fillId="7" borderId="0" xfId="0" applyFill="1"/>
    <xf numFmtId="0" fontId="29" fillId="32" borderId="227" xfId="0" applyFont="1" applyFill="1" applyBorder="1" applyAlignment="1">
      <alignment horizontal="center"/>
    </xf>
    <xf numFmtId="0" fontId="15" fillId="0" borderId="227" xfId="0" applyFont="1" applyBorder="1" applyAlignment="1">
      <alignment horizontal="center"/>
    </xf>
    <xf numFmtId="0" fontId="0" fillId="0" borderId="227" xfId="0" applyBorder="1" applyAlignment="1">
      <alignment horizontal="center"/>
    </xf>
    <xf numFmtId="0" fontId="29" fillId="10" borderId="66" xfId="0" applyFont="1" applyFill="1" applyBorder="1" applyAlignment="1">
      <alignment horizontal="center" vertical="center" wrapText="1"/>
    </xf>
    <xf numFmtId="0" fontId="29" fillId="16" borderId="66" xfId="0" applyFont="1" applyFill="1" applyBorder="1" applyAlignment="1">
      <alignment horizontal="center" vertical="center" wrapText="1"/>
    </xf>
    <xf numFmtId="0" fontId="58" fillId="0" borderId="0" xfId="23" applyFont="1" applyAlignment="1">
      <alignment horizontal="center"/>
    </xf>
    <xf numFmtId="0" fontId="10" fillId="24" borderId="0" xfId="0" applyFont="1" applyFill="1" applyAlignment="1">
      <alignment horizontal="center" vertical="center"/>
    </xf>
    <xf numFmtId="177" fontId="77" fillId="46" borderId="0" xfId="15" applyNumberFormat="1" applyFont="1" applyFill="1" applyBorder="1" applyAlignment="1">
      <alignment horizontal="center"/>
    </xf>
    <xf numFmtId="0" fontId="59" fillId="0" borderId="0" xfId="23" applyFont="1"/>
    <xf numFmtId="0" fontId="75" fillId="0" borderId="0" xfId="23" applyFont="1" applyAlignment="1">
      <alignment horizontal="center" vertical="center"/>
    </xf>
    <xf numFmtId="0" fontId="76" fillId="0" borderId="0" xfId="0" applyFont="1" applyAlignment="1">
      <alignment horizontal="center"/>
    </xf>
    <xf numFmtId="0" fontId="10" fillId="8" borderId="0" xfId="23" applyFill="1" applyAlignment="1">
      <alignment horizontal="center" vertical="center"/>
    </xf>
    <xf numFmtId="0" fontId="15" fillId="8" borderId="0" xfId="23" applyFont="1" applyFill="1" applyAlignment="1">
      <alignment horizontal="center" vertical="center"/>
    </xf>
    <xf numFmtId="0" fontId="10" fillId="0" borderId="0" xfId="23" applyAlignment="1">
      <alignment horizontal="center" vertical="center"/>
    </xf>
    <xf numFmtId="0" fontId="79" fillId="5" borderId="118" xfId="4" applyFont="1" applyFill="1" applyBorder="1" applyAlignment="1">
      <alignment horizontal="center" vertical="center"/>
    </xf>
    <xf numFmtId="0" fontId="48" fillId="23" borderId="74" xfId="0" applyFont="1" applyFill="1" applyBorder="1" applyAlignment="1">
      <alignment horizontal="center" vertical="center" wrapText="1"/>
    </xf>
    <xf numFmtId="0" fontId="48" fillId="16" borderId="75" xfId="0" applyFont="1" applyFill="1" applyBorder="1" applyAlignment="1">
      <alignment horizontal="center" vertical="center" wrapText="1"/>
    </xf>
    <xf numFmtId="0" fontId="0" fillId="0" borderId="0" xfId="0" applyAlignment="1">
      <alignment vertical="center"/>
    </xf>
    <xf numFmtId="3" fontId="63" fillId="38" borderId="176" xfId="0" applyNumberFormat="1" applyFont="1" applyFill="1" applyBorder="1" applyAlignment="1">
      <alignment horizontal="center" vertical="center"/>
    </xf>
    <xf numFmtId="177" fontId="77" fillId="46" borderId="0" xfId="15" applyNumberFormat="1" applyFont="1" applyFill="1" applyAlignment="1">
      <alignment horizontal="center"/>
    </xf>
    <xf numFmtId="3" fontId="3" fillId="43" borderId="44" xfId="29" applyNumberFormat="1" applyFont="1" applyFill="1" applyBorder="1" applyAlignment="1">
      <alignment horizontal="center" vertical="center"/>
    </xf>
    <xf numFmtId="0" fontId="3" fillId="0" borderId="46" xfId="0" applyFont="1" applyBorder="1"/>
    <xf numFmtId="166" fontId="3" fillId="0" borderId="46" xfId="0" applyNumberFormat="1" applyFont="1" applyBorder="1" applyAlignment="1">
      <alignment horizontal="center"/>
    </xf>
    <xf numFmtId="166" fontId="3" fillId="0" borderId="0" xfId="0" applyNumberFormat="1" applyFont="1" applyAlignment="1">
      <alignment horizontal="center"/>
    </xf>
    <xf numFmtId="0" fontId="10" fillId="8" borderId="118" xfId="10" applyFont="1" applyFill="1" applyBorder="1" applyAlignment="1">
      <alignment horizontal="center" vertical="center"/>
    </xf>
    <xf numFmtId="0" fontId="10" fillId="0" borderId="0" xfId="0" applyFont="1" applyAlignment="1">
      <alignment horizontal="center" vertical="center"/>
    </xf>
    <xf numFmtId="170" fontId="10" fillId="8" borderId="119" xfId="6" applyFont="1" applyFill="1" applyBorder="1" applyAlignment="1">
      <alignment horizontal="right" vertical="center" wrapText="1"/>
    </xf>
    <xf numFmtId="4" fontId="10" fillId="8" borderId="121" xfId="7" applyFont="1" applyFill="1" applyBorder="1" applyAlignment="1">
      <alignment horizontal="right" vertical="center" wrapText="1"/>
    </xf>
    <xf numFmtId="4" fontId="10" fillId="3" borderId="121" xfId="7" applyFont="1" applyBorder="1" applyAlignment="1">
      <alignment horizontal="right" vertical="center" wrapText="1"/>
    </xf>
    <xf numFmtId="4" fontId="10" fillId="34" borderId="234" xfId="7" applyFont="1" applyFill="1" applyBorder="1" applyAlignment="1">
      <alignment horizontal="right" vertical="center" wrapText="1"/>
    </xf>
    <xf numFmtId="4" fontId="34" fillId="0" borderId="235" xfId="7" applyFont="1" applyFill="1" applyBorder="1" applyAlignment="1">
      <alignment horizontal="right" vertical="center" wrapText="1"/>
    </xf>
    <xf numFmtId="0" fontId="10" fillId="0" borderId="173" xfId="0" applyFont="1" applyBorder="1" applyAlignment="1">
      <alignment horizontal="center" vertical="center"/>
    </xf>
    <xf numFmtId="0" fontId="10" fillId="0" borderId="237" xfId="0" applyFont="1" applyBorder="1" applyAlignment="1">
      <alignment horizontal="center" vertical="center"/>
    </xf>
    <xf numFmtId="0" fontId="10" fillId="0" borderId="236" xfId="0" applyFont="1" applyBorder="1" applyAlignment="1">
      <alignment horizontal="center" vertical="center"/>
    </xf>
    <xf numFmtId="0" fontId="10" fillId="12" borderId="119" xfId="10" applyFont="1" applyFill="1" applyBorder="1" applyAlignment="1">
      <alignment horizontal="right" vertical="center"/>
    </xf>
    <xf numFmtId="4" fontId="34" fillId="12" borderId="119" xfId="7" applyFont="1" applyFill="1" applyBorder="1" applyAlignment="1">
      <alignment horizontal="right" vertical="center"/>
    </xf>
    <xf numFmtId="4" fontId="10" fillId="3" borderId="121" xfId="7" applyFont="1" applyBorder="1" applyAlignment="1">
      <alignment horizontal="left" vertical="center" wrapText="1"/>
    </xf>
    <xf numFmtId="4" fontId="34" fillId="0" borderId="238" xfId="7" applyFont="1" applyFill="1" applyBorder="1" applyAlignment="1">
      <alignment horizontal="right" vertical="center" wrapText="1"/>
    </xf>
    <xf numFmtId="4" fontId="34" fillId="0" borderId="239" xfId="7" applyFont="1" applyFill="1" applyBorder="1" applyAlignment="1">
      <alignment horizontal="right" vertical="center" wrapText="1"/>
    </xf>
    <xf numFmtId="0" fontId="10" fillId="0" borderId="118" xfId="10" applyFont="1" applyFill="1" applyBorder="1" applyAlignment="1">
      <alignment horizontal="center" vertical="center" wrapText="1"/>
    </xf>
    <xf numFmtId="4" fontId="34" fillId="8" borderId="118" xfId="7" applyFont="1" applyFill="1" applyBorder="1" applyAlignment="1">
      <alignment horizontal="right" vertical="center"/>
    </xf>
    <xf numFmtId="2" fontId="0" fillId="0" borderId="118" xfId="25" applyNumberFormat="1" applyFont="1" applyBorder="1" applyAlignment="1">
      <alignment vertical="center"/>
    </xf>
    <xf numFmtId="0" fontId="37" fillId="0" borderId="0" xfId="23" applyFont="1"/>
    <xf numFmtId="0" fontId="25" fillId="0" borderId="0" xfId="23" applyFont="1" applyAlignment="1">
      <alignment horizontal="center"/>
    </xf>
    <xf numFmtId="0" fontId="37" fillId="0" borderId="0" xfId="23" applyFont="1" applyAlignment="1">
      <alignment horizontal="left"/>
    </xf>
    <xf numFmtId="3" fontId="37" fillId="0" borderId="0" xfId="23" applyNumberFormat="1" applyFont="1" applyAlignment="1">
      <alignment horizontal="center"/>
    </xf>
    <xf numFmtId="0" fontId="25" fillId="0" borderId="0" xfId="23" applyFont="1" applyAlignment="1">
      <alignment horizontal="center" vertical="center"/>
    </xf>
    <xf numFmtId="0" fontId="25" fillId="0" borderId="0" xfId="23" applyFont="1"/>
    <xf numFmtId="0" fontId="37" fillId="19" borderId="0" xfId="23" applyFont="1" applyFill="1"/>
    <xf numFmtId="3" fontId="37" fillId="19" borderId="0" xfId="23" applyNumberFormat="1" applyFont="1" applyFill="1" applyAlignment="1">
      <alignment horizontal="center" vertical="center"/>
    </xf>
    <xf numFmtId="3" fontId="37" fillId="19" borderId="0" xfId="33" applyNumberFormat="1" applyFont="1" applyFill="1" applyAlignment="1">
      <alignment horizontal="center" vertical="center"/>
    </xf>
    <xf numFmtId="0" fontId="10" fillId="12" borderId="0" xfId="23" applyFill="1"/>
    <xf numFmtId="3" fontId="37" fillId="0" borderId="0" xfId="23" applyNumberFormat="1" applyFont="1"/>
    <xf numFmtId="3" fontId="37" fillId="19" borderId="0" xfId="23" applyNumberFormat="1" applyFont="1" applyFill="1" applyAlignment="1">
      <alignment horizontal="center"/>
    </xf>
    <xf numFmtId="3" fontId="38" fillId="19" borderId="0" xfId="33" applyNumberFormat="1" applyFont="1" applyFill="1" applyAlignment="1">
      <alignment horizontal="center" vertical="center"/>
    </xf>
    <xf numFmtId="3" fontId="38" fillId="19" borderId="0" xfId="23" applyNumberFormat="1" applyFont="1" applyFill="1" applyAlignment="1">
      <alignment horizontal="center" vertical="center"/>
    </xf>
    <xf numFmtId="3" fontId="37" fillId="12" borderId="0" xfId="23" applyNumberFormat="1" applyFont="1" applyFill="1" applyAlignment="1">
      <alignment horizontal="center"/>
    </xf>
    <xf numFmtId="3" fontId="38" fillId="12" borderId="0" xfId="23" applyNumberFormat="1" applyFont="1" applyFill="1" applyAlignment="1">
      <alignment horizontal="center"/>
    </xf>
    <xf numFmtId="3" fontId="38" fillId="19" borderId="0" xfId="23" applyNumberFormat="1" applyFont="1" applyFill="1" applyAlignment="1">
      <alignment horizontal="center"/>
    </xf>
    <xf numFmtId="3" fontId="37" fillId="0" borderId="0" xfId="23" applyNumberFormat="1" applyFont="1" applyAlignment="1">
      <alignment horizontal="center" vertical="center"/>
    </xf>
    <xf numFmtId="170" fontId="25" fillId="0" borderId="0" xfId="23" applyNumberFormat="1" applyFont="1" applyAlignment="1">
      <alignment horizontal="center" vertical="center"/>
    </xf>
    <xf numFmtId="3" fontId="25" fillId="0" borderId="0" xfId="23" applyNumberFormat="1" applyFont="1" applyAlignment="1">
      <alignment horizontal="center"/>
    </xf>
    <xf numFmtId="4" fontId="37" fillId="19" borderId="0" xfId="23" applyNumberFormat="1" applyFont="1" applyFill="1" applyAlignment="1">
      <alignment horizontal="center" vertical="center"/>
    </xf>
    <xf numFmtId="4" fontId="37" fillId="19" borderId="0" xfId="33" applyNumberFormat="1" applyFont="1" applyFill="1" applyAlignment="1">
      <alignment horizontal="center" vertical="center"/>
    </xf>
    <xf numFmtId="0" fontId="10" fillId="20" borderId="0" xfId="23" applyFill="1"/>
    <xf numFmtId="0" fontId="28" fillId="0" borderId="0" xfId="23" applyFont="1"/>
    <xf numFmtId="0" fontId="28" fillId="0" borderId="0" xfId="23" applyFont="1" applyAlignment="1">
      <alignment horizontal="center" vertical="center"/>
    </xf>
    <xf numFmtId="0" fontId="25" fillId="0" borderId="0" xfId="23" applyFont="1" applyAlignment="1">
      <alignment horizontal="left"/>
    </xf>
    <xf numFmtId="3" fontId="25" fillId="0" borderId="0" xfId="23" applyNumberFormat="1" applyFont="1" applyAlignment="1">
      <alignment horizontal="center" vertical="center"/>
    </xf>
    <xf numFmtId="0" fontId="37" fillId="19" borderId="0" xfId="23" applyFont="1" applyFill="1" applyAlignment="1">
      <alignment horizontal="left" indent="1"/>
    </xf>
    <xf numFmtId="0" fontId="10" fillId="21" borderId="0" xfId="23" applyFill="1"/>
    <xf numFmtId="3" fontId="25" fillId="0" borderId="0" xfId="23" applyNumberFormat="1" applyFont="1"/>
    <xf numFmtId="170" fontId="37" fillId="19" borderId="0" xfId="23" applyNumberFormat="1" applyFont="1" applyFill="1" applyAlignment="1">
      <alignment horizontal="left" indent="1"/>
    </xf>
    <xf numFmtId="0" fontId="37" fillId="12" borderId="0" xfId="23" applyFont="1" applyFill="1"/>
    <xf numFmtId="0" fontId="37" fillId="30" borderId="0" xfId="23" applyFont="1" applyFill="1" applyAlignment="1">
      <alignment horizontal="left" indent="1"/>
    </xf>
    <xf numFmtId="3" fontId="25" fillId="19" borderId="0" xfId="23" applyNumberFormat="1" applyFont="1" applyFill="1" applyAlignment="1">
      <alignment horizontal="center"/>
    </xf>
    <xf numFmtId="0" fontId="25" fillId="19" borderId="0" xfId="23" applyFont="1" applyFill="1"/>
    <xf numFmtId="3" fontId="25" fillId="19" borderId="0" xfId="23" applyNumberFormat="1" applyFont="1" applyFill="1" applyAlignment="1">
      <alignment horizontal="center" vertical="center"/>
    </xf>
    <xf numFmtId="170" fontId="37" fillId="19" borderId="0" xfId="23" applyNumberFormat="1" applyFont="1" applyFill="1" applyAlignment="1">
      <alignment horizontal="center" vertical="center"/>
    </xf>
    <xf numFmtId="0" fontId="10" fillId="22" borderId="0" xfId="23" applyFill="1"/>
    <xf numFmtId="0" fontId="37" fillId="19" borderId="0" xfId="23" applyFont="1" applyFill="1" applyAlignment="1">
      <alignment horizontal="center"/>
    </xf>
    <xf numFmtId="168" fontId="37" fillId="19" borderId="0" xfId="23" applyNumberFormat="1" applyFont="1" applyFill="1" applyAlignment="1">
      <alignment horizontal="center"/>
    </xf>
    <xf numFmtId="170" fontId="37" fillId="0" borderId="0" xfId="23" applyNumberFormat="1" applyFont="1" applyAlignment="1">
      <alignment horizontal="center"/>
    </xf>
    <xf numFmtId="170" fontId="37" fillId="19" borderId="0" xfId="23" applyNumberFormat="1" applyFont="1" applyFill="1" applyAlignment="1">
      <alignment horizontal="center"/>
    </xf>
    <xf numFmtId="2" fontId="10" fillId="0" borderId="118" xfId="25" applyNumberFormat="1" applyBorder="1" applyAlignment="1">
      <alignment vertical="center"/>
    </xf>
    <xf numFmtId="0" fontId="0" fillId="0" borderId="50" xfId="0" applyBorder="1" applyAlignment="1">
      <alignment vertical="center"/>
    </xf>
    <xf numFmtId="0" fontId="0" fillId="0" borderId="51" xfId="0" applyBorder="1" applyAlignment="1">
      <alignment vertical="center"/>
    </xf>
    <xf numFmtId="1" fontId="69" fillId="38" borderId="44" xfId="0" applyNumberFormat="1" applyFont="1" applyFill="1" applyBorder="1" applyAlignment="1">
      <alignment horizontal="center" vertical="center"/>
    </xf>
    <xf numFmtId="0" fontId="64" fillId="8" borderId="0" xfId="0" applyFont="1" applyFill="1"/>
    <xf numFmtId="10" fontId="35" fillId="0" borderId="62" xfId="15" applyNumberFormat="1" applyFont="1" applyFill="1" applyBorder="1" applyAlignment="1">
      <alignment horizontal="center"/>
    </xf>
    <xf numFmtId="0" fontId="0" fillId="8" borderId="19" xfId="0" applyFill="1" applyBorder="1" applyAlignment="1">
      <alignment horizontal="center" vertical="center" wrapText="1"/>
    </xf>
    <xf numFmtId="0" fontId="85" fillId="8" borderId="19" xfId="0" applyFont="1" applyFill="1" applyBorder="1" applyAlignment="1">
      <alignment horizontal="center" vertical="center" wrapText="1"/>
    </xf>
    <xf numFmtId="0" fontId="35" fillId="0" borderId="23" xfId="0" applyFont="1" applyBorder="1" applyAlignment="1">
      <alignment horizontal="center" vertical="center" wrapText="1"/>
    </xf>
    <xf numFmtId="0" fontId="86" fillId="0" borderId="0" xfId="0" applyFont="1"/>
    <xf numFmtId="0" fontId="58" fillId="0" borderId="0" xfId="0" applyFont="1" applyAlignment="1">
      <alignment horizontal="center"/>
    </xf>
    <xf numFmtId="0" fontId="15" fillId="0" borderId="240" xfId="0" applyFont="1" applyBorder="1" applyAlignment="1">
      <alignment horizontal="center"/>
    </xf>
    <xf numFmtId="0" fontId="87" fillId="0" borderId="241" xfId="0" applyFont="1" applyBorder="1" applyAlignment="1">
      <alignment horizontal="center"/>
    </xf>
    <xf numFmtId="177" fontId="76" fillId="0" borderId="0" xfId="15" applyNumberFormat="1" applyFont="1" applyFill="1" applyBorder="1" applyAlignment="1">
      <alignment horizontal="center"/>
    </xf>
    <xf numFmtId="0" fontId="88" fillId="0" borderId="0" xfId="0" applyFont="1" applyAlignment="1">
      <alignment horizontal="center"/>
    </xf>
    <xf numFmtId="177" fontId="88" fillId="0" borderId="240" xfId="0" applyNumberFormat="1" applyFont="1" applyBorder="1" applyAlignment="1">
      <alignment horizontal="center"/>
    </xf>
    <xf numFmtId="0" fontId="58" fillId="0" borderId="241" xfId="0" applyFont="1" applyBorder="1" applyAlignment="1">
      <alignment horizontal="center"/>
    </xf>
    <xf numFmtId="10" fontId="88" fillId="0" borderId="0" xfId="15" applyNumberFormat="1" applyFont="1" applyAlignment="1">
      <alignment horizontal="center"/>
    </xf>
    <xf numFmtId="0" fontId="89" fillId="0" borderId="0" xfId="0" applyFont="1" applyAlignment="1">
      <alignment horizontal="center"/>
    </xf>
    <xf numFmtId="43" fontId="88" fillId="0" borderId="0" xfId="34" applyFont="1" applyFill="1" applyBorder="1" applyAlignment="1">
      <alignment horizontal="center"/>
    </xf>
    <xf numFmtId="0" fontId="77" fillId="0" borderId="0" xfId="0" applyFont="1" applyAlignment="1">
      <alignment horizontal="center"/>
    </xf>
    <xf numFmtId="179" fontId="10" fillId="0" borderId="0" xfId="23" applyNumberFormat="1"/>
    <xf numFmtId="3" fontId="0" fillId="47" borderId="0" xfId="0" applyNumberFormat="1" applyFill="1" applyAlignment="1">
      <alignment horizontal="center"/>
    </xf>
    <xf numFmtId="177" fontId="76" fillId="0" borderId="0" xfId="15" applyNumberFormat="1" applyFont="1" applyAlignment="1">
      <alignment horizontal="center"/>
    </xf>
    <xf numFmtId="10" fontId="77" fillId="0" borderId="0" xfId="15" applyNumberFormat="1" applyFont="1" applyAlignment="1">
      <alignment horizontal="center"/>
    </xf>
    <xf numFmtId="177" fontId="88" fillId="0" borderId="0" xfId="0" applyNumberFormat="1" applyFont="1" applyAlignment="1">
      <alignment horizontal="center"/>
    </xf>
    <xf numFmtId="0" fontId="10" fillId="0" borderId="0" xfId="23" applyAlignment="1">
      <alignment wrapText="1"/>
    </xf>
    <xf numFmtId="44" fontId="10" fillId="0" borderId="0" xfId="35" applyFont="1" applyAlignment="1">
      <alignment wrapText="1"/>
    </xf>
    <xf numFmtId="179" fontId="10" fillId="0" borderId="0" xfId="23" applyNumberFormat="1" applyAlignment="1">
      <alignment wrapText="1"/>
    </xf>
    <xf numFmtId="44" fontId="76" fillId="0" borderId="0" xfId="15" applyNumberFormat="1" applyFont="1" applyFill="1" applyBorder="1" applyAlignment="1">
      <alignment horizontal="center"/>
    </xf>
    <xf numFmtId="0" fontId="2" fillId="0" borderId="0" xfId="36"/>
    <xf numFmtId="0" fontId="84" fillId="0" borderId="0" xfId="36" applyFont="1"/>
    <xf numFmtId="0" fontId="91" fillId="0" borderId="0" xfId="36" applyFont="1" applyAlignment="1">
      <alignment wrapText="1"/>
    </xf>
    <xf numFmtId="0" fontId="91" fillId="0" borderId="0" xfId="36" applyFont="1"/>
    <xf numFmtId="0" fontId="92" fillId="0" borderId="0" xfId="36" applyFont="1"/>
    <xf numFmtId="0" fontId="2" fillId="0" borderId="0" xfId="36" applyAlignment="1">
      <alignment horizontal="left"/>
    </xf>
    <xf numFmtId="0" fontId="2" fillId="0" borderId="0" xfId="36" applyAlignment="1">
      <alignment horizontal="center"/>
    </xf>
    <xf numFmtId="0" fontId="93" fillId="48" borderId="157" xfId="36" applyFont="1" applyFill="1" applyBorder="1" applyAlignment="1">
      <alignment horizontal="left"/>
    </xf>
    <xf numFmtId="0" fontId="93" fillId="48" borderId="149" xfId="36" applyFont="1" applyFill="1" applyBorder="1" applyAlignment="1">
      <alignment horizontal="left"/>
    </xf>
    <xf numFmtId="0" fontId="96" fillId="0" borderId="0" xfId="36" applyFont="1"/>
    <xf numFmtId="0" fontId="93" fillId="48" borderId="245" xfId="36" applyFont="1" applyFill="1" applyBorder="1" applyAlignment="1">
      <alignment horizontal="left"/>
    </xf>
    <xf numFmtId="0" fontId="97" fillId="0" borderId="38" xfId="36" applyFont="1" applyBorder="1"/>
    <xf numFmtId="0" fontId="97" fillId="0" borderId="2" xfId="36" applyFont="1" applyBorder="1" applyAlignment="1">
      <alignment horizontal="center"/>
    </xf>
    <xf numFmtId="0" fontId="97" fillId="0" borderId="2" xfId="36" applyFont="1" applyBorder="1" applyAlignment="1">
      <alignment horizontal="center" wrapText="1"/>
    </xf>
    <xf numFmtId="0" fontId="2" fillId="0" borderId="2" xfId="36" applyBorder="1" applyAlignment="1">
      <alignment horizontal="center" wrapText="1"/>
    </xf>
    <xf numFmtId="0" fontId="2" fillId="0" borderId="37" xfId="36" applyBorder="1" applyAlignment="1">
      <alignment horizontal="center" wrapText="1"/>
    </xf>
    <xf numFmtId="0" fontId="2" fillId="0" borderId="45" xfId="36" applyBorder="1"/>
    <xf numFmtId="0" fontId="2" fillId="0" borderId="46" xfId="36" applyBorder="1" applyAlignment="1">
      <alignment horizontal="center"/>
    </xf>
    <xf numFmtId="0" fontId="2" fillId="0" borderId="35" xfId="36" applyBorder="1"/>
    <xf numFmtId="0" fontId="2" fillId="0" borderId="3" xfId="36" applyBorder="1" applyAlignment="1">
      <alignment horizontal="center"/>
    </xf>
    <xf numFmtId="9" fontId="10" fillId="0" borderId="0" xfId="15"/>
    <xf numFmtId="0" fontId="2" fillId="0" borderId="0" xfId="39"/>
    <xf numFmtId="0" fontId="84" fillId="0" borderId="0" xfId="39" applyFont="1"/>
    <xf numFmtId="0" fontId="2" fillId="0" borderId="0" xfId="39" applyAlignment="1">
      <alignment wrapText="1"/>
    </xf>
    <xf numFmtId="0" fontId="2" fillId="0" borderId="0" xfId="39" applyAlignment="1">
      <alignment horizontal="left"/>
    </xf>
    <xf numFmtId="0" fontId="93" fillId="48" borderId="157" xfId="39" applyFont="1" applyFill="1" applyBorder="1" applyAlignment="1">
      <alignment horizontal="left"/>
    </xf>
    <xf numFmtId="0" fontId="93" fillId="48" borderId="149" xfId="39" applyFont="1" applyFill="1" applyBorder="1" applyAlignment="1">
      <alignment horizontal="left"/>
    </xf>
    <xf numFmtId="0" fontId="96" fillId="0" borderId="0" xfId="39" applyFont="1"/>
    <xf numFmtId="0" fontId="93" fillId="48" borderId="245" xfId="39" applyFont="1" applyFill="1" applyBorder="1" applyAlignment="1">
      <alignment horizontal="left"/>
    </xf>
    <xf numFmtId="0" fontId="97" fillId="0" borderId="38" xfId="39" applyFont="1" applyBorder="1" applyAlignment="1">
      <alignment horizontal="center"/>
    </xf>
    <xf numFmtId="0" fontId="97" fillId="0" borderId="2" xfId="39" applyFont="1" applyBorder="1" applyAlignment="1">
      <alignment horizontal="center"/>
    </xf>
    <xf numFmtId="164" fontId="97" fillId="0" borderId="2" xfId="39" applyNumberFormat="1" applyFont="1" applyBorder="1" applyAlignment="1">
      <alignment horizontal="center"/>
    </xf>
    <xf numFmtId="0" fontId="97" fillId="0" borderId="2" xfId="39" applyFont="1" applyBorder="1" applyAlignment="1">
      <alignment horizontal="center" wrapText="1"/>
    </xf>
    <xf numFmtId="0" fontId="97" fillId="0" borderId="37" xfId="39" applyFont="1" applyBorder="1" applyAlignment="1">
      <alignment horizontal="center" wrapText="1"/>
    </xf>
    <xf numFmtId="0" fontId="2" fillId="0" borderId="45" xfId="39" applyBorder="1"/>
    <xf numFmtId="0" fontId="2" fillId="0" borderId="46" xfId="39" applyBorder="1" applyAlignment="1">
      <alignment horizontal="center"/>
    </xf>
    <xf numFmtId="166" fontId="2" fillId="0" borderId="46" xfId="39" applyNumberFormat="1" applyBorder="1" applyAlignment="1">
      <alignment horizontal="center"/>
    </xf>
    <xf numFmtId="10" fontId="2" fillId="0" borderId="44" xfId="39" applyNumberFormat="1" applyBorder="1" applyAlignment="1">
      <alignment horizontal="center"/>
    </xf>
    <xf numFmtId="0" fontId="2" fillId="0" borderId="35" xfId="39" applyBorder="1"/>
    <xf numFmtId="0" fontId="2" fillId="0" borderId="3" xfId="39" applyBorder="1" applyAlignment="1">
      <alignment horizontal="center"/>
    </xf>
    <xf numFmtId="166" fontId="2" fillId="0" borderId="3" xfId="39" applyNumberFormat="1" applyBorder="1" applyAlignment="1">
      <alignment horizontal="center"/>
    </xf>
    <xf numFmtId="10" fontId="2" fillId="0" borderId="34" xfId="39" applyNumberFormat="1" applyBorder="1" applyAlignment="1">
      <alignment horizontal="center"/>
    </xf>
    <xf numFmtId="10" fontId="10" fillId="0" borderId="0" xfId="15" applyNumberFormat="1"/>
    <xf numFmtId="44" fontId="0" fillId="0" borderId="0" xfId="0" applyNumberFormat="1"/>
    <xf numFmtId="177" fontId="0" fillId="46" borderId="0" xfId="15" applyNumberFormat="1" applyFont="1" applyFill="1"/>
    <xf numFmtId="10" fontId="27" fillId="8" borderId="0" xfId="15" applyNumberFormat="1" applyFont="1" applyFill="1"/>
    <xf numFmtId="177" fontId="0" fillId="46" borderId="0" xfId="0" applyNumberFormat="1" applyFill="1" applyAlignment="1">
      <alignment horizontal="center"/>
    </xf>
    <xf numFmtId="177" fontId="76" fillId="46" borderId="0" xfId="15" applyNumberFormat="1" applyFont="1" applyFill="1" applyBorder="1" applyAlignment="1">
      <alignment horizontal="center"/>
    </xf>
    <xf numFmtId="177" fontId="88" fillId="46" borderId="240" xfId="0" applyNumberFormat="1" applyFont="1" applyFill="1" applyBorder="1" applyAlignment="1">
      <alignment horizontal="center"/>
    </xf>
    <xf numFmtId="1" fontId="55" fillId="0" borderId="150" xfId="0" applyNumberFormat="1" applyFont="1" applyBorder="1" applyAlignment="1">
      <alignment horizontal="center" vertical="center"/>
    </xf>
    <xf numFmtId="3" fontId="55" fillId="40" borderId="37" xfId="0" applyNumberFormat="1" applyFont="1" applyFill="1" applyBorder="1" applyAlignment="1">
      <alignment horizontal="center" vertical="center"/>
    </xf>
    <xf numFmtId="3" fontId="60" fillId="41" borderId="151" xfId="0" applyNumberFormat="1" applyFont="1" applyFill="1" applyBorder="1" applyAlignment="1">
      <alignment horizontal="center" vertical="center"/>
    </xf>
    <xf numFmtId="177" fontId="76" fillId="0" borderId="0" xfId="15" applyNumberFormat="1" applyFont="1" applyFill="1" applyBorder="1" applyAlignment="1">
      <alignment horizontal="left"/>
    </xf>
    <xf numFmtId="3" fontId="88" fillId="0" borderId="0" xfId="0" applyNumberFormat="1" applyFont="1" applyAlignment="1">
      <alignment horizontal="center"/>
    </xf>
    <xf numFmtId="177" fontId="88" fillId="0" borderId="0" xfId="15" applyNumberFormat="1" applyFont="1" applyAlignment="1">
      <alignment horizontal="center"/>
    </xf>
    <xf numFmtId="177" fontId="77" fillId="0" borderId="0" xfId="15" applyNumberFormat="1" applyFont="1" applyAlignment="1">
      <alignment horizontal="center"/>
    </xf>
    <xf numFmtId="10" fontId="77" fillId="0" borderId="0" xfId="15" applyNumberFormat="1" applyFont="1" applyFill="1" applyBorder="1" applyAlignment="1">
      <alignment horizontal="center"/>
    </xf>
    <xf numFmtId="177" fontId="88" fillId="12" borderId="240" xfId="0" applyNumberFormat="1" applyFont="1" applyFill="1" applyBorder="1" applyAlignment="1">
      <alignment horizontal="center"/>
    </xf>
    <xf numFmtId="10" fontId="76" fillId="0" borderId="0" xfId="15" applyNumberFormat="1" applyFont="1" applyFill="1" applyBorder="1" applyAlignment="1">
      <alignment horizontal="center" vertical="center"/>
    </xf>
    <xf numFmtId="10" fontId="76" fillId="0" borderId="0" xfId="23" applyNumberFormat="1" applyFont="1" applyAlignment="1">
      <alignment horizontal="center" vertical="center"/>
    </xf>
    <xf numFmtId="10" fontId="10" fillId="0" borderId="0" xfId="23" applyNumberFormat="1" applyAlignment="1">
      <alignment horizontal="center" vertical="center"/>
    </xf>
    <xf numFmtId="10" fontId="76" fillId="0" borderId="0" xfId="15" applyNumberFormat="1" applyFont="1" applyAlignment="1">
      <alignment horizontal="center" vertical="center"/>
    </xf>
    <xf numFmtId="9" fontId="88" fillId="0" borderId="0" xfId="15" applyFont="1" applyAlignment="1">
      <alignment horizontal="center"/>
    </xf>
    <xf numFmtId="9" fontId="88" fillId="0" borderId="0" xfId="0" applyNumberFormat="1" applyFont="1" applyAlignment="1">
      <alignment horizontal="center"/>
    </xf>
    <xf numFmtId="0" fontId="76" fillId="49" borderId="0" xfId="0" applyFont="1" applyFill="1" applyAlignment="1">
      <alignment horizontal="center"/>
    </xf>
    <xf numFmtId="10" fontId="76" fillId="49" borderId="0" xfId="23" applyNumberFormat="1" applyFont="1" applyFill="1" applyAlignment="1">
      <alignment horizontal="center" vertical="center"/>
    </xf>
    <xf numFmtId="177" fontId="77" fillId="49" borderId="0" xfId="15" applyNumberFormat="1" applyFont="1" applyFill="1" applyBorder="1" applyAlignment="1">
      <alignment horizontal="center"/>
    </xf>
    <xf numFmtId="178" fontId="0" fillId="0" borderId="0" xfId="0" applyNumberFormat="1" applyAlignment="1">
      <alignment horizontal="center"/>
    </xf>
    <xf numFmtId="3" fontId="77" fillId="0" borderId="0" xfId="0" applyNumberFormat="1" applyFont="1" applyAlignment="1">
      <alignment horizontal="center"/>
    </xf>
    <xf numFmtId="9" fontId="0" fillId="12" borderId="0" xfId="0" applyNumberFormat="1" applyFill="1" applyAlignment="1">
      <alignment horizontal="center"/>
    </xf>
    <xf numFmtId="177" fontId="76" fillId="12" borderId="0" xfId="15" applyNumberFormat="1" applyFont="1" applyFill="1" applyBorder="1" applyAlignment="1">
      <alignment horizontal="center"/>
    </xf>
    <xf numFmtId="180" fontId="88" fillId="46" borderId="240" xfId="34" applyNumberFormat="1" applyFont="1" applyFill="1" applyBorder="1" applyAlignment="1">
      <alignment horizontal="center"/>
    </xf>
    <xf numFmtId="3" fontId="60" fillId="41" borderId="160" xfId="0" applyNumberFormat="1" applyFont="1" applyFill="1" applyBorder="1" applyAlignment="1">
      <alignment horizontal="center" vertical="center"/>
    </xf>
    <xf numFmtId="3" fontId="60" fillId="41" borderId="46" xfId="0" applyNumberFormat="1" applyFont="1" applyFill="1" applyBorder="1" applyAlignment="1">
      <alignment horizontal="center" vertical="center"/>
    </xf>
    <xf numFmtId="0" fontId="67" fillId="49" borderId="0" xfId="0" applyFont="1" applyFill="1" applyAlignment="1">
      <alignment horizontal="center"/>
    </xf>
    <xf numFmtId="0" fontId="28" fillId="49" borderId="0" xfId="0" applyFont="1" applyFill="1"/>
    <xf numFmtId="0" fontId="10" fillId="49" borderId="0" xfId="0" applyFont="1" applyFill="1"/>
    <xf numFmtId="0" fontId="0" fillId="49" borderId="0" xfId="0" applyFill="1"/>
    <xf numFmtId="0" fontId="15" fillId="49" borderId="149" xfId="0" applyFont="1" applyFill="1" applyBorder="1" applyAlignment="1">
      <alignment horizontal="center"/>
    </xf>
    <xf numFmtId="0" fontId="10" fillId="49" borderId="0" xfId="23" applyFill="1"/>
    <xf numFmtId="177" fontId="88" fillId="46" borderId="0" xfId="0" applyNumberFormat="1" applyFont="1" applyFill="1" applyAlignment="1">
      <alignment horizontal="center"/>
    </xf>
    <xf numFmtId="0" fontId="99" fillId="0" borderId="46" xfId="39" applyFont="1" applyBorder="1" applyAlignment="1">
      <alignment horizontal="center"/>
    </xf>
    <xf numFmtId="164" fontId="99" fillId="0" borderId="46" xfId="39" applyNumberFormat="1" applyFont="1" applyBorder="1" applyAlignment="1">
      <alignment horizontal="center"/>
    </xf>
    <xf numFmtId="0" fontId="99" fillId="0" borderId="46" xfId="39" applyFont="1" applyBorder="1" applyAlignment="1">
      <alignment horizontal="center" wrapText="1"/>
    </xf>
    <xf numFmtId="0" fontId="1" fillId="50" borderId="46" xfId="39" applyFont="1" applyFill="1" applyBorder="1"/>
    <xf numFmtId="0" fontId="1" fillId="50" borderId="46" xfId="39" applyFont="1" applyFill="1" applyBorder="1" applyAlignment="1">
      <alignment horizontal="center"/>
    </xf>
    <xf numFmtId="166" fontId="1" fillId="50" borderId="46" xfId="39" applyNumberFormat="1" applyFont="1" applyFill="1" applyBorder="1" applyAlignment="1">
      <alignment horizontal="center"/>
    </xf>
    <xf numFmtId="10" fontId="1" fillId="50" borderId="46" xfId="40" applyNumberFormat="1" applyFont="1" applyFill="1" applyBorder="1" applyAlignment="1">
      <alignment horizontal="center"/>
    </xf>
    <xf numFmtId="164" fontId="1" fillId="50" borderId="46" xfId="41" applyFont="1" applyFill="1" applyBorder="1" applyAlignment="1">
      <alignment horizontal="center"/>
    </xf>
    <xf numFmtId="0" fontId="1" fillId="0" borderId="46" xfId="39" applyFont="1" applyBorder="1"/>
    <xf numFmtId="0" fontId="1" fillId="0" borderId="46" xfId="39" applyFont="1" applyBorder="1" applyAlignment="1">
      <alignment horizontal="center"/>
    </xf>
    <xf numFmtId="166" fontId="1" fillId="0" borderId="46" xfId="39" applyNumberFormat="1" applyFont="1" applyBorder="1" applyAlignment="1">
      <alignment horizontal="center"/>
    </xf>
    <xf numFmtId="10" fontId="1" fillId="0" borderId="46" xfId="40" applyNumberFormat="1" applyFont="1" applyBorder="1" applyAlignment="1">
      <alignment horizontal="center"/>
    </xf>
    <xf numFmtId="164" fontId="1" fillId="0" borderId="46" xfId="41" applyFont="1" applyBorder="1" applyAlignment="1">
      <alignment horizontal="center"/>
    </xf>
    <xf numFmtId="0" fontId="1" fillId="50" borderId="0" xfId="39" applyFont="1" applyFill="1"/>
    <xf numFmtId="10" fontId="1" fillId="50" borderId="0" xfId="40" applyNumberFormat="1" applyFont="1" applyFill="1" applyBorder="1" applyAlignment="1">
      <alignment horizontal="center"/>
    </xf>
    <xf numFmtId="164" fontId="1" fillId="50" borderId="0" xfId="40" applyNumberFormat="1" applyFont="1" applyFill="1" applyBorder="1" applyAlignment="1">
      <alignment horizontal="center"/>
    </xf>
    <xf numFmtId="4" fontId="76" fillId="0" borderId="0" xfId="15" applyNumberFormat="1" applyFont="1" applyFill="1" applyBorder="1" applyAlignment="1">
      <alignment horizontal="center"/>
    </xf>
    <xf numFmtId="2" fontId="88" fillId="0" borderId="0" xfId="0" applyNumberFormat="1" applyFont="1" applyAlignment="1">
      <alignment horizontal="center"/>
    </xf>
    <xf numFmtId="10" fontId="15" fillId="0" borderId="0" xfId="0" applyNumberFormat="1" applyFont="1"/>
    <xf numFmtId="1" fontId="10" fillId="0" borderId="0" xfId="0" applyNumberFormat="1" applyFont="1" applyAlignment="1">
      <alignment horizontal="center"/>
    </xf>
    <xf numFmtId="0" fontId="10" fillId="0" borderId="240" xfId="0" applyFont="1" applyBorder="1" applyAlignment="1">
      <alignment horizontal="center"/>
    </xf>
    <xf numFmtId="10" fontId="10" fillId="0" borderId="0" xfId="0" applyNumberFormat="1" applyFont="1"/>
    <xf numFmtId="2" fontId="100" fillId="12" borderId="0" xfId="0" applyNumberFormat="1" applyFont="1" applyFill="1" applyAlignment="1">
      <alignment horizontal="center"/>
    </xf>
    <xf numFmtId="10" fontId="1" fillId="0" borderId="46" xfId="38" applyNumberFormat="1" applyFont="1" applyBorder="1" applyAlignment="1">
      <alignment horizontal="center"/>
    </xf>
    <xf numFmtId="10" fontId="1" fillId="0" borderId="44" xfId="38" applyNumberFormat="1" applyFont="1" applyBorder="1" applyAlignment="1">
      <alignment horizontal="center"/>
    </xf>
    <xf numFmtId="10" fontId="1" fillId="0" borderId="3" xfId="38" applyNumberFormat="1" applyFont="1" applyBorder="1" applyAlignment="1">
      <alignment horizontal="center"/>
    </xf>
    <xf numFmtId="10" fontId="1" fillId="0" borderId="34" xfId="38" applyNumberFormat="1" applyFont="1" applyBorder="1" applyAlignment="1">
      <alignment horizontal="center"/>
    </xf>
    <xf numFmtId="10" fontId="1" fillId="0" borderId="3" xfId="40" applyNumberFormat="1" applyFont="1" applyBorder="1" applyAlignment="1">
      <alignment horizontal="center"/>
    </xf>
    <xf numFmtId="164" fontId="1" fillId="0" borderId="3" xfId="41" applyFont="1" applyBorder="1" applyAlignment="1">
      <alignment horizontal="center"/>
    </xf>
    <xf numFmtId="0" fontId="0" fillId="8" borderId="251" xfId="0" applyFill="1" applyBorder="1"/>
    <xf numFmtId="0" fontId="0" fillId="8" borderId="252" xfId="0" applyFill="1" applyBorder="1"/>
    <xf numFmtId="0" fontId="0" fillId="8" borderId="253" xfId="0" applyFill="1" applyBorder="1"/>
    <xf numFmtId="0" fontId="0" fillId="8" borderId="254" xfId="0" applyFill="1" applyBorder="1"/>
    <xf numFmtId="0" fontId="0" fillId="8" borderId="255" xfId="0" applyFill="1" applyBorder="1"/>
    <xf numFmtId="3" fontId="0" fillId="8" borderId="0" xfId="0" applyNumberFormat="1" applyFill="1"/>
    <xf numFmtId="3" fontId="0" fillId="8" borderId="256" xfId="0" applyNumberFormat="1" applyFill="1" applyBorder="1"/>
    <xf numFmtId="0" fontId="0" fillId="8" borderId="0" xfId="0" applyFill="1"/>
    <xf numFmtId="1" fontId="0" fillId="8" borderId="0" xfId="0" applyNumberFormat="1" applyFill="1"/>
    <xf numFmtId="1" fontId="0" fillId="8" borderId="256" xfId="0" applyNumberFormat="1" applyFill="1" applyBorder="1"/>
    <xf numFmtId="10" fontId="77" fillId="8" borderId="0" xfId="15" applyNumberFormat="1" applyFont="1" applyFill="1" applyBorder="1" applyAlignment="1">
      <alignment horizontal="center"/>
    </xf>
    <xf numFmtId="177" fontId="88" fillId="8" borderId="0" xfId="0" applyNumberFormat="1" applyFont="1" applyFill="1" applyAlignment="1">
      <alignment horizontal="center"/>
    </xf>
    <xf numFmtId="0" fontId="0" fillId="8" borderId="256" xfId="0" applyFill="1" applyBorder="1"/>
    <xf numFmtId="0" fontId="15" fillId="8" borderId="255" xfId="0" applyFont="1" applyFill="1" applyBorder="1"/>
    <xf numFmtId="169" fontId="0" fillId="8" borderId="0" xfId="0" applyNumberFormat="1" applyFill="1"/>
    <xf numFmtId="0" fontId="10" fillId="8" borderId="255" xfId="0" applyFont="1" applyFill="1" applyBorder="1"/>
    <xf numFmtId="0" fontId="10" fillId="8" borderId="257" xfId="0" applyFont="1" applyFill="1" applyBorder="1"/>
    <xf numFmtId="0" fontId="0" fillId="8" borderId="258" xfId="0" applyFill="1" applyBorder="1"/>
    <xf numFmtId="3" fontId="0" fillId="8" borderId="258" xfId="0" applyNumberFormat="1" applyFill="1" applyBorder="1"/>
    <xf numFmtId="3" fontId="0" fillId="8" borderId="259" xfId="0" applyNumberFormat="1" applyFill="1" applyBorder="1"/>
    <xf numFmtId="3" fontId="0" fillId="8" borderId="260" xfId="0" applyNumberFormat="1" applyFill="1" applyBorder="1"/>
    <xf numFmtId="9" fontId="0" fillId="8" borderId="258" xfId="15" applyFont="1" applyFill="1" applyBorder="1"/>
    <xf numFmtId="9" fontId="0" fillId="8" borderId="258" xfId="0" applyNumberFormat="1" applyFill="1" applyBorder="1"/>
    <xf numFmtId="0" fontId="0" fillId="0" borderId="102" xfId="0" applyBorder="1" applyAlignment="1">
      <alignment horizontal="center"/>
    </xf>
    <xf numFmtId="176" fontId="0" fillId="8" borderId="103" xfId="0" applyNumberFormat="1" applyFill="1" applyBorder="1" applyAlignment="1">
      <alignment horizontal="center" vertical="center"/>
    </xf>
    <xf numFmtId="176" fontId="0" fillId="8" borderId="108" xfId="0" applyNumberFormat="1" applyFill="1" applyBorder="1" applyAlignment="1">
      <alignment horizontal="center" vertical="center"/>
    </xf>
    <xf numFmtId="9" fontId="28" fillId="18" borderId="207" xfId="15" applyFont="1" applyFill="1" applyBorder="1" applyAlignment="1">
      <alignment horizontal="center" vertical="center"/>
    </xf>
    <xf numFmtId="176" fontId="0" fillId="17" borderId="103" xfId="0" applyNumberFormat="1" applyFill="1" applyBorder="1" applyAlignment="1">
      <alignment horizontal="center" vertical="center"/>
    </xf>
    <xf numFmtId="176" fontId="0" fillId="17" borderId="108" xfId="0" applyNumberFormat="1" applyFill="1" applyBorder="1" applyAlignment="1">
      <alignment horizontal="center" vertical="center"/>
    </xf>
    <xf numFmtId="9" fontId="0" fillId="0" borderId="110" xfId="15" applyFont="1" applyFill="1" applyBorder="1" applyAlignment="1">
      <alignment horizontal="center" vertical="center"/>
    </xf>
    <xf numFmtId="9" fontId="28" fillId="18" borderId="77" xfId="15" applyFont="1" applyFill="1" applyBorder="1" applyAlignment="1">
      <alignment horizontal="center" vertical="center"/>
    </xf>
    <xf numFmtId="9" fontId="0" fillId="0" borderId="111" xfId="15" applyFont="1" applyFill="1" applyBorder="1" applyAlignment="1">
      <alignment horizontal="center" vertical="center"/>
    </xf>
    <xf numFmtId="177" fontId="0" fillId="0" borderId="102" xfId="15" applyNumberFormat="1" applyFont="1" applyFill="1" applyBorder="1" applyAlignment="1">
      <alignment horizontal="center"/>
    </xf>
    <xf numFmtId="168" fontId="10" fillId="0" borderId="101" xfId="15" applyNumberFormat="1" applyFont="1" applyFill="1" applyBorder="1" applyAlignment="1">
      <alignment horizontal="center"/>
    </xf>
    <xf numFmtId="0" fontId="71" fillId="35" borderId="118" xfId="25" applyFont="1" applyFill="1" applyBorder="1"/>
    <xf numFmtId="181" fontId="2" fillId="50" borderId="46" xfId="39" applyNumberFormat="1" applyFill="1" applyBorder="1" applyAlignment="1">
      <alignment horizontal="center"/>
    </xf>
    <xf numFmtId="10" fontId="27" fillId="12" borderId="0" xfId="0" applyNumberFormat="1" applyFont="1" applyFill="1" applyAlignment="1">
      <alignment horizontal="center"/>
    </xf>
    <xf numFmtId="10" fontId="27" fillId="0" borderId="0" xfId="0" applyNumberFormat="1" applyFont="1"/>
    <xf numFmtId="10" fontId="1" fillId="50" borderId="46" xfId="15" applyNumberFormat="1" applyFont="1" applyFill="1" applyBorder="1" applyAlignment="1">
      <alignment horizontal="center"/>
    </xf>
    <xf numFmtId="0" fontId="37" fillId="0" borderId="0" xfId="0" applyFont="1"/>
    <xf numFmtId="169" fontId="77" fillId="0" borderId="0" xfId="15" applyNumberFormat="1" applyFont="1" applyAlignment="1">
      <alignment horizontal="center"/>
    </xf>
    <xf numFmtId="0" fontId="10" fillId="8" borderId="192" xfId="0" applyFont="1" applyFill="1" applyBorder="1" applyAlignment="1">
      <alignment vertical="center" wrapText="1"/>
    </xf>
    <xf numFmtId="0" fontId="10" fillId="8" borderId="189" xfId="0" applyFont="1" applyFill="1" applyBorder="1" applyAlignment="1">
      <alignment vertical="center" wrapText="1"/>
    </xf>
    <xf numFmtId="1" fontId="0" fillId="0" borderId="0" xfId="0" applyNumberFormat="1"/>
    <xf numFmtId="0" fontId="29" fillId="49" borderId="66" xfId="0" applyFont="1" applyFill="1" applyBorder="1" applyAlignment="1">
      <alignment horizontal="center" vertical="center" wrapText="1"/>
    </xf>
    <xf numFmtId="0" fontId="10" fillId="12" borderId="19" xfId="0" applyFont="1" applyFill="1" applyBorder="1" applyAlignment="1">
      <alignment horizontal="center"/>
    </xf>
    <xf numFmtId="0" fontId="27" fillId="28" borderId="19" xfId="0" applyFont="1" applyFill="1" applyBorder="1" applyAlignment="1">
      <alignment horizontal="center"/>
    </xf>
    <xf numFmtId="0" fontId="10" fillId="28" borderId="19" xfId="0" applyFont="1" applyFill="1" applyBorder="1" applyAlignment="1">
      <alignment horizontal="center"/>
    </xf>
    <xf numFmtId="0" fontId="10" fillId="49" borderId="192" xfId="0" applyFont="1" applyFill="1" applyBorder="1" applyAlignment="1">
      <alignment vertical="center" wrapText="1"/>
    </xf>
    <xf numFmtId="0" fontId="15" fillId="49" borderId="32" xfId="0" applyFont="1" applyFill="1" applyBorder="1"/>
    <xf numFmtId="168" fontId="35" fillId="51" borderId="160" xfId="15" applyNumberFormat="1" applyFont="1" applyFill="1" applyBorder="1" applyAlignment="1">
      <alignment horizontal="center" vertical="center"/>
    </xf>
    <xf numFmtId="168" fontId="35" fillId="51" borderId="46" xfId="15" applyNumberFormat="1" applyFont="1" applyFill="1" applyBorder="1" applyAlignment="1">
      <alignment horizontal="center" vertical="center"/>
    </xf>
    <xf numFmtId="168" fontId="35" fillId="51" borderId="44" xfId="15" applyNumberFormat="1" applyFont="1" applyFill="1" applyBorder="1" applyAlignment="1">
      <alignment horizontal="center" vertical="center"/>
    </xf>
    <xf numFmtId="168" fontId="35" fillId="49" borderId="160" xfId="15" applyNumberFormat="1" applyFont="1" applyFill="1" applyBorder="1" applyAlignment="1">
      <alignment horizontal="center" vertical="center"/>
    </xf>
    <xf numFmtId="0" fontId="10" fillId="49" borderId="0" xfId="0" applyFont="1" applyFill="1" applyAlignment="1">
      <alignment horizontal="center"/>
    </xf>
    <xf numFmtId="10" fontId="27" fillId="12" borderId="0" xfId="15" applyNumberFormat="1" applyFont="1" applyFill="1" applyAlignment="1">
      <alignment horizontal="center"/>
    </xf>
    <xf numFmtId="10" fontId="76" fillId="49" borderId="0" xfId="15" applyNumberFormat="1" applyFont="1" applyFill="1" applyBorder="1" applyAlignment="1">
      <alignment horizontal="center" vertical="center"/>
    </xf>
    <xf numFmtId="0" fontId="29" fillId="5" borderId="66" xfId="0" applyFont="1" applyFill="1" applyBorder="1" applyAlignment="1">
      <alignment horizontal="center" vertical="center"/>
    </xf>
    <xf numFmtId="0" fontId="48" fillId="5" borderId="52" xfId="0" applyFont="1" applyFill="1" applyBorder="1" applyAlignment="1">
      <alignment horizontal="center"/>
    </xf>
    <xf numFmtId="0" fontId="48" fillId="5" borderId="62" xfId="0" applyFont="1" applyFill="1" applyBorder="1" applyAlignment="1">
      <alignment horizontal="center"/>
    </xf>
    <xf numFmtId="0" fontId="10" fillId="0" borderId="170" xfId="0" applyFont="1" applyBorder="1" applyAlignment="1">
      <alignment horizontal="left" vertical="center" wrapText="1"/>
    </xf>
    <xf numFmtId="0" fontId="70" fillId="0" borderId="165" xfId="0" applyFont="1" applyBorder="1" applyAlignment="1">
      <alignment horizontal="left" vertical="center"/>
    </xf>
    <xf numFmtId="0" fontId="70" fillId="0" borderId="166" xfId="0" applyFont="1" applyBorder="1" applyAlignment="1">
      <alignment horizontal="left" vertical="center"/>
    </xf>
    <xf numFmtId="0" fontId="70" fillId="0" borderId="171" xfId="0" applyFont="1" applyBorder="1" applyAlignment="1">
      <alignment horizontal="left" vertical="center"/>
    </xf>
    <xf numFmtId="0" fontId="70" fillId="0" borderId="0" xfId="0" applyFont="1" applyAlignment="1">
      <alignment horizontal="left" vertical="center"/>
    </xf>
    <xf numFmtId="0" fontId="70" fillId="0" borderId="167" xfId="0" applyFont="1" applyBorder="1" applyAlignment="1">
      <alignment horizontal="left" vertical="center"/>
    </xf>
    <xf numFmtId="0" fontId="70" fillId="0" borderId="172" xfId="0" applyFont="1" applyBorder="1" applyAlignment="1">
      <alignment horizontal="left" vertical="center"/>
    </xf>
    <xf numFmtId="0" fontId="70" fillId="0" borderId="168" xfId="0" applyFont="1" applyBorder="1" applyAlignment="1">
      <alignment horizontal="left" vertical="center"/>
    </xf>
    <xf numFmtId="0" fontId="70" fillId="0" borderId="169" xfId="0" applyFont="1" applyBorder="1" applyAlignment="1">
      <alignment horizontal="left" vertical="center"/>
    </xf>
    <xf numFmtId="0" fontId="10" fillId="0" borderId="165" xfId="0" applyFont="1" applyBorder="1" applyAlignment="1">
      <alignment horizontal="left" vertical="center"/>
    </xf>
    <xf numFmtId="0" fontId="10" fillId="0" borderId="166" xfId="0" applyFont="1" applyBorder="1" applyAlignment="1">
      <alignment horizontal="left" vertical="center"/>
    </xf>
    <xf numFmtId="0" fontId="10" fillId="0" borderId="171" xfId="0" applyFont="1" applyBorder="1" applyAlignment="1">
      <alignment horizontal="left" vertical="center"/>
    </xf>
    <xf numFmtId="0" fontId="0" fillId="0" borderId="0" xfId="0" applyAlignment="1">
      <alignment horizontal="left" vertical="center"/>
    </xf>
    <xf numFmtId="0" fontId="10" fillId="0" borderId="167" xfId="0" applyFont="1" applyBorder="1" applyAlignment="1">
      <alignment horizontal="left" vertical="center"/>
    </xf>
    <xf numFmtId="0" fontId="10" fillId="0" borderId="172" xfId="0" applyFont="1" applyBorder="1" applyAlignment="1">
      <alignment horizontal="left" vertical="center"/>
    </xf>
    <xf numFmtId="0" fontId="10" fillId="0" borderId="168" xfId="0" applyFont="1" applyBorder="1" applyAlignment="1">
      <alignment horizontal="left" vertical="center"/>
    </xf>
    <xf numFmtId="0" fontId="10" fillId="0" borderId="169" xfId="0" applyFont="1" applyBorder="1" applyAlignment="1">
      <alignment horizontal="left" vertical="center"/>
    </xf>
    <xf numFmtId="0" fontId="29" fillId="32" borderId="52" xfId="0" applyFont="1" applyFill="1" applyBorder="1" applyAlignment="1">
      <alignment horizontal="center"/>
    </xf>
    <xf numFmtId="0" fontId="0" fillId="0" borderId="0" xfId="0"/>
    <xf numFmtId="0" fontId="70" fillId="0" borderId="165" xfId="0" applyFont="1" applyBorder="1" applyAlignment="1">
      <alignment horizontal="left" vertical="center" wrapText="1"/>
    </xf>
    <xf numFmtId="0" fontId="70" fillId="0" borderId="166" xfId="0" applyFont="1" applyBorder="1" applyAlignment="1">
      <alignment horizontal="left" vertical="center" wrapText="1"/>
    </xf>
    <xf numFmtId="0" fontId="70" fillId="0" borderId="10" xfId="0" applyFont="1" applyBorder="1" applyAlignment="1">
      <alignment horizontal="left" vertical="center" wrapText="1"/>
    </xf>
    <xf numFmtId="0" fontId="70" fillId="0" borderId="0" xfId="0" applyFont="1" applyAlignment="1">
      <alignment horizontal="left" vertical="center" wrapText="1"/>
    </xf>
    <xf numFmtId="0" fontId="70" fillId="0" borderId="167" xfId="0" applyFont="1" applyBorder="1" applyAlignment="1">
      <alignment horizontal="left" vertical="center" wrapText="1"/>
    </xf>
    <xf numFmtId="0" fontId="70" fillId="0" borderId="229" xfId="0" applyFont="1" applyBorder="1" applyAlignment="1">
      <alignment horizontal="left" vertical="center" wrapText="1"/>
    </xf>
    <xf numFmtId="0" fontId="70" fillId="0" borderId="168" xfId="0" applyFont="1" applyBorder="1" applyAlignment="1">
      <alignment horizontal="left" vertical="center" wrapText="1"/>
    </xf>
    <xf numFmtId="0" fontId="70" fillId="0" borderId="169" xfId="0" applyFont="1" applyBorder="1" applyAlignment="1">
      <alignment horizontal="left" vertical="center" wrapText="1"/>
    </xf>
    <xf numFmtId="0" fontId="64" fillId="8" borderId="52" xfId="0" applyFont="1" applyFill="1" applyBorder="1" applyAlignment="1">
      <alignment horizontal="center"/>
    </xf>
    <xf numFmtId="0" fontId="29" fillId="8" borderId="52" xfId="0" applyFont="1" applyFill="1" applyBorder="1" applyAlignment="1">
      <alignment horizontal="center"/>
    </xf>
    <xf numFmtId="0" fontId="64" fillId="8" borderId="60" xfId="0" applyFont="1" applyFill="1" applyBorder="1" applyAlignment="1">
      <alignment horizontal="center"/>
    </xf>
    <xf numFmtId="0" fontId="29" fillId="8" borderId="60" xfId="0" applyFont="1" applyFill="1" applyBorder="1" applyAlignment="1">
      <alignment horizontal="center"/>
    </xf>
    <xf numFmtId="0" fontId="0" fillId="0" borderId="10" xfId="0" applyBorder="1"/>
    <xf numFmtId="0" fontId="10" fillId="0" borderId="2" xfId="0" applyFont="1" applyBorder="1" applyAlignment="1">
      <alignment horizontal="left" vertical="top" wrapText="1"/>
    </xf>
    <xf numFmtId="0" fontId="10" fillId="0" borderId="61" xfId="0" applyFont="1" applyBorder="1" applyAlignment="1">
      <alignment horizontal="left" vertical="top" wrapText="1"/>
    </xf>
    <xf numFmtId="0" fontId="0" fillId="0" borderId="230" xfId="0" applyBorder="1" applyAlignment="1">
      <alignment horizontal="left" vertical="top" wrapText="1"/>
    </xf>
    <xf numFmtId="0" fontId="10" fillId="0" borderId="46" xfId="0" applyFont="1" applyBorder="1" applyAlignment="1">
      <alignment horizontal="left" vertical="top" wrapText="1"/>
    </xf>
    <xf numFmtId="0" fontId="10" fillId="0" borderId="59" xfId="0" applyFont="1" applyBorder="1" applyAlignment="1">
      <alignment horizontal="left" vertical="top" wrapText="1"/>
    </xf>
    <xf numFmtId="0" fontId="0" fillId="0" borderId="231" xfId="0" applyBorder="1" applyAlignment="1">
      <alignment horizontal="left" vertical="top" wrapText="1"/>
    </xf>
    <xf numFmtId="0" fontId="0" fillId="0" borderId="232" xfId="0" applyBorder="1" applyAlignment="1">
      <alignment horizontal="left" vertical="top" wrapText="1"/>
    </xf>
    <xf numFmtId="0" fontId="0" fillId="0" borderId="233" xfId="0" applyBorder="1" applyAlignment="1">
      <alignment horizontal="left" vertical="top" wrapText="1"/>
    </xf>
    <xf numFmtId="0" fontId="48" fillId="5" borderId="261" xfId="0" applyFont="1" applyFill="1" applyBorder="1" applyAlignment="1">
      <alignment horizontal="center" vertical="center"/>
    </xf>
    <xf numFmtId="0" fontId="48" fillId="5" borderId="262" xfId="0" applyFont="1" applyFill="1" applyBorder="1" applyAlignment="1">
      <alignment horizontal="center" vertical="center"/>
    </xf>
    <xf numFmtId="0" fontId="101" fillId="0" borderId="0" xfId="0" applyFont="1" applyAlignment="1">
      <alignment horizontal="center"/>
    </xf>
    <xf numFmtId="0" fontId="101" fillId="0" borderId="263" xfId="0" applyFont="1" applyBorder="1" applyAlignment="1">
      <alignment horizontal="center"/>
    </xf>
    <xf numFmtId="0" fontId="101" fillId="0" borderId="27" xfId="0" applyFont="1" applyBorder="1" applyAlignment="1">
      <alignment horizontal="center"/>
    </xf>
    <xf numFmtId="0" fontId="101" fillId="0" borderId="28" xfId="0" applyFont="1" applyBorder="1" applyAlignment="1">
      <alignment horizontal="center"/>
    </xf>
    <xf numFmtId="0" fontId="48" fillId="5" borderId="227" xfId="0" applyFont="1" applyFill="1" applyBorder="1" applyAlignment="1">
      <alignment horizontal="center"/>
    </xf>
    <xf numFmtId="0" fontId="48" fillId="5" borderId="189" xfId="0" applyFont="1" applyFill="1" applyBorder="1" applyAlignment="1">
      <alignment horizontal="center"/>
    </xf>
    <xf numFmtId="0" fontId="48" fillId="5" borderId="129" xfId="0" applyFont="1" applyFill="1" applyBorder="1" applyAlignment="1">
      <alignment horizontal="center"/>
    </xf>
    <xf numFmtId="0" fontId="48" fillId="5" borderId="33" xfId="0" applyFont="1" applyFill="1" applyBorder="1" applyAlignment="1">
      <alignment horizontal="center"/>
    </xf>
    <xf numFmtId="0" fontId="48" fillId="5" borderId="27" xfId="0" applyFont="1" applyFill="1" applyBorder="1" applyAlignment="1">
      <alignment horizontal="center"/>
    </xf>
    <xf numFmtId="0" fontId="48" fillId="5" borderId="28" xfId="0" applyFont="1" applyFill="1" applyBorder="1" applyAlignment="1">
      <alignment horizontal="center"/>
    </xf>
    <xf numFmtId="0" fontId="10" fillId="8" borderId="204" xfId="0" applyFont="1" applyFill="1" applyBorder="1" applyAlignment="1">
      <alignment horizontal="left" vertical="center"/>
    </xf>
    <xf numFmtId="0" fontId="0" fillId="8" borderId="205" xfId="0" applyFill="1" applyBorder="1" applyAlignment="1">
      <alignment horizontal="left" vertical="center"/>
    </xf>
    <xf numFmtId="0" fontId="0" fillId="8" borderId="206" xfId="0" applyFill="1" applyBorder="1" applyAlignment="1">
      <alignment horizontal="left" vertical="center"/>
    </xf>
    <xf numFmtId="0" fontId="10" fillId="8" borderId="201" xfId="0" applyFont="1" applyFill="1" applyBorder="1" applyAlignment="1">
      <alignment horizontal="left" vertical="center"/>
    </xf>
    <xf numFmtId="0" fontId="0" fillId="8" borderId="202" xfId="0" applyFill="1" applyBorder="1" applyAlignment="1">
      <alignment horizontal="left" vertical="center"/>
    </xf>
    <xf numFmtId="0" fontId="0" fillId="8" borderId="203" xfId="0" applyFill="1" applyBorder="1" applyAlignment="1">
      <alignment horizontal="left" vertical="center"/>
    </xf>
    <xf numFmtId="0" fontId="10" fillId="0" borderId="19" xfId="0" applyFont="1" applyBorder="1" applyAlignment="1">
      <alignment horizontal="left"/>
    </xf>
    <xf numFmtId="0" fontId="48" fillId="5" borderId="135" xfId="0" applyFont="1" applyFill="1" applyBorder="1" applyAlignment="1">
      <alignment horizontal="center"/>
    </xf>
    <xf numFmtId="0" fontId="48" fillId="5" borderId="190" xfId="0" applyFont="1" applyFill="1" applyBorder="1" applyAlignment="1">
      <alignment horizontal="center"/>
    </xf>
    <xf numFmtId="0" fontId="48" fillId="5" borderId="191" xfId="0" applyFont="1" applyFill="1" applyBorder="1" applyAlignment="1">
      <alignment horizontal="center"/>
    </xf>
    <xf numFmtId="0" fontId="48" fillId="5" borderId="10" xfId="0" applyFont="1" applyFill="1" applyBorder="1" applyAlignment="1">
      <alignment horizontal="center"/>
    </xf>
    <xf numFmtId="0" fontId="48" fillId="5" borderId="0" xfId="0" applyFont="1" applyFill="1" applyAlignment="1">
      <alignment horizontal="center"/>
    </xf>
    <xf numFmtId="0" fontId="48" fillId="5" borderId="130" xfId="0" applyFont="1" applyFill="1" applyBorder="1" applyAlignment="1">
      <alignment horizontal="center"/>
    </xf>
    <xf numFmtId="0" fontId="29" fillId="32" borderId="145" xfId="0" applyFont="1" applyFill="1" applyBorder="1" applyAlignment="1">
      <alignment horizontal="center"/>
    </xf>
    <xf numFmtId="0" fontId="29" fillId="32" borderId="129" xfId="0" applyFont="1" applyFill="1" applyBorder="1" applyAlignment="1">
      <alignment horizontal="center"/>
    </xf>
    <xf numFmtId="0" fontId="29" fillId="32" borderId="197" xfId="0" applyFont="1" applyFill="1" applyBorder="1" applyAlignment="1">
      <alignment horizontal="center"/>
    </xf>
    <xf numFmtId="0" fontId="29" fillId="32" borderId="132" xfId="0" applyFont="1" applyFill="1" applyBorder="1" applyAlignment="1">
      <alignment horizontal="center"/>
    </xf>
    <xf numFmtId="0" fontId="29" fillId="32" borderId="146" xfId="0" applyFont="1" applyFill="1" applyBorder="1" applyAlignment="1">
      <alignment horizontal="center"/>
    </xf>
    <xf numFmtId="0" fontId="29" fillId="32" borderId="156" xfId="0" applyFont="1" applyFill="1" applyBorder="1" applyAlignment="1">
      <alignment horizontal="center"/>
    </xf>
    <xf numFmtId="0" fontId="47" fillId="18" borderId="10" xfId="0" applyFont="1" applyFill="1" applyBorder="1" applyAlignment="1">
      <alignment horizontal="center"/>
    </xf>
    <xf numFmtId="0" fontId="47" fillId="18" borderId="0" xfId="0" applyFont="1" applyFill="1" applyAlignment="1">
      <alignment horizontal="center"/>
    </xf>
    <xf numFmtId="0" fontId="47" fillId="18" borderId="12" xfId="0" applyFont="1" applyFill="1" applyBorder="1" applyAlignment="1">
      <alignment horizontal="center"/>
    </xf>
    <xf numFmtId="0" fontId="36" fillId="49" borderId="193" xfId="0" applyFont="1" applyFill="1" applyBorder="1" applyAlignment="1">
      <alignment horizontal="left" vertical="center" wrapText="1"/>
    </xf>
    <xf numFmtId="0" fontId="0" fillId="49" borderId="194" xfId="0" applyFill="1" applyBorder="1" applyAlignment="1">
      <alignment horizontal="left" vertical="center" wrapText="1"/>
    </xf>
    <xf numFmtId="0" fontId="0" fillId="49" borderId="195" xfId="0" applyFill="1" applyBorder="1" applyAlignment="1">
      <alignment horizontal="left" vertical="center" wrapText="1"/>
    </xf>
    <xf numFmtId="0" fontId="29" fillId="32" borderId="62" xfId="0" applyFont="1" applyFill="1" applyBorder="1" applyAlignment="1">
      <alignment horizontal="center"/>
    </xf>
    <xf numFmtId="168" fontId="46" fillId="12" borderId="133" xfId="15" applyNumberFormat="1" applyFont="1" applyFill="1" applyBorder="1" applyAlignment="1">
      <alignment horizontal="center" vertical="center"/>
    </xf>
    <xf numFmtId="168" fontId="46" fillId="12" borderId="130" xfId="15" applyNumberFormat="1" applyFont="1" applyFill="1" applyBorder="1" applyAlignment="1">
      <alignment horizontal="center" vertical="center"/>
    </xf>
    <xf numFmtId="168" fontId="46" fillId="12" borderId="132" xfId="15" applyNumberFormat="1" applyFont="1" applyFill="1" applyBorder="1" applyAlignment="1">
      <alignment horizontal="center" vertical="center"/>
    </xf>
    <xf numFmtId="168" fontId="46" fillId="12" borderId="156" xfId="15" applyNumberFormat="1" applyFont="1" applyFill="1" applyBorder="1" applyAlignment="1">
      <alignment horizontal="center" vertical="center"/>
    </xf>
    <xf numFmtId="167" fontId="11" fillId="12" borderId="155" xfId="0" applyNumberFormat="1" applyFont="1" applyFill="1" applyBorder="1" applyAlignment="1">
      <alignment horizontal="center" vertical="center"/>
    </xf>
    <xf numFmtId="167" fontId="11" fillId="12" borderId="130" xfId="0" applyNumberFormat="1" applyFont="1" applyFill="1" applyBorder="1" applyAlignment="1">
      <alignment horizontal="center" vertical="center"/>
    </xf>
    <xf numFmtId="167" fontId="11" fillId="12" borderId="156" xfId="0" applyNumberFormat="1" applyFont="1" applyFill="1" applyBorder="1" applyAlignment="1">
      <alignment horizontal="center" vertical="center"/>
    </xf>
    <xf numFmtId="0" fontId="15" fillId="0" borderId="24" xfId="0" applyFont="1" applyBorder="1" applyAlignment="1">
      <alignment horizontal="center"/>
    </xf>
    <xf numFmtId="0" fontId="15" fillId="0" borderId="25" xfId="0" applyFont="1" applyBorder="1" applyAlignment="1">
      <alignment horizontal="center"/>
    </xf>
    <xf numFmtId="0" fontId="10" fillId="8" borderId="26" xfId="0" applyFont="1" applyFill="1" applyBorder="1" applyAlignment="1">
      <alignment horizontal="left" vertical="center"/>
    </xf>
    <xf numFmtId="0" fontId="10" fillId="8" borderId="25" xfId="0" applyFont="1" applyFill="1" applyBorder="1" applyAlignment="1">
      <alignment horizontal="left" vertical="center"/>
    </xf>
    <xf numFmtId="9" fontId="15" fillId="8" borderId="26" xfId="15" applyFont="1" applyFill="1" applyBorder="1" applyAlignment="1">
      <alignment horizontal="left"/>
    </xf>
    <xf numFmtId="9" fontId="15" fillId="8" borderId="25" xfId="15" applyFont="1" applyFill="1" applyBorder="1" applyAlignment="1">
      <alignment horizontal="left"/>
    </xf>
    <xf numFmtId="0" fontId="11" fillId="12" borderId="0" xfId="0" applyFont="1" applyFill="1" applyAlignment="1">
      <alignment horizontal="center" vertical="center" wrapText="1"/>
    </xf>
    <xf numFmtId="0" fontId="11" fillId="12" borderId="146" xfId="0" applyFont="1" applyFill="1" applyBorder="1" applyAlignment="1">
      <alignment horizontal="center" vertical="center" wrapText="1"/>
    </xf>
    <xf numFmtId="0" fontId="36" fillId="8" borderId="193" xfId="0" applyFont="1" applyFill="1" applyBorder="1" applyAlignment="1">
      <alignment horizontal="left" vertical="center" wrapText="1"/>
    </xf>
    <xf numFmtId="0" fontId="0" fillId="8" borderId="194" xfId="0" applyFill="1" applyBorder="1" applyAlignment="1">
      <alignment horizontal="left" vertical="center" wrapText="1"/>
    </xf>
    <xf numFmtId="0" fontId="0" fillId="8" borderId="195" xfId="0" applyFill="1" applyBorder="1" applyAlignment="1">
      <alignment horizontal="left" vertical="center" wrapText="1"/>
    </xf>
    <xf numFmtId="0" fontId="36" fillId="8" borderId="132" xfId="0" applyFont="1" applyFill="1" applyBorder="1" applyAlignment="1">
      <alignment horizontal="left" vertical="center" wrapText="1"/>
    </xf>
    <xf numFmtId="0" fontId="36" fillId="8" borderId="146" xfId="0" applyFont="1" applyFill="1" applyBorder="1" applyAlignment="1">
      <alignment horizontal="left" vertical="center" wrapText="1"/>
    </xf>
    <xf numFmtId="0" fontId="36" fillId="8" borderId="156" xfId="0" applyFont="1" applyFill="1" applyBorder="1" applyAlignment="1">
      <alignment horizontal="left" vertical="center" wrapText="1"/>
    </xf>
    <xf numFmtId="0" fontId="10" fillId="8" borderId="198" xfId="0" applyFont="1" applyFill="1" applyBorder="1" applyAlignment="1">
      <alignment horizontal="left" vertical="center" wrapText="1"/>
    </xf>
    <xf numFmtId="0" fontId="0" fillId="8" borderId="199" xfId="0" applyFill="1" applyBorder="1" applyAlignment="1">
      <alignment horizontal="left" vertical="center" wrapText="1"/>
    </xf>
    <xf numFmtId="0" fontId="0" fillId="8" borderId="200" xfId="0" applyFill="1" applyBorder="1" applyAlignment="1">
      <alignment horizontal="left" vertical="center" wrapText="1"/>
    </xf>
    <xf numFmtId="0" fontId="23" fillId="0" borderId="22" xfId="0" applyFont="1" applyBorder="1" applyAlignment="1">
      <alignment horizontal="center" wrapText="1"/>
    </xf>
    <xf numFmtId="0" fontId="23" fillId="0" borderId="26" xfId="0" applyFont="1" applyBorder="1" applyAlignment="1">
      <alignment horizontal="center" wrapText="1"/>
    </xf>
    <xf numFmtId="0" fontId="48" fillId="5" borderId="42" xfId="0" applyFont="1" applyFill="1" applyBorder="1" applyAlignment="1">
      <alignment horizontal="center"/>
    </xf>
    <xf numFmtId="0" fontId="48" fillId="5" borderId="22" xfId="0" applyFont="1" applyFill="1" applyBorder="1" applyAlignment="1">
      <alignment horizontal="center"/>
    </xf>
    <xf numFmtId="0" fontId="48" fillId="5" borderId="19" xfId="0" applyFont="1" applyFill="1" applyBorder="1" applyAlignment="1">
      <alignment horizontal="center"/>
    </xf>
    <xf numFmtId="0" fontId="29" fillId="32" borderId="227" xfId="0" applyFont="1" applyFill="1" applyBorder="1" applyAlignment="1">
      <alignment horizontal="center"/>
    </xf>
    <xf numFmtId="0" fontId="10" fillId="0" borderId="228" xfId="0" applyFont="1" applyBorder="1" applyAlignment="1">
      <alignment horizontal="left" vertical="center" wrapText="1"/>
    </xf>
    <xf numFmtId="0" fontId="10" fillId="0" borderId="165" xfId="0" applyFont="1" applyBorder="1" applyAlignment="1">
      <alignment horizontal="left" vertical="center" wrapText="1"/>
    </xf>
    <xf numFmtId="0" fontId="10" fillId="0" borderId="166" xfId="0" applyFont="1" applyBorder="1" applyAlignment="1">
      <alignment horizontal="left" vertical="center" wrapText="1"/>
    </xf>
    <xf numFmtId="0" fontId="10" fillId="0" borderId="10" xfId="0" applyFont="1" applyBorder="1" applyAlignment="1">
      <alignment horizontal="left" vertical="center" wrapText="1"/>
    </xf>
    <xf numFmtId="0" fontId="10" fillId="0" borderId="0" xfId="0" applyFont="1" applyAlignment="1">
      <alignment horizontal="left" vertical="center" wrapText="1"/>
    </xf>
    <xf numFmtId="0" fontId="10" fillId="0" borderId="167" xfId="0" applyFont="1" applyBorder="1" applyAlignment="1">
      <alignment horizontal="left" vertical="center" wrapText="1"/>
    </xf>
    <xf numFmtId="0" fontId="10" fillId="0" borderId="229" xfId="0" applyFont="1" applyBorder="1" applyAlignment="1">
      <alignment horizontal="left" vertical="center" wrapText="1"/>
    </xf>
    <xf numFmtId="0" fontId="10" fillId="0" borderId="168" xfId="0" applyFont="1" applyBorder="1" applyAlignment="1">
      <alignment horizontal="left" vertical="center" wrapText="1"/>
    </xf>
    <xf numFmtId="0" fontId="10" fillId="0" borderId="169" xfId="0" applyFont="1" applyBorder="1" applyAlignment="1">
      <alignment horizontal="left" vertical="center" wrapText="1"/>
    </xf>
    <xf numFmtId="0" fontId="11" fillId="0" borderId="55" xfId="0" applyFont="1" applyBorder="1" applyAlignment="1">
      <alignment horizontal="center" vertical="center"/>
    </xf>
    <xf numFmtId="0" fontId="11" fillId="0" borderId="18" xfId="0" applyFont="1" applyBorder="1" applyAlignment="1">
      <alignment horizontal="center" vertical="center"/>
    </xf>
    <xf numFmtId="0" fontId="11" fillId="0" borderId="56" xfId="0" applyFont="1" applyBorder="1" applyAlignment="1">
      <alignment horizontal="center" vertical="center"/>
    </xf>
    <xf numFmtId="0" fontId="29" fillId="32" borderId="33" xfId="0" applyFont="1" applyFill="1" applyBorder="1" applyAlignment="1">
      <alignment horizontal="center"/>
    </xf>
    <xf numFmtId="0" fontId="29" fillId="32" borderId="27" xfId="0" applyFont="1" applyFill="1" applyBorder="1" applyAlignment="1">
      <alignment horizontal="center"/>
    </xf>
    <xf numFmtId="0" fontId="29" fillId="32" borderId="26" xfId="0" applyFont="1" applyFill="1" applyBorder="1" applyAlignment="1">
      <alignment horizontal="center"/>
    </xf>
    <xf numFmtId="0" fontId="29" fillId="32" borderId="24" xfId="0" applyFont="1" applyFill="1" applyBorder="1" applyAlignment="1">
      <alignment horizontal="center"/>
    </xf>
    <xf numFmtId="14" fontId="15" fillId="0" borderId="26" xfId="0" applyNumberFormat="1" applyFont="1" applyBorder="1" applyAlignment="1">
      <alignment horizontal="center"/>
    </xf>
    <xf numFmtId="14" fontId="15" fillId="0" borderId="25" xfId="0" applyNumberFormat="1" applyFont="1" applyBorder="1" applyAlignment="1">
      <alignment horizontal="center"/>
    </xf>
    <xf numFmtId="0" fontId="10" fillId="0" borderId="19" xfId="0" quotePrefix="1" applyFont="1" applyBorder="1" applyAlignment="1">
      <alignment horizontal="left"/>
    </xf>
    <xf numFmtId="0" fontId="68" fillId="8" borderId="19" xfId="0" applyFont="1" applyFill="1" applyBorder="1" applyAlignment="1">
      <alignment horizontal="center" vertical="center" wrapText="1"/>
    </xf>
    <xf numFmtId="0" fontId="48" fillId="31" borderId="29" xfId="0" applyFont="1" applyFill="1" applyBorder="1" applyAlignment="1">
      <alignment horizontal="center" vertical="center" wrapText="1"/>
    </xf>
    <xf numFmtId="0" fontId="48" fillId="31" borderId="53" xfId="0" applyFont="1" applyFill="1" applyBorder="1" applyAlignment="1">
      <alignment horizontal="center" vertical="center" wrapText="1"/>
    </xf>
    <xf numFmtId="0" fontId="48" fillId="5" borderId="47" xfId="0" applyFont="1" applyFill="1" applyBorder="1" applyAlignment="1">
      <alignment horizontal="center"/>
    </xf>
    <xf numFmtId="0" fontId="48" fillId="5" borderId="48" xfId="0" applyFont="1" applyFill="1" applyBorder="1" applyAlignment="1">
      <alignment horizontal="center"/>
    </xf>
    <xf numFmtId="0" fontId="48" fillId="5" borderId="49" xfId="0" applyFont="1" applyFill="1" applyBorder="1" applyAlignment="1">
      <alignment horizontal="center"/>
    </xf>
    <xf numFmtId="0" fontId="29" fillId="11" borderId="73" xfId="0" applyFont="1" applyFill="1" applyBorder="1" applyAlignment="1">
      <alignment horizontal="center" vertical="center" wrapText="1"/>
    </xf>
    <xf numFmtId="0" fontId="29" fillId="11" borderId="75" xfId="0" applyFont="1" applyFill="1" applyBorder="1" applyAlignment="1">
      <alignment horizontal="center" vertical="center" wrapText="1"/>
    </xf>
    <xf numFmtId="168" fontId="46" fillId="12" borderId="135" xfId="15" applyNumberFormat="1" applyFont="1" applyFill="1" applyBorder="1" applyAlignment="1">
      <alignment horizontal="center" vertical="center"/>
    </xf>
    <xf numFmtId="168" fontId="46" fillId="12" borderId="191" xfId="15" applyNumberFormat="1" applyFont="1" applyFill="1" applyBorder="1" applyAlignment="1">
      <alignment horizontal="center" vertical="center"/>
    </xf>
    <xf numFmtId="168" fontId="46" fillId="12" borderId="264" xfId="15" applyNumberFormat="1" applyFont="1" applyFill="1" applyBorder="1" applyAlignment="1">
      <alignment horizontal="center" vertical="center"/>
    </xf>
    <xf numFmtId="168" fontId="46" fillId="12" borderId="265" xfId="15" applyNumberFormat="1" applyFont="1" applyFill="1" applyBorder="1" applyAlignment="1">
      <alignment horizontal="center" vertical="center"/>
    </xf>
    <xf numFmtId="0" fontId="11" fillId="8" borderId="135" xfId="0" applyFont="1" applyFill="1" applyBorder="1" applyAlignment="1">
      <alignment horizontal="center" vertical="center" wrapText="1"/>
    </xf>
    <xf numFmtId="0" fontId="11" fillId="8" borderId="190" xfId="0" applyFont="1" applyFill="1" applyBorder="1" applyAlignment="1">
      <alignment horizontal="center" vertical="center" wrapText="1"/>
    </xf>
    <xf numFmtId="0" fontId="11" fillId="8" borderId="132" xfId="0" applyFont="1" applyFill="1" applyBorder="1" applyAlignment="1">
      <alignment horizontal="center" vertical="center" wrapText="1"/>
    </xf>
    <xf numFmtId="0" fontId="11" fillId="8" borderId="146" xfId="0" applyFont="1" applyFill="1" applyBorder="1" applyAlignment="1">
      <alignment horizontal="center" vertical="center" wrapText="1"/>
    </xf>
    <xf numFmtId="0" fontId="11" fillId="8" borderId="155" xfId="0" applyFont="1" applyFill="1" applyBorder="1" applyAlignment="1">
      <alignment horizontal="center" vertical="center" wrapText="1"/>
    </xf>
    <xf numFmtId="0" fontId="11" fillId="8" borderId="133" xfId="0" applyFont="1" applyFill="1" applyBorder="1" applyAlignment="1">
      <alignment horizontal="center" vertical="center" wrapText="1"/>
    </xf>
    <xf numFmtId="0" fontId="11" fillId="8" borderId="0" xfId="0" applyFont="1" applyFill="1" applyAlignment="1">
      <alignment horizontal="center" vertical="center" wrapText="1"/>
    </xf>
    <xf numFmtId="0" fontId="11" fillId="8" borderId="130" xfId="0" applyFont="1" applyFill="1" applyBorder="1" applyAlignment="1">
      <alignment horizontal="center" vertical="center" wrapText="1"/>
    </xf>
    <xf numFmtId="0" fontId="48" fillId="31" borderId="227" xfId="0" applyFont="1" applyFill="1" applyBorder="1" applyAlignment="1">
      <alignment horizontal="center"/>
    </xf>
    <xf numFmtId="0" fontId="48" fillId="31" borderId="52" xfId="0" applyFont="1" applyFill="1" applyBorder="1" applyAlignment="1">
      <alignment horizontal="center"/>
    </xf>
    <xf numFmtId="0" fontId="68" fillId="0" borderId="135" xfId="0" applyFont="1" applyBorder="1" applyAlignment="1">
      <alignment horizontal="center" vertical="center" wrapText="1"/>
    </xf>
    <xf numFmtId="0" fontId="68" fillId="0" borderId="190" xfId="0" applyFont="1" applyBorder="1" applyAlignment="1">
      <alignment horizontal="center" vertical="center" wrapText="1"/>
    </xf>
    <xf numFmtId="0" fontId="68" fillId="0" borderId="191" xfId="0" applyFont="1" applyBorder="1" applyAlignment="1">
      <alignment horizontal="center" vertical="center" wrapText="1"/>
    </xf>
    <xf numFmtId="0" fontId="68" fillId="0" borderId="133" xfId="0" applyFont="1" applyBorder="1" applyAlignment="1">
      <alignment horizontal="center" vertical="center" wrapText="1"/>
    </xf>
    <xf numFmtId="0" fontId="68" fillId="0" borderId="0" xfId="0" applyFont="1" applyAlignment="1">
      <alignment horizontal="center" vertical="center" wrapText="1"/>
    </xf>
    <xf numFmtId="0" fontId="68" fillId="0" borderId="12" xfId="0" applyFont="1" applyBorder="1" applyAlignment="1">
      <alignment horizontal="center" vertical="center" wrapText="1"/>
    </xf>
    <xf numFmtId="0" fontId="68" fillId="0" borderId="132" xfId="0" applyFont="1" applyBorder="1" applyAlignment="1">
      <alignment horizontal="center" vertical="center" wrapText="1"/>
    </xf>
    <xf numFmtId="0" fontId="68" fillId="0" borderId="146" xfId="0" applyFont="1" applyBorder="1" applyAlignment="1">
      <alignment horizontal="center" vertical="center" wrapText="1"/>
    </xf>
    <xf numFmtId="0" fontId="68" fillId="0" borderId="196" xfId="0" applyFont="1" applyBorder="1" applyAlignment="1">
      <alignment horizontal="center" vertical="center" wrapText="1"/>
    </xf>
    <xf numFmtId="0" fontId="48" fillId="5" borderId="146" xfId="0" applyFont="1" applyFill="1" applyBorder="1" applyAlignment="1">
      <alignment horizontal="center"/>
    </xf>
    <xf numFmtId="0" fontId="48" fillId="5" borderId="12" xfId="0" applyFont="1" applyFill="1" applyBorder="1" applyAlignment="1">
      <alignment horizontal="center"/>
    </xf>
    <xf numFmtId="0" fontId="10" fillId="0" borderId="63" xfId="0" applyFont="1" applyBorder="1" applyAlignment="1">
      <alignment horizontal="left"/>
    </xf>
    <xf numFmtId="0" fontId="10" fillId="0" borderId="64" xfId="0" applyFont="1" applyBorder="1" applyAlignment="1">
      <alignment horizontal="left"/>
    </xf>
    <xf numFmtId="0" fontId="10" fillId="0" borderId="63" xfId="0" applyFont="1" applyBorder="1" applyAlignment="1">
      <alignment horizontal="left" indent="1"/>
    </xf>
    <xf numFmtId="0" fontId="10" fillId="0" borderId="64" xfId="0" applyFont="1" applyBorder="1" applyAlignment="1">
      <alignment horizontal="left" indent="1"/>
    </xf>
    <xf numFmtId="0" fontId="15" fillId="0" borderId="63" xfId="0" applyFont="1" applyBorder="1" applyAlignment="1">
      <alignment horizontal="left"/>
    </xf>
    <xf numFmtId="0" fontId="15" fillId="0" borderId="64" xfId="0" applyFont="1" applyBorder="1" applyAlignment="1">
      <alignment horizontal="left"/>
    </xf>
    <xf numFmtId="0" fontId="0" fillId="0" borderId="63" xfId="0" applyBorder="1" applyAlignment="1">
      <alignment horizontal="left"/>
    </xf>
    <xf numFmtId="0" fontId="0" fillId="0" borderId="64" xfId="0" applyBorder="1" applyAlignment="1">
      <alignment horizontal="left"/>
    </xf>
    <xf numFmtId="0" fontId="10" fillId="16" borderId="63" xfId="0" applyFont="1" applyFill="1" applyBorder="1" applyAlignment="1">
      <alignment horizontal="left"/>
    </xf>
    <xf numFmtId="0" fontId="10" fillId="16" borderId="64" xfId="0" applyFont="1" applyFill="1" applyBorder="1" applyAlignment="1">
      <alignment horizontal="left"/>
    </xf>
    <xf numFmtId="0" fontId="0" fillId="0" borderId="50" xfId="0" applyBorder="1" applyAlignment="1">
      <alignment horizontal="center" vertical="center" wrapText="1"/>
    </xf>
    <xf numFmtId="0" fontId="0" fillId="0" borderId="0" xfId="0" applyAlignment="1">
      <alignment horizontal="center" vertical="center" wrapText="1"/>
    </xf>
    <xf numFmtId="0" fontId="0" fillId="0" borderId="51" xfId="0" applyBorder="1" applyAlignment="1">
      <alignment horizontal="center" vertical="center" wrapText="1"/>
    </xf>
    <xf numFmtId="0" fontId="15" fillId="0" borderId="86" xfId="0" applyFont="1" applyBorder="1" applyAlignment="1">
      <alignment horizontal="center"/>
    </xf>
    <xf numFmtId="0" fontId="15" fillId="0" borderId="88" xfId="0" applyFont="1" applyBorder="1" applyAlignment="1">
      <alignment horizontal="center"/>
    </xf>
    <xf numFmtId="0" fontId="15" fillId="0" borderId="87" xfId="0" applyFont="1" applyBorder="1" applyAlignment="1">
      <alignment horizontal="center"/>
    </xf>
    <xf numFmtId="0" fontId="33" fillId="5" borderId="73" xfId="0" applyFont="1" applyFill="1" applyBorder="1" applyAlignment="1">
      <alignment horizontal="center" vertical="center"/>
    </xf>
    <xf numFmtId="0" fontId="33" fillId="5" borderId="74" xfId="0" applyFont="1" applyFill="1" applyBorder="1" applyAlignment="1">
      <alignment horizontal="center" vertical="center"/>
    </xf>
    <xf numFmtId="0" fontId="33" fillId="5" borderId="77" xfId="0" applyFont="1" applyFill="1" applyBorder="1" applyAlignment="1">
      <alignment horizontal="center" vertical="center"/>
    </xf>
    <xf numFmtId="0" fontId="15" fillId="0" borderId="83" xfId="0" applyFont="1" applyBorder="1" applyAlignment="1">
      <alignment horizontal="center"/>
    </xf>
    <xf numFmtId="0" fontId="15" fillId="0" borderId="85" xfId="0" applyFont="1" applyBorder="1" applyAlignment="1">
      <alignment horizontal="center"/>
    </xf>
    <xf numFmtId="0" fontId="15" fillId="0" borderId="84" xfId="0" applyFont="1" applyBorder="1" applyAlignment="1">
      <alignment horizontal="center"/>
    </xf>
    <xf numFmtId="168" fontId="15" fillId="0" borderId="83" xfId="15" applyNumberFormat="1" applyFont="1" applyBorder="1" applyAlignment="1">
      <alignment horizontal="center"/>
    </xf>
    <xf numFmtId="168" fontId="15" fillId="0" borderId="85" xfId="15" applyNumberFormat="1" applyFont="1" applyBorder="1" applyAlignment="1">
      <alignment horizontal="center"/>
    </xf>
    <xf numFmtId="168" fontId="15" fillId="0" borderId="84" xfId="15" applyNumberFormat="1" applyFont="1" applyBorder="1" applyAlignment="1">
      <alignment horizontal="center"/>
    </xf>
    <xf numFmtId="0" fontId="15" fillId="14" borderId="73" xfId="0" applyFont="1" applyFill="1" applyBorder="1" applyAlignment="1">
      <alignment horizontal="center" vertical="center"/>
    </xf>
    <xf numFmtId="0" fontId="15" fillId="14" borderId="74" xfId="0" applyFont="1" applyFill="1" applyBorder="1" applyAlignment="1">
      <alignment horizontal="center" vertical="center"/>
    </xf>
    <xf numFmtId="0" fontId="15" fillId="14" borderId="75" xfId="0" applyFont="1" applyFill="1" applyBorder="1" applyAlignment="1">
      <alignment horizontal="center" vertical="center"/>
    </xf>
    <xf numFmtId="0" fontId="15" fillId="24" borderId="78" xfId="0" applyFont="1" applyFill="1" applyBorder="1" applyAlignment="1">
      <alignment horizontal="center"/>
    </xf>
    <xf numFmtId="0" fontId="15" fillId="24" borderId="79" xfId="0" applyFont="1" applyFill="1" applyBorder="1" applyAlignment="1">
      <alignment horizontal="center"/>
    </xf>
    <xf numFmtId="0" fontId="82" fillId="0" borderId="83" xfId="42" applyFont="1" applyBorder="1" applyAlignment="1">
      <alignment horizontal="center"/>
    </xf>
    <xf numFmtId="0" fontId="82" fillId="0" borderId="84" xfId="42" applyFont="1" applyBorder="1" applyAlignment="1">
      <alignment horizontal="center"/>
    </xf>
    <xf numFmtId="0" fontId="33" fillId="5" borderId="73" xfId="0" applyFont="1" applyFill="1" applyBorder="1" applyAlignment="1">
      <alignment horizontal="center"/>
    </xf>
    <xf numFmtId="0" fontId="33" fillId="5" borderId="74" xfId="0" applyFont="1" applyFill="1" applyBorder="1" applyAlignment="1">
      <alignment horizontal="center"/>
    </xf>
    <xf numFmtId="0" fontId="33" fillId="5" borderId="75" xfId="0" applyFont="1" applyFill="1" applyBorder="1" applyAlignment="1">
      <alignment horizontal="center"/>
    </xf>
    <xf numFmtId="0" fontId="15" fillId="14" borderId="73" xfId="0" applyFont="1" applyFill="1" applyBorder="1" applyAlignment="1">
      <alignment horizontal="center"/>
    </xf>
    <xf numFmtId="0" fontId="15" fillId="14" borderId="75" xfId="0" applyFont="1" applyFill="1" applyBorder="1" applyAlignment="1">
      <alignment horizontal="center"/>
    </xf>
    <xf numFmtId="0" fontId="65" fillId="0" borderId="83" xfId="0" applyFont="1" applyBorder="1" applyAlignment="1">
      <alignment horizontal="center" vertical="center"/>
    </xf>
    <xf numFmtId="0" fontId="0" fillId="0" borderId="84" xfId="0" applyBorder="1" applyAlignment="1">
      <alignment horizontal="center" vertical="center"/>
    </xf>
    <xf numFmtId="0" fontId="15" fillId="14" borderId="74" xfId="0" applyFont="1" applyFill="1" applyBorder="1" applyAlignment="1">
      <alignment horizontal="center"/>
    </xf>
    <xf numFmtId="0" fontId="15" fillId="24" borderId="80" xfId="0" applyFont="1" applyFill="1" applyBorder="1" applyAlignment="1">
      <alignment horizontal="center"/>
    </xf>
    <xf numFmtId="0" fontId="15" fillId="24" borderId="81" xfId="0" applyFont="1" applyFill="1" applyBorder="1" applyAlignment="1">
      <alignment horizontal="center"/>
    </xf>
    <xf numFmtId="0" fontId="15" fillId="24" borderId="82" xfId="0" applyFont="1" applyFill="1" applyBorder="1" applyAlignment="1">
      <alignment horizontal="center"/>
    </xf>
    <xf numFmtId="168" fontId="15" fillId="8" borderId="86" xfId="15" applyNumberFormat="1" applyFont="1" applyFill="1" applyBorder="1" applyAlignment="1">
      <alignment horizontal="center"/>
    </xf>
    <xf numFmtId="168" fontId="15" fillId="8" borderId="88" xfId="15" applyNumberFormat="1" applyFont="1" applyFill="1" applyBorder="1" applyAlignment="1">
      <alignment horizontal="center"/>
    </xf>
    <xf numFmtId="168" fontId="15" fillId="8" borderId="87" xfId="15" applyNumberFormat="1" applyFont="1" applyFill="1" applyBorder="1" applyAlignment="1">
      <alignment horizontal="center"/>
    </xf>
    <xf numFmtId="0" fontId="11" fillId="0" borderId="73" xfId="0" applyFont="1" applyBorder="1" applyAlignment="1">
      <alignment horizontal="center" vertical="center"/>
    </xf>
    <xf numFmtId="0" fontId="11" fillId="0" borderId="75" xfId="0" applyFont="1" applyBorder="1" applyAlignment="1">
      <alignment horizontal="center" vertical="center"/>
    </xf>
    <xf numFmtId="0" fontId="65" fillId="0" borderId="86" xfId="0" applyFont="1" applyBorder="1" applyAlignment="1">
      <alignment horizontal="center" vertical="center"/>
    </xf>
    <xf numFmtId="0" fontId="15" fillId="0" borderId="87" xfId="0" applyFont="1" applyBorder="1" applyAlignment="1">
      <alignment horizontal="center" vertical="center"/>
    </xf>
    <xf numFmtId="0" fontId="65" fillId="0" borderId="83" xfId="0" applyFont="1" applyBorder="1" applyAlignment="1">
      <alignment horizontal="center"/>
    </xf>
    <xf numFmtId="0" fontId="65" fillId="0" borderId="84" xfId="0" applyFont="1" applyBorder="1" applyAlignment="1">
      <alignment horizontal="center"/>
    </xf>
    <xf numFmtId="0" fontId="36" fillId="0" borderId="83" xfId="0" applyFont="1" applyBorder="1" applyAlignment="1">
      <alignment horizontal="center" vertical="center" wrapText="1"/>
    </xf>
    <xf numFmtId="0" fontId="10" fillId="0" borderId="85" xfId="0" applyFont="1" applyBorder="1" applyAlignment="1">
      <alignment horizontal="center" vertical="center"/>
    </xf>
    <xf numFmtId="0" fontId="10" fillId="0" borderId="84" xfId="0" applyFont="1" applyBorder="1" applyAlignment="1">
      <alignment horizontal="center" vertical="center"/>
    </xf>
    <xf numFmtId="0" fontId="33" fillId="5" borderId="50" xfId="0" applyFont="1" applyFill="1" applyBorder="1" applyAlignment="1">
      <alignment horizontal="center"/>
    </xf>
    <xf numFmtId="0" fontId="33" fillId="5" borderId="0" xfId="0" applyFont="1" applyFill="1" applyAlignment="1">
      <alignment horizontal="center"/>
    </xf>
    <xf numFmtId="0" fontId="33" fillId="5" borderId="51" xfId="0" applyFont="1" applyFill="1" applyBorder="1" applyAlignment="1">
      <alignment horizontal="center"/>
    </xf>
    <xf numFmtId="0" fontId="47" fillId="5" borderId="0" xfId="0" applyFont="1" applyFill="1" applyAlignment="1">
      <alignment horizontal="center"/>
    </xf>
    <xf numFmtId="0" fontId="33" fillId="18" borderId="50" xfId="0" applyFont="1" applyFill="1" applyBorder="1" applyAlignment="1">
      <alignment horizontal="center"/>
    </xf>
    <xf numFmtId="0" fontId="33" fillId="18" borderId="0" xfId="0" applyFont="1" applyFill="1" applyAlignment="1">
      <alignment horizontal="center"/>
    </xf>
    <xf numFmtId="0" fontId="47" fillId="5" borderId="68" xfId="0" applyFont="1" applyFill="1" applyBorder="1" applyAlignment="1">
      <alignment horizontal="center"/>
    </xf>
    <xf numFmtId="0" fontId="47" fillId="5" borderId="69" xfId="0" applyFont="1" applyFill="1" applyBorder="1" applyAlignment="1">
      <alignment horizontal="center"/>
    </xf>
    <xf numFmtId="0" fontId="0" fillId="0" borderId="99" xfId="0" applyBorder="1" applyAlignment="1">
      <alignment horizontal="center" vertical="center" wrapText="1"/>
    </xf>
    <xf numFmtId="0" fontId="0" fillId="0" borderId="40" xfId="0" applyBorder="1" applyAlignment="1">
      <alignment horizontal="center" vertical="center" wrapText="1"/>
    </xf>
    <xf numFmtId="0" fontId="0" fillId="0" borderId="100" xfId="0" applyBorder="1" applyAlignment="1">
      <alignment horizontal="center" vertical="center" wrapText="1"/>
    </xf>
    <xf numFmtId="0" fontId="0" fillId="0" borderId="72" xfId="0" applyBorder="1" applyAlignment="1">
      <alignment horizontal="center" vertical="center" wrapText="1"/>
    </xf>
    <xf numFmtId="0" fontId="33" fillId="5" borderId="68" xfId="0" applyFont="1" applyFill="1" applyBorder="1" applyAlignment="1">
      <alignment horizontal="center"/>
    </xf>
    <xf numFmtId="0" fontId="33" fillId="5" borderId="69" xfId="0" applyFont="1" applyFill="1" applyBorder="1" applyAlignment="1">
      <alignment horizontal="center"/>
    </xf>
    <xf numFmtId="0" fontId="47" fillId="5" borderId="74" xfId="0" applyFont="1" applyFill="1" applyBorder="1" applyAlignment="1">
      <alignment horizontal="center"/>
    </xf>
    <xf numFmtId="0" fontId="47" fillId="5" borderId="75" xfId="0" applyFont="1" applyFill="1" applyBorder="1" applyAlignment="1">
      <alignment horizontal="center"/>
    </xf>
    <xf numFmtId="0" fontId="10" fillId="39" borderId="222" xfId="0" applyFont="1" applyFill="1" applyBorder="1" applyAlignment="1">
      <alignment horizontal="center" vertical="center" wrapText="1"/>
    </xf>
    <xf numFmtId="0" fontId="73" fillId="0" borderId="65" xfId="0" applyFont="1" applyBorder="1" applyAlignment="1">
      <alignment horizontal="center" vertical="center" wrapText="1"/>
    </xf>
    <xf numFmtId="0" fontId="73" fillId="0" borderId="223" xfId="0" applyFont="1" applyBorder="1" applyAlignment="1">
      <alignment horizontal="center" vertical="center" wrapText="1"/>
    </xf>
    <xf numFmtId="0" fontId="29" fillId="5" borderId="219" xfId="25" applyFont="1" applyFill="1" applyBorder="1" applyAlignment="1">
      <alignment horizontal="center" vertical="center"/>
    </xf>
    <xf numFmtId="0" fontId="29" fillId="5" borderId="220" xfId="25" applyFont="1" applyFill="1" applyBorder="1" applyAlignment="1">
      <alignment horizontal="center" vertical="center"/>
    </xf>
    <xf numFmtId="0" fontId="29" fillId="5" borderId="221" xfId="25" applyFont="1" applyFill="1" applyBorder="1" applyAlignment="1">
      <alignment horizontal="center" vertical="center"/>
    </xf>
    <xf numFmtId="0" fontId="10" fillId="45" borderId="222" xfId="0" applyFont="1" applyFill="1" applyBorder="1" applyAlignment="1">
      <alignment horizontal="center" vertical="center" wrapText="1"/>
    </xf>
    <xf numFmtId="0" fontId="10" fillId="44" borderId="222" xfId="0" applyFont="1" applyFill="1" applyBorder="1" applyAlignment="1">
      <alignment horizontal="center" vertical="center" wrapText="1"/>
    </xf>
    <xf numFmtId="0" fontId="10" fillId="44" borderId="224" xfId="0" applyFont="1" applyFill="1" applyBorder="1" applyAlignment="1">
      <alignment horizontal="center" vertical="center" wrapText="1"/>
    </xf>
    <xf numFmtId="0" fontId="73" fillId="0" borderId="225" xfId="0" applyFont="1" applyBorder="1" applyAlignment="1">
      <alignment horizontal="center" vertical="center" wrapText="1"/>
    </xf>
    <xf numFmtId="0" fontId="73" fillId="0" borderId="226" xfId="0" applyFont="1" applyBorder="1" applyAlignment="1">
      <alignment horizontal="center" vertical="center" wrapText="1"/>
    </xf>
    <xf numFmtId="0" fontId="38" fillId="0" borderId="115" xfId="0" applyFont="1" applyBorder="1" applyAlignment="1">
      <alignment horizontal="center" vertical="center" wrapText="1"/>
    </xf>
    <xf numFmtId="0" fontId="38" fillId="0" borderId="116" xfId="0" applyFont="1" applyBorder="1" applyAlignment="1">
      <alignment horizontal="center" vertical="center" wrapText="1"/>
    </xf>
    <xf numFmtId="0" fontId="38" fillId="0" borderId="117" xfId="0" applyFont="1" applyBorder="1" applyAlignment="1">
      <alignment horizontal="center" vertical="center" wrapText="1"/>
    </xf>
    <xf numFmtId="0" fontId="51" fillId="5" borderId="65" xfId="0" applyFont="1" applyFill="1" applyBorder="1" applyAlignment="1">
      <alignment horizontal="center"/>
    </xf>
    <xf numFmtId="2" fontId="0" fillId="0" borderId="0" xfId="25" applyNumberFormat="1" applyFont="1" applyAlignment="1">
      <alignment horizontal="center"/>
    </xf>
    <xf numFmtId="0" fontId="18" fillId="18" borderId="118" xfId="1" applyFill="1" applyBorder="1" applyAlignment="1">
      <alignment horizontal="center" vertical="center" readingOrder="1"/>
    </xf>
    <xf numFmtId="0" fontId="54" fillId="18" borderId="118" xfId="25" applyFont="1" applyFill="1" applyBorder="1" applyAlignment="1">
      <alignment horizontal="center"/>
    </xf>
    <xf numFmtId="0" fontId="0" fillId="0" borderId="0" xfId="25" applyFont="1" applyAlignment="1">
      <alignment horizontal="center"/>
    </xf>
    <xf numFmtId="0" fontId="29" fillId="5" borderId="141" xfId="25" applyFont="1" applyFill="1" applyBorder="1" applyAlignment="1">
      <alignment horizontal="center" vertical="center"/>
    </xf>
    <xf numFmtId="0" fontId="29" fillId="5" borderId="30" xfId="25" applyFont="1" applyFill="1" applyBorder="1" applyAlignment="1">
      <alignment horizontal="center" vertical="center"/>
    </xf>
    <xf numFmtId="0" fontId="29" fillId="5" borderId="31" xfId="25" applyFont="1" applyFill="1" applyBorder="1" applyAlignment="1">
      <alignment horizontal="center" vertical="center"/>
    </xf>
    <xf numFmtId="0" fontId="31" fillId="0" borderId="142" xfId="25" applyFont="1" applyBorder="1" applyAlignment="1">
      <alignment horizontal="center" vertical="center" wrapText="1"/>
    </xf>
    <xf numFmtId="0" fontId="31" fillId="0" borderId="143" xfId="25" applyFont="1" applyBorder="1" applyAlignment="1">
      <alignment horizontal="center" vertical="center" wrapText="1"/>
    </xf>
    <xf numFmtId="0" fontId="31" fillId="0" borderId="144" xfId="25" applyFont="1" applyBorder="1" applyAlignment="1">
      <alignment horizontal="center" vertical="center" wrapText="1"/>
    </xf>
    <xf numFmtId="0" fontId="10" fillId="39" borderId="213" xfId="0" applyFont="1" applyFill="1" applyBorder="1" applyAlignment="1">
      <alignment horizontal="center"/>
    </xf>
    <xf numFmtId="0" fontId="10" fillId="39" borderId="214" xfId="0" applyFont="1" applyFill="1" applyBorder="1" applyAlignment="1">
      <alignment horizontal="center"/>
    </xf>
    <xf numFmtId="0" fontId="10" fillId="39" borderId="182" xfId="0" applyFont="1" applyFill="1" applyBorder="1" applyAlignment="1">
      <alignment horizontal="center"/>
    </xf>
    <xf numFmtId="0" fontId="66" fillId="0" borderId="3" xfId="28" applyFont="1" applyBorder="1" applyAlignment="1">
      <alignment horizontal="center" vertical="center"/>
    </xf>
    <xf numFmtId="0" fontId="66" fillId="0" borderId="2" xfId="28" applyFont="1" applyBorder="1" applyAlignment="1">
      <alignment horizontal="center" vertical="center"/>
    </xf>
    <xf numFmtId="0" fontId="56" fillId="36" borderId="0" xfId="0" applyFont="1" applyFill="1" applyAlignment="1">
      <alignment horizontal="left" vertical="center"/>
    </xf>
    <xf numFmtId="0" fontId="56" fillId="36" borderId="146" xfId="0" applyFont="1" applyFill="1" applyBorder="1" applyAlignment="1">
      <alignment horizontal="left" vertical="center"/>
    </xf>
    <xf numFmtId="0" fontId="57" fillId="0" borderId="3" xfId="0" applyFont="1" applyBorder="1" applyAlignment="1">
      <alignment horizontal="center" vertical="center"/>
    </xf>
    <xf numFmtId="0" fontId="57" fillId="0" borderId="4" xfId="0" applyFont="1" applyBorder="1" applyAlignment="1">
      <alignment horizontal="center" vertical="center"/>
    </xf>
    <xf numFmtId="0" fontId="57" fillId="0" borderId="2" xfId="0" applyFont="1" applyBorder="1" applyAlignment="1">
      <alignment horizontal="center" vertical="center"/>
    </xf>
    <xf numFmtId="0" fontId="15" fillId="0" borderId="133" xfId="0" applyFont="1" applyBorder="1" applyAlignment="1">
      <alignment horizontal="center" vertical="center" wrapText="1"/>
    </xf>
    <xf numFmtId="0" fontId="57" fillId="0" borderId="134" xfId="0" applyFont="1" applyBorder="1" applyAlignment="1">
      <alignment horizontal="center" vertical="center" wrapText="1"/>
    </xf>
    <xf numFmtId="0" fontId="57" fillId="0" borderId="131" xfId="0" applyFont="1" applyBorder="1" applyAlignment="1">
      <alignment horizontal="center" vertical="center" wrapText="1"/>
    </xf>
    <xf numFmtId="0" fontId="62" fillId="28" borderId="133" xfId="0" applyFont="1" applyFill="1" applyBorder="1" applyAlignment="1">
      <alignment horizontal="center"/>
    </xf>
    <xf numFmtId="0" fontId="62" fillId="28" borderId="0" xfId="0" applyFont="1" applyFill="1" applyAlignment="1">
      <alignment horizontal="center"/>
    </xf>
    <xf numFmtId="0" fontId="62" fillId="28" borderId="145" xfId="0" applyFont="1" applyFill="1" applyBorder="1" applyAlignment="1">
      <alignment horizontal="center"/>
    </xf>
    <xf numFmtId="0" fontId="62" fillId="28" borderId="129" xfId="0" applyFont="1" applyFill="1" applyBorder="1" applyAlignment="1">
      <alignment horizontal="center"/>
    </xf>
    <xf numFmtId="0" fontId="62" fillId="28" borderId="197" xfId="0" applyFont="1" applyFill="1" applyBorder="1" applyAlignment="1">
      <alignment horizontal="center"/>
    </xf>
    <xf numFmtId="0" fontId="55" fillId="12" borderId="213" xfId="0" applyFont="1" applyFill="1" applyBorder="1" applyAlignment="1">
      <alignment horizontal="center"/>
    </xf>
    <xf numFmtId="0" fontId="55" fillId="12" borderId="214" xfId="0" applyFont="1" applyFill="1" applyBorder="1" applyAlignment="1">
      <alignment horizontal="center"/>
    </xf>
    <xf numFmtId="0" fontId="55" fillId="12" borderId="182" xfId="0" applyFont="1" applyFill="1" applyBorder="1" applyAlignment="1">
      <alignment horizontal="center"/>
    </xf>
    <xf numFmtId="0" fontId="55" fillId="39" borderId="213" xfId="0" applyFont="1" applyFill="1" applyBorder="1" applyAlignment="1">
      <alignment horizontal="center"/>
    </xf>
    <xf numFmtId="0" fontId="55" fillId="39" borderId="214" xfId="0" applyFont="1" applyFill="1" applyBorder="1" applyAlignment="1">
      <alignment horizontal="center"/>
    </xf>
    <xf numFmtId="0" fontId="55" fillId="39" borderId="182" xfId="0" applyFont="1" applyFill="1" applyBorder="1" applyAlignment="1">
      <alignment horizontal="center"/>
    </xf>
    <xf numFmtId="0" fontId="57" fillId="0" borderId="131" xfId="0" applyFont="1" applyBorder="1" applyAlignment="1">
      <alignment horizontal="center" vertical="center"/>
    </xf>
    <xf numFmtId="0" fontId="57" fillId="0" borderId="134" xfId="0" applyFont="1" applyBorder="1" applyAlignment="1">
      <alignment horizontal="center" vertical="center"/>
    </xf>
    <xf numFmtId="0" fontId="57" fillId="0" borderId="215" xfId="0" applyFont="1" applyBorder="1" applyAlignment="1">
      <alignment horizontal="center" vertical="center"/>
    </xf>
    <xf numFmtId="0" fontId="57" fillId="0" borderId="173" xfId="0" applyFont="1" applyBorder="1" applyAlignment="1">
      <alignment horizontal="center" vertical="center"/>
    </xf>
    <xf numFmtId="0" fontId="57" fillId="0" borderId="123" xfId="0" applyFont="1" applyBorder="1" applyAlignment="1">
      <alignment horizontal="center" vertical="center"/>
    </xf>
    <xf numFmtId="3" fontId="15" fillId="12" borderId="0" xfId="0" applyNumberFormat="1" applyFont="1" applyFill="1" applyAlignment="1">
      <alignment horizontal="center"/>
    </xf>
    <xf numFmtId="0" fontId="10" fillId="0" borderId="0" xfId="23" applyAlignment="1">
      <alignment horizontal="center" wrapText="1"/>
    </xf>
    <xf numFmtId="0" fontId="10" fillId="24" borderId="0" xfId="0" applyFont="1" applyFill="1" applyAlignment="1">
      <alignment horizontal="center"/>
    </xf>
    <xf numFmtId="0" fontId="0" fillId="24" borderId="0" xfId="0" applyFill="1" applyAlignment="1">
      <alignment horizontal="center"/>
    </xf>
    <xf numFmtId="0" fontId="78" fillId="7" borderId="0" xfId="0" applyFont="1" applyFill="1" applyAlignment="1">
      <alignment horizontal="center"/>
    </xf>
    <xf numFmtId="0" fontId="45" fillId="0" borderId="0" xfId="0" applyFont="1" applyAlignment="1">
      <alignment horizontal="center"/>
    </xf>
    <xf numFmtId="0" fontId="11" fillId="0" borderId="0" xfId="0" applyFont="1" applyAlignment="1">
      <alignment horizontal="center"/>
    </xf>
    <xf numFmtId="0" fontId="41" fillId="0" borderId="0" xfId="0" applyFont="1" applyAlignment="1">
      <alignment horizontal="center"/>
    </xf>
    <xf numFmtId="0" fontId="15" fillId="0" borderId="3" xfId="0" applyFont="1" applyBorder="1" applyAlignment="1">
      <alignment horizontal="center"/>
    </xf>
    <xf numFmtId="0" fontId="15" fillId="0" borderId="2" xfId="0" applyFont="1" applyBorder="1" applyAlignment="1">
      <alignment horizontal="center"/>
    </xf>
    <xf numFmtId="0" fontId="15" fillId="0" borderId="34" xfId="0" applyFont="1" applyBorder="1" applyAlignment="1">
      <alignment horizontal="center"/>
    </xf>
    <xf numFmtId="0" fontId="15" fillId="0" borderId="5" xfId="0" applyFont="1" applyBorder="1" applyAlignment="1">
      <alignment horizontal="center"/>
    </xf>
    <xf numFmtId="0" fontId="15" fillId="0" borderId="35" xfId="0" applyFont="1" applyBorder="1" applyAlignment="1">
      <alignment horizontal="center"/>
    </xf>
    <xf numFmtId="0" fontId="37" fillId="19" borderId="0" xfId="23" applyFont="1" applyFill="1" applyAlignment="1">
      <alignment horizontal="center"/>
    </xf>
    <xf numFmtId="4" fontId="37" fillId="19" borderId="0" xfId="23" applyNumberFormat="1" applyFont="1" applyFill="1" applyAlignment="1">
      <alignment horizontal="center"/>
    </xf>
    <xf numFmtId="0" fontId="37" fillId="0" borderId="0" xfId="23" applyFont="1" applyAlignment="1">
      <alignment horizontal="center"/>
    </xf>
    <xf numFmtId="0" fontId="25" fillId="0" borderId="0" xfId="23" applyFont="1" applyAlignment="1">
      <alignment horizontal="center"/>
    </xf>
    <xf numFmtId="0" fontId="90" fillId="48" borderId="34" xfId="37" applyFill="1" applyBorder="1" applyAlignment="1">
      <alignment horizontal="left"/>
    </xf>
    <xf numFmtId="0" fontId="90" fillId="48" borderId="5" xfId="37" applyFill="1" applyBorder="1" applyAlignment="1">
      <alignment horizontal="left"/>
    </xf>
    <xf numFmtId="0" fontId="90" fillId="48" borderId="250" xfId="37" applyFill="1" applyBorder="1" applyAlignment="1">
      <alignment horizontal="left"/>
    </xf>
    <xf numFmtId="15" fontId="94" fillId="48" borderId="175" xfId="39" applyNumberFormat="1" applyFont="1" applyFill="1" applyBorder="1" applyAlignment="1">
      <alignment horizontal="left"/>
    </xf>
    <xf numFmtId="15" fontId="94" fillId="48" borderId="242" xfId="39" applyNumberFormat="1" applyFont="1" applyFill="1" applyBorder="1" applyAlignment="1">
      <alignment horizontal="left"/>
    </xf>
    <xf numFmtId="0" fontId="98" fillId="7" borderId="247" xfId="39" applyFont="1" applyFill="1" applyBorder="1" applyAlignment="1">
      <alignment horizontal="center" vertical="top" wrapText="1"/>
    </xf>
    <xf numFmtId="0" fontId="98" fillId="7" borderId="41" xfId="39" applyFont="1" applyFill="1" applyBorder="1" applyAlignment="1">
      <alignment horizontal="center" vertical="top"/>
    </xf>
    <xf numFmtId="0" fontId="98" fillId="7" borderId="43" xfId="39" applyFont="1" applyFill="1" applyBorder="1" applyAlignment="1">
      <alignment horizontal="center" vertical="top"/>
    </xf>
    <xf numFmtId="0" fontId="98" fillId="7" borderId="248" xfId="39" applyFont="1" applyFill="1" applyBorder="1" applyAlignment="1">
      <alignment horizontal="center" vertical="top"/>
    </xf>
    <xf numFmtId="0" fontId="98" fillId="7" borderId="249" xfId="39" applyFont="1" applyFill="1" applyBorder="1" applyAlignment="1">
      <alignment horizontal="center" vertical="top"/>
    </xf>
    <xf numFmtId="0" fontId="98" fillId="7" borderId="154" xfId="39" applyFont="1" applyFill="1" applyBorder="1" applyAlignment="1">
      <alignment horizontal="center" vertical="top"/>
    </xf>
    <xf numFmtId="0" fontId="90" fillId="48" borderId="44" xfId="37" applyFill="1" applyBorder="1" applyAlignment="1">
      <alignment horizontal="left"/>
    </xf>
    <xf numFmtId="0" fontId="90" fillId="48" borderId="1" xfId="37" applyFill="1" applyBorder="1" applyAlignment="1">
      <alignment horizontal="left"/>
    </xf>
    <xf numFmtId="0" fontId="95" fillId="48" borderId="44" xfId="39" applyFont="1" applyFill="1" applyBorder="1" applyAlignment="1">
      <alignment horizontal="left"/>
    </xf>
    <xf numFmtId="0" fontId="95" fillId="48" borderId="1" xfId="39" applyFont="1" applyFill="1" applyBorder="1" applyAlignment="1">
      <alignment horizontal="left"/>
    </xf>
    <xf numFmtId="0" fontId="95" fillId="48" borderId="45" xfId="39" applyFont="1" applyFill="1" applyBorder="1" applyAlignment="1">
      <alignment horizontal="left"/>
    </xf>
    <xf numFmtId="15" fontId="90" fillId="48" borderId="44" xfId="37" applyNumberFormat="1" applyFill="1" applyBorder="1" applyAlignment="1">
      <alignment horizontal="left"/>
    </xf>
    <xf numFmtId="15" fontId="90" fillId="48" borderId="1" xfId="37" applyNumberFormat="1" applyFill="1" applyBorder="1" applyAlignment="1">
      <alignment horizontal="left"/>
    </xf>
    <xf numFmtId="0" fontId="90" fillId="48" borderId="44" xfId="37" applyFill="1" applyBorder="1" applyAlignment="1"/>
    <xf numFmtId="0" fontId="90" fillId="48" borderId="1" xfId="37" applyFill="1" applyBorder="1" applyAlignment="1"/>
    <xf numFmtId="0" fontId="90" fillId="48" borderId="244" xfId="37" applyFill="1" applyBorder="1" applyAlignment="1">
      <alignment horizontal="left"/>
    </xf>
    <xf numFmtId="0" fontId="90" fillId="48" borderId="246" xfId="37" applyFill="1" applyBorder="1" applyAlignment="1">
      <alignment horizontal="left"/>
    </xf>
    <xf numFmtId="15" fontId="94" fillId="48" borderId="175" xfId="36" applyNumberFormat="1" applyFont="1" applyFill="1" applyBorder="1" applyAlignment="1">
      <alignment horizontal="left"/>
    </xf>
    <xf numFmtId="15" fontId="94" fillId="48" borderId="242" xfId="36" applyNumberFormat="1" applyFont="1" applyFill="1" applyBorder="1" applyAlignment="1">
      <alignment horizontal="left"/>
    </xf>
    <xf numFmtId="15" fontId="94" fillId="48" borderId="243" xfId="36" applyNumberFormat="1" applyFont="1" applyFill="1" applyBorder="1" applyAlignment="1">
      <alignment horizontal="left"/>
    </xf>
    <xf numFmtId="0" fontId="95" fillId="48" borderId="44" xfId="36" applyFont="1" applyFill="1" applyBorder="1" applyAlignment="1">
      <alignment horizontal="left"/>
    </xf>
    <xf numFmtId="0" fontId="95" fillId="48" borderId="1" xfId="36" applyFont="1" applyFill="1" applyBorder="1" applyAlignment="1">
      <alignment horizontal="left"/>
    </xf>
    <xf numFmtId="0" fontId="95" fillId="48" borderId="45" xfId="36" applyFont="1" applyFill="1" applyBorder="1" applyAlignment="1">
      <alignment horizontal="left"/>
    </xf>
    <xf numFmtId="0" fontId="95" fillId="48" borderId="244" xfId="36" applyFont="1" applyFill="1" applyBorder="1" applyAlignment="1">
      <alignment horizontal="left"/>
    </xf>
    <xf numFmtId="15" fontId="90" fillId="48" borderId="244" xfId="37" applyNumberFormat="1" applyFill="1" applyBorder="1" applyAlignment="1">
      <alignment horizontal="left"/>
    </xf>
    <xf numFmtId="0" fontId="90" fillId="48" borderId="244" xfId="37" applyFill="1" applyBorder="1" applyAlignment="1"/>
  </cellXfs>
  <cellStyles count="43">
    <cellStyle name="blp_title_header_row_left" xfId="1" xr:uid="{00000000-0005-0000-0000-000000000000}"/>
    <cellStyle name="Comma" xfId="34" builtinId="3"/>
    <cellStyle name="Currency" xfId="35" builtinId="4"/>
    <cellStyle name="Currency 2" xfId="41" xr:uid="{1894529A-580A-6A4A-BF54-D634363AB9A7}"/>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footer_italic" xfId="8" xr:uid="{00000000-0005-0000-0000-000007000000}"/>
    <cellStyle name="fa_row_header_bold 2" xfId="9" xr:uid="{00000000-0005-0000-0000-000008000000}"/>
    <cellStyle name="fa_row_header_standard 2" xfId="10" xr:uid="{00000000-0005-0000-0000-000009000000}"/>
    <cellStyle name="Hyperlink" xfId="42" builtinId="8"/>
    <cellStyle name="Hyperlink 2" xfId="37" xr:uid="{EA856A6A-BCCF-1C48-9418-AE269929CFF9}"/>
    <cellStyle name="Moneda 2" xfId="11" xr:uid="{00000000-0005-0000-0000-00000B000000}"/>
    <cellStyle name="Moneda 2 2" xfId="12" xr:uid="{00000000-0005-0000-0000-00000C000000}"/>
    <cellStyle name="Normal" xfId="0" builtinId="0"/>
    <cellStyle name="Normal 2" xfId="13" xr:uid="{00000000-0005-0000-0000-00000E000000}"/>
    <cellStyle name="Normal 2 2" xfId="14" xr:uid="{00000000-0005-0000-0000-00000F000000}"/>
    <cellStyle name="Normal 2 3" xfId="19" xr:uid="{00000000-0005-0000-0000-000010000000}"/>
    <cellStyle name="Normal 2 3 2" xfId="26" xr:uid="{6A4611F8-31D7-4EA6-B27B-70EB4E34E8FD}"/>
    <cellStyle name="Normal 2 4" xfId="20" xr:uid="{DBC68614-B0BC-4348-8A0D-C96562B201CF}"/>
    <cellStyle name="Normal 2 4 2" xfId="33" xr:uid="{26E65F87-97E6-274F-9103-51D00EE6A3C1}"/>
    <cellStyle name="Normal 3" xfId="23" xr:uid="{371B90F0-6B8E-40BF-8358-D28B574437C9}"/>
    <cellStyle name="Normal 3 2" xfId="25" xr:uid="{41BD78A2-6B23-4ADD-839D-9D86F14E11A2}"/>
    <cellStyle name="Normal 3 3" xfId="28" xr:uid="{4CBFF9A4-05AD-4A91-8AF0-FA0B5B39E2EC}"/>
    <cellStyle name="Normal 4" xfId="39" xr:uid="{AF32A7EB-AA6A-7749-9C41-8EB30DAD2645}"/>
    <cellStyle name="Normal 5" xfId="29" xr:uid="{E3BE1569-E214-4855-8BF5-B868B88B5743}"/>
    <cellStyle name="Normal 6" xfId="36" xr:uid="{703E8348-21B8-EE41-A29F-8DE8626B9818}"/>
    <cellStyle name="Normal 9" xfId="32" xr:uid="{CACD4D4E-2C7F-4816-9692-26D0FDD559DC}"/>
    <cellStyle name="Per cent" xfId="15" builtinId="5"/>
    <cellStyle name="Per cent 2" xfId="40" xr:uid="{C5F54A29-B40D-0348-BD3E-2EDC2CB49196}"/>
    <cellStyle name="Per cent 3" xfId="38" xr:uid="{02177AC4-3564-F647-AE78-B012DA8F7B51}"/>
    <cellStyle name="Porcentaje 2" xfId="16" xr:uid="{00000000-0005-0000-0000-000012000000}"/>
    <cellStyle name="Porcentaje 2 2" xfId="17" xr:uid="{00000000-0005-0000-0000-000013000000}"/>
    <cellStyle name="Porcentaje 2 2 2" xfId="24" xr:uid="{924DB8B0-6B9C-4A78-9CB6-7EC8F42C7C6B}"/>
    <cellStyle name="Porcentaje 2 3" xfId="22" xr:uid="{1FF2580F-E450-433A-8AB5-6E1CABCA8FC9}"/>
    <cellStyle name="Porcentaje 2 4" xfId="27" xr:uid="{3D812F63-E4F6-4F6D-A613-EF79E76ACE35}"/>
    <cellStyle name="Porcentaje 3" xfId="18" xr:uid="{00000000-0005-0000-0000-000014000000}"/>
    <cellStyle name="Porcentaje 3 2" xfId="21" xr:uid="{59E732CE-B697-4AF7-8CEE-0C42EB60E78B}"/>
    <cellStyle name="Porcentaje 4 2" xfId="31" xr:uid="{C6A0E8B8-33DC-4334-89A4-99FF669E5EA8}"/>
    <cellStyle name="Porcentaje 5" xfId="30" xr:uid="{F07CEC0B-CE59-4BBC-A0C7-9B77A84167BF}"/>
  </cellStyles>
  <dxfs count="58">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patternType="solid">
          <bgColor rgb="FFFF0000"/>
        </patternFill>
      </fill>
    </dxf>
    <dxf>
      <fill>
        <patternFill patternType="solid">
          <bgColor rgb="FF00B050"/>
        </patternFill>
      </fill>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theme="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2"/>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scheme val="minor"/>
      </font>
      <numFmt numFmtId="166"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numFmt numFmtId="166"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numFmt numFmtId="166"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scheme val="minor"/>
      </font>
      <numFmt numFmtId="164" formatCode="_(&quot;$&quot;* #,##0.00_);_(&quot;$&quot;* \(#,##0.00\);_(&quot;$&quot;*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scheme val="minor"/>
      </font>
      <numFmt numFmtId="166"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scheme val="minor"/>
      </font>
      <numFmt numFmtId="166"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scheme val="minor"/>
      </font>
      <alignment horizontal="left" vertical="bottom" textRotation="0" wrapText="0"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strike val="0"/>
        <condense val="0"/>
        <extend val="0"/>
        <outline val="0"/>
        <shadow val="0"/>
        <u val="none"/>
        <vertAlign val="baseline"/>
        <sz val="9"/>
        <color auto="1"/>
        <name val="Geneva"/>
        <family val="2"/>
        <charset val="1"/>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s>
  <tableStyles count="1" defaultTableStyle="TableStyleMedium9" defaultPivotStyle="PivotStyleLight16">
    <tableStyle name="Invisible" pivot="0" table="0" count="0" xr9:uid="{7B8256E5-5961-45BC-8E74-75040304E975}"/>
  </tableStyles>
  <colors>
    <mruColors>
      <color rgb="FFC5D9F1"/>
      <color rgb="FF1B7087"/>
      <color rgb="FF1F497D"/>
      <color rgb="FF3174C5"/>
      <color rgb="FF63CB97"/>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eetMetadata" Target="metadata.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SupportingPropertyBag" Target="richData/rdsupportingpropertybag.xml"/><Relationship Id="rId28"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microsoft.com/office/2017/06/relationships/rdSupportingPropertyBagStructure" Target="richData/rdsupportingpropertybagstructure.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T"/>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5-4C49-84C7-5728DDC21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5-4C49-84C7-5728DDC21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Segments!$C$15:$C$16</c:f>
              <c:strCache>
                <c:ptCount val="2"/>
                <c:pt idx="0">
                  <c:v>Professional services and other</c:v>
                </c:pt>
                <c:pt idx="1">
                  <c:v>Subscription and Support</c:v>
                </c:pt>
              </c:strCache>
            </c:strRef>
          </c:cat>
          <c:val>
            <c:numRef>
              <c:f>Segments!$D$15:$D$16</c:f>
              <c:numCache>
                <c:formatCode>"$"#\ ##0</c:formatCode>
                <c:ptCount val="2"/>
                <c:pt idx="0">
                  <c:v>1835</c:v>
                </c:pt>
                <c:pt idx="1">
                  <c:v>24657</c:v>
                </c:pt>
              </c:numCache>
            </c:numRef>
          </c:val>
          <c:extLst>
            <c:ext xmlns:c16="http://schemas.microsoft.com/office/drawing/2014/chart" uri="{C3380CC4-5D6E-409C-BE32-E72D297353CC}">
              <c16:uniqueId val="{00000001-CF53-4579-B1F0-E5091D7574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T"/>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F-49D6-9FC9-334380BCC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F-49D6-9FC9-334380BCCA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C0-4978-822B-C231DBE6DF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Segments!$C$5:$C$7</c:f>
              <c:strCache>
                <c:ptCount val="3"/>
                <c:pt idx="0">
                  <c:v>Americas</c:v>
                </c:pt>
                <c:pt idx="1">
                  <c:v>Europe</c:v>
                </c:pt>
                <c:pt idx="2">
                  <c:v>Asia Pacific</c:v>
                </c:pt>
              </c:strCache>
            </c:strRef>
          </c:cat>
          <c:val>
            <c:numRef>
              <c:f>Segments!$D$5:$D$7</c:f>
              <c:numCache>
                <c:formatCode>"$"#\ ##0</c:formatCode>
                <c:ptCount val="3"/>
                <c:pt idx="0">
                  <c:v>17983</c:v>
                </c:pt>
                <c:pt idx="1">
                  <c:v>6016</c:v>
                </c:pt>
                <c:pt idx="2">
                  <c:v>2493</c:v>
                </c:pt>
              </c:numCache>
            </c:numRef>
          </c:val>
          <c:extLst>
            <c:ext xmlns:c16="http://schemas.microsoft.com/office/drawing/2014/chart" uri="{C3380CC4-5D6E-409C-BE32-E72D297353CC}">
              <c16:uniqueId val="{00000001-C3B0-4A61-A0D4-9A0AF729159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Peers!$C$8</c:f>
              <c:strCache>
                <c:ptCount val="1"/>
                <c:pt idx="0">
                  <c:v>SALESFORCE, INC. (XNYS:CRM)</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Peers!$C$21</c:f>
              <c:numCache>
                <c:formatCode>0.00</c:formatCode>
                <c:ptCount val="1"/>
                <c:pt idx="0">
                  <c:v>-0.23820704375667023</c:v>
                </c:pt>
              </c:numCache>
            </c:numRef>
          </c:xVal>
          <c:yVal>
            <c:numRef>
              <c:f>Peers!$C$37</c:f>
              <c:numCache>
                <c:formatCode>0.0</c:formatCode>
                <c:ptCount val="1"/>
                <c:pt idx="0">
                  <c:v>0</c:v>
                </c:pt>
              </c:numCache>
            </c:numRef>
          </c:yVal>
          <c:smooth val="0"/>
          <c:extLst>
            <c:ext xmlns:c16="http://schemas.microsoft.com/office/drawing/2014/chart" uri="{C3380CC4-5D6E-409C-BE32-E72D297353CC}">
              <c16:uniqueId val="{00000001-B547-4DF9-892F-3129917FB3B3}"/>
            </c:ext>
          </c:extLst>
        </c:ser>
        <c:ser>
          <c:idx val="1"/>
          <c:order val="1"/>
          <c:tx>
            <c:strRef>
              <c:f>Peers!$D$8</c:f>
              <c:strCache>
                <c:ptCount val="1"/>
                <c:pt idx="0">
                  <c:v>MICROSOFT CORPORATION (XNAS:MSFT)</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Peers!$D$21</c:f>
              <c:numCache>
                <c:formatCode>0.00</c:formatCode>
                <c:ptCount val="1"/>
                <c:pt idx="0">
                  <c:v>1.8779233213820079</c:v>
                </c:pt>
              </c:numCache>
            </c:numRef>
          </c:xVal>
          <c:yVal>
            <c:numRef>
              <c:f>Peers!$D$37</c:f>
              <c:numCache>
                <c:formatCode>0.0</c:formatCode>
                <c:ptCount val="1"/>
                <c:pt idx="0">
                  <c:v>25.814526971968711</c:v>
                </c:pt>
              </c:numCache>
            </c:numRef>
          </c:yVal>
          <c:smooth val="0"/>
          <c:extLst>
            <c:ext xmlns:c16="http://schemas.microsoft.com/office/drawing/2014/chart" uri="{C3380CC4-5D6E-409C-BE32-E72D297353CC}">
              <c16:uniqueId val="{00000002-B547-4DF9-892F-3129917FB3B3}"/>
            </c:ext>
          </c:extLst>
        </c:ser>
        <c:ser>
          <c:idx val="2"/>
          <c:order val="2"/>
          <c:tx>
            <c:strRef>
              <c:f>Peers!$E$8</c:f>
              <c:strCache>
                <c:ptCount val="1"/>
                <c:pt idx="0">
                  <c:v>SAP SE (XNYS:SAP)</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Peers!$E$21</c:f>
              <c:numCache>
                <c:formatCode>0.00</c:formatCode>
                <c:ptCount val="1"/>
                <c:pt idx="0">
                  <c:v>3.1933550488599347</c:v>
                </c:pt>
              </c:numCache>
            </c:numRef>
          </c:xVal>
          <c:yVal>
            <c:numRef>
              <c:f>Peers!$E$37</c:f>
              <c:numCache>
                <c:formatCode>0.0</c:formatCode>
                <c:ptCount val="1"/>
                <c:pt idx="0">
                  <c:v>22.737328990228011</c:v>
                </c:pt>
              </c:numCache>
            </c:numRef>
          </c:yVal>
          <c:smooth val="0"/>
          <c:extLst>
            <c:ext xmlns:c16="http://schemas.microsoft.com/office/drawing/2014/chart" uri="{C3380CC4-5D6E-409C-BE32-E72D297353CC}">
              <c16:uniqueId val="{00000003-B547-4DF9-892F-3129917FB3B3}"/>
            </c:ext>
          </c:extLst>
        </c:ser>
        <c:ser>
          <c:idx val="3"/>
          <c:order val="3"/>
          <c:tx>
            <c:strRef>
              <c:f>Peers!$F$8</c:f>
              <c:strCache>
                <c:ptCount val="1"/>
                <c:pt idx="0">
                  <c:v>ORACLE CORPORATION (XNYS:ORCL)</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Peers!$F$21</c:f>
              <c:numCache>
                <c:formatCode>0.00</c:formatCode>
                <c:ptCount val="1"/>
                <c:pt idx="0">
                  <c:v>5.9729441272213029</c:v>
                </c:pt>
              </c:numCache>
            </c:numRef>
          </c:xVal>
          <c:yVal>
            <c:numRef>
              <c:f>Peers!$F$37</c:f>
              <c:numCache>
                <c:formatCode>0.0</c:formatCode>
                <c:ptCount val="1"/>
                <c:pt idx="0">
                  <c:v>21.715513101019265</c:v>
                </c:pt>
              </c:numCache>
            </c:numRef>
          </c:yVal>
          <c:smooth val="0"/>
          <c:extLst>
            <c:ext xmlns:c16="http://schemas.microsoft.com/office/drawing/2014/chart" uri="{C3380CC4-5D6E-409C-BE32-E72D297353CC}">
              <c16:uniqueId val="{00000004-B547-4DF9-892F-3129917FB3B3}"/>
            </c:ext>
          </c:extLst>
        </c:ser>
        <c:ser>
          <c:idx val="4"/>
          <c:order val="4"/>
          <c:tx>
            <c:strRef>
              <c:f>Peers!$G$8</c:f>
              <c:strCache>
                <c:ptCount val="1"/>
                <c:pt idx="0">
                  <c:v>ADOBE INC. (BVMF:ADBE34)</c:v>
                </c:pt>
              </c:strCache>
            </c:strRef>
          </c:tx>
          <c:spPr>
            <a:ln w="25400" cap="rnd">
              <a:noFill/>
              <a:round/>
            </a:ln>
            <a:effectLst/>
          </c:spPr>
          <c:marker>
            <c:symbol val="circle"/>
            <c:size val="5"/>
            <c:spPr>
              <a:solidFill>
                <a:schemeClr val="accent5"/>
              </a:solidFill>
              <a:ln w="9525">
                <a:solidFill>
                  <a:schemeClr val="accent5"/>
                </a:solidFill>
              </a:ln>
              <a:effectLst/>
            </c:spPr>
          </c:marker>
          <c:xVal>
            <c:numRef>
              <c:f>Peers!$G$21</c:f>
              <c:numCache>
                <c:formatCode>0.00</c:formatCode>
                <c:ptCount val="1"/>
                <c:pt idx="0">
                  <c:v>-0.33562743748566187</c:v>
                </c:pt>
              </c:numCache>
            </c:numRef>
          </c:xVal>
          <c:yVal>
            <c:numRef>
              <c:f>Peers!$G$37</c:f>
              <c:numCache>
                <c:formatCode>0.0</c:formatCode>
                <c:ptCount val="1"/>
                <c:pt idx="0">
                  <c:v>53.346409727001607</c:v>
                </c:pt>
              </c:numCache>
            </c:numRef>
          </c:yVal>
          <c:smooth val="0"/>
          <c:extLst>
            <c:ext xmlns:c16="http://schemas.microsoft.com/office/drawing/2014/chart" uri="{C3380CC4-5D6E-409C-BE32-E72D297353CC}">
              <c16:uniqueId val="{00000005-B547-4DF9-892F-3129917FB3B3}"/>
            </c:ext>
          </c:extLst>
        </c:ser>
        <c:ser>
          <c:idx val="5"/>
          <c:order val="5"/>
          <c:tx>
            <c:strRef>
              <c:f>Peers!$H$8</c:f>
              <c:strCache>
                <c:ptCount val="1"/>
                <c:pt idx="0">
                  <c:v>ZENDESK, INC. (BVMF:Z2EN34)</c:v>
                </c:pt>
              </c:strCache>
            </c:strRef>
          </c:tx>
          <c:spPr>
            <a:ln w="25400" cap="rnd">
              <a:noFill/>
              <a:round/>
            </a:ln>
            <a:effectLst/>
          </c:spPr>
          <c:marker>
            <c:symbol val="circle"/>
            <c:size val="5"/>
            <c:spPr>
              <a:solidFill>
                <a:schemeClr val="accent6"/>
              </a:solidFill>
              <a:ln w="9525">
                <a:solidFill>
                  <a:schemeClr val="accent6"/>
                </a:solidFill>
              </a:ln>
              <a:effectLst/>
            </c:spPr>
          </c:marker>
          <c:xVal>
            <c:numRef>
              <c:f>Peers!$H$21</c:f>
              <c:numCache>
                <c:formatCode>0.00</c:formatCode>
                <c:ptCount val="1"/>
                <c:pt idx="0">
                  <c:v>-13.450450450450452</c:v>
                </c:pt>
              </c:numCache>
            </c:numRef>
          </c:xVal>
          <c:yVal>
            <c:numRef>
              <c:f>Peers!$H$37</c:f>
              <c:numCache>
                <c:formatCode>0.0</c:formatCode>
                <c:ptCount val="1"/>
                <c:pt idx="0">
                  <c:v>-86725.162162162145</c:v>
                </c:pt>
              </c:numCache>
            </c:numRef>
          </c:yVal>
          <c:smooth val="0"/>
          <c:extLst>
            <c:ext xmlns:c16="http://schemas.microsoft.com/office/drawing/2014/chart" uri="{C3380CC4-5D6E-409C-BE32-E72D297353CC}">
              <c16:uniqueId val="{00000006-B547-4DF9-892F-3129917FB3B3}"/>
            </c:ext>
          </c:extLst>
        </c:ser>
        <c:dLbls>
          <c:showLegendKey val="0"/>
          <c:showVal val="0"/>
          <c:showCatName val="0"/>
          <c:showSerName val="0"/>
          <c:showPercent val="0"/>
          <c:showBubbleSize val="0"/>
        </c:dLbls>
        <c:axId val="1571673951"/>
        <c:axId val="1289766175"/>
      </c:scatterChart>
      <c:valAx>
        <c:axId val="157167395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0" i="0" baseline="0">
                    <a:effectLst/>
                  </a:rPr>
                  <a:t> </a:t>
                </a:r>
                <a:r>
                  <a:rPr lang="en-US" sz="1200" b="0" i="0" baseline="0">
                    <a:effectLst/>
                  </a:rPr>
                  <a:t>NET DEBT /EBITDA</a:t>
                </a:r>
                <a:endParaRPr lang="en-US" sz="1200">
                  <a:effectLst/>
                </a:endParaRPr>
              </a:p>
            </c:rich>
          </c:tx>
          <c:layout>
            <c:manualLayout>
              <c:xMode val="edge"/>
              <c:yMode val="edge"/>
              <c:x val="0.27899032096554843"/>
              <c:y val="0.877050400374240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P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1289766175"/>
        <c:crosses val="autoZero"/>
        <c:crossBetween val="midCat"/>
      </c:valAx>
      <c:valAx>
        <c:axId val="1289766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baseline="0">
                    <a:effectLst/>
                  </a:rPr>
                  <a:t>EV/ EBITDA</a:t>
                </a:r>
                <a:endParaRPr lang="en-US" sz="1200">
                  <a:effectLst/>
                </a:endParaRPr>
              </a:p>
            </c:rich>
          </c:tx>
          <c:layout>
            <c:manualLayout>
              <c:xMode val="edge"/>
              <c:yMode val="edge"/>
              <c:x val="3.903843505466108E-4"/>
              <c:y val="0.328675172823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T"/>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1571673951"/>
        <c:crosses val="autoZero"/>
        <c:crossBetween val="midCat"/>
      </c:valAx>
      <c:spPr>
        <a:noFill/>
        <a:ln>
          <a:noFill/>
        </a:ln>
        <a:effectLst/>
      </c:spPr>
    </c:plotArea>
    <c:legend>
      <c:legendPos val="r"/>
      <c:layout>
        <c:manualLayout>
          <c:xMode val="edge"/>
          <c:yMode val="edge"/>
          <c:x val="0.79514918527433731"/>
          <c:y val="0.20740538534966782"/>
          <c:w val="0.20485076537264754"/>
          <c:h val="0.441009790888999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02946717757032"/>
          <c:y val="2.4865326922638195E-2"/>
          <c:w val="0.49083244745561727"/>
          <c:h val="0.82049946672598273"/>
        </c:manualLayout>
      </c:layout>
      <c:scatterChart>
        <c:scatterStyle val="lineMarker"/>
        <c:varyColors val="0"/>
        <c:ser>
          <c:idx val="0"/>
          <c:order val="0"/>
          <c:tx>
            <c:strRef>
              <c:f>Peers!$C$8</c:f>
              <c:strCache>
                <c:ptCount val="1"/>
                <c:pt idx="0">
                  <c:v>SALESFORCE, INC. (XNYS:CRM)</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Peers!$C$44</c:f>
              <c:numCache>
                <c:formatCode>0.00%</c:formatCode>
                <c:ptCount val="1"/>
                <c:pt idx="0">
                  <c:v>-0.22040000000000001</c:v>
                </c:pt>
              </c:numCache>
            </c:numRef>
          </c:xVal>
          <c:yVal>
            <c:numRef>
              <c:f>Peers!$C$49</c:f>
              <c:numCache>
                <c:formatCode>0%</c:formatCode>
                <c:ptCount val="1"/>
                <c:pt idx="0">
                  <c:v>0.64188409143384895</c:v>
                </c:pt>
              </c:numCache>
            </c:numRef>
          </c:yVal>
          <c:smooth val="0"/>
          <c:extLst>
            <c:ext xmlns:c16="http://schemas.microsoft.com/office/drawing/2014/chart" uri="{C3380CC4-5D6E-409C-BE32-E72D297353CC}">
              <c16:uniqueId val="{00000000-A0AB-4E28-9E73-D8DF3D5B0514}"/>
            </c:ext>
          </c:extLst>
        </c:ser>
        <c:ser>
          <c:idx val="1"/>
          <c:order val="1"/>
          <c:tx>
            <c:strRef>
              <c:f>Peers!$D$8</c:f>
              <c:strCache>
                <c:ptCount val="1"/>
                <c:pt idx="0">
                  <c:v>MICROSOFT CORPORATION (XNAS:MSFT)</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Peers!$D$44</c:f>
              <c:numCache>
                <c:formatCode>0.00%</c:formatCode>
                <c:ptCount val="1"/>
                <c:pt idx="0">
                  <c:v>0.75529999999999997</c:v>
                </c:pt>
              </c:numCache>
            </c:numRef>
          </c:xVal>
          <c:yVal>
            <c:numRef>
              <c:f>Peers!$D$49</c:f>
              <c:numCache>
                <c:formatCode>0.00%</c:formatCode>
                <c:ptCount val="1"/>
              </c:numCache>
            </c:numRef>
          </c:yVal>
          <c:smooth val="0"/>
          <c:extLst>
            <c:ext xmlns:c16="http://schemas.microsoft.com/office/drawing/2014/chart" uri="{C3380CC4-5D6E-409C-BE32-E72D297353CC}">
              <c16:uniqueId val="{00000001-A0AB-4E28-9E73-D8DF3D5B0514}"/>
            </c:ext>
          </c:extLst>
        </c:ser>
        <c:ser>
          <c:idx val="2"/>
          <c:order val="2"/>
          <c:tx>
            <c:strRef>
              <c:f>Peers!$E$8</c:f>
              <c:strCache>
                <c:ptCount val="1"/>
                <c:pt idx="0">
                  <c:v>SAP SE (XNYS:SAP)</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Peers!$E$44</c:f>
              <c:numCache>
                <c:formatCode>0.00%</c:formatCode>
                <c:ptCount val="1"/>
                <c:pt idx="0">
                  <c:v>-0.13789999999999999</c:v>
                </c:pt>
              </c:numCache>
            </c:numRef>
          </c:xVal>
          <c:yVal>
            <c:numRef>
              <c:f>Peers!$E$49</c:f>
              <c:numCache>
                <c:formatCode>0.00%</c:formatCode>
                <c:ptCount val="1"/>
              </c:numCache>
            </c:numRef>
          </c:yVal>
          <c:smooth val="0"/>
          <c:extLst>
            <c:ext xmlns:c16="http://schemas.microsoft.com/office/drawing/2014/chart" uri="{C3380CC4-5D6E-409C-BE32-E72D297353CC}">
              <c16:uniqueId val="{00000002-A0AB-4E28-9E73-D8DF3D5B0514}"/>
            </c:ext>
          </c:extLst>
        </c:ser>
        <c:ser>
          <c:idx val="3"/>
          <c:order val="3"/>
          <c:tx>
            <c:strRef>
              <c:f>Peers!$F$8</c:f>
              <c:strCache>
                <c:ptCount val="1"/>
                <c:pt idx="0">
                  <c:v>ORACLE CORPORATION (XNYS:ORCL)</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Peers!$F$44</c:f>
              <c:numCache>
                <c:formatCode>0.00%</c:formatCode>
                <c:ptCount val="1"/>
                <c:pt idx="0">
                  <c:v>0.86939999999999995</c:v>
                </c:pt>
              </c:numCache>
            </c:numRef>
          </c:xVal>
          <c:yVal>
            <c:numRef>
              <c:f>Peers!$F$49</c:f>
              <c:numCache>
                <c:formatCode>0.00%</c:formatCode>
                <c:ptCount val="1"/>
              </c:numCache>
            </c:numRef>
          </c:yVal>
          <c:smooth val="0"/>
          <c:extLst>
            <c:ext xmlns:c16="http://schemas.microsoft.com/office/drawing/2014/chart" uri="{C3380CC4-5D6E-409C-BE32-E72D297353CC}">
              <c16:uniqueId val="{00000003-A0AB-4E28-9E73-D8DF3D5B0514}"/>
            </c:ext>
          </c:extLst>
        </c:ser>
        <c:ser>
          <c:idx val="5"/>
          <c:order val="4"/>
          <c:tx>
            <c:strRef>
              <c:f>Peers!$G$8</c:f>
              <c:strCache>
                <c:ptCount val="1"/>
                <c:pt idx="0">
                  <c:v>ADOBE INC. (BVMF:ADBE34)</c:v>
                </c:pt>
              </c:strCache>
            </c:strRef>
          </c:tx>
          <c:spPr>
            <a:ln w="25400" cap="rnd">
              <a:noFill/>
              <a:round/>
            </a:ln>
            <a:effectLst/>
          </c:spPr>
          <c:marker>
            <c:symbol val="circle"/>
            <c:size val="5"/>
            <c:spPr>
              <a:solidFill>
                <a:schemeClr val="accent6"/>
              </a:solidFill>
              <a:ln w="9525">
                <a:solidFill>
                  <a:schemeClr val="accent6"/>
                </a:solidFill>
              </a:ln>
              <a:effectLst/>
            </c:spPr>
          </c:marker>
          <c:xVal>
            <c:numRef>
              <c:f>Peers!$G$44</c:f>
              <c:numCache>
                <c:formatCode>0.00%</c:formatCode>
                <c:ptCount val="1"/>
                <c:pt idx="0">
                  <c:v>4.8800000000000003E-2</c:v>
                </c:pt>
              </c:numCache>
            </c:numRef>
          </c:xVal>
          <c:yVal>
            <c:numRef>
              <c:f>Peers!$G$49</c:f>
              <c:numCache>
                <c:formatCode>0.00%</c:formatCode>
                <c:ptCount val="1"/>
              </c:numCache>
            </c:numRef>
          </c:yVal>
          <c:smooth val="0"/>
          <c:extLst>
            <c:ext xmlns:c16="http://schemas.microsoft.com/office/drawing/2014/chart" uri="{C3380CC4-5D6E-409C-BE32-E72D297353CC}">
              <c16:uniqueId val="{00000005-A0AB-4E28-9E73-D8DF3D5B0514}"/>
            </c:ext>
          </c:extLst>
        </c:ser>
        <c:ser>
          <c:idx val="6"/>
          <c:order val="5"/>
          <c:tx>
            <c:strRef>
              <c:f>Peers!$H$8</c:f>
              <c:strCache>
                <c:ptCount val="1"/>
                <c:pt idx="0">
                  <c:v>ZENDESK, INC. (BVMF:Z2EN34)</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Peers!$H$44</c:f>
              <c:numCache>
                <c:formatCode>0.00%</c:formatCode>
                <c:ptCount val="1"/>
              </c:numCache>
            </c:numRef>
          </c:xVal>
          <c:yVal>
            <c:numRef>
              <c:f>Peers!$H$49</c:f>
              <c:numCache>
                <c:formatCode>0.00%</c:formatCode>
                <c:ptCount val="1"/>
              </c:numCache>
            </c:numRef>
          </c:yVal>
          <c:smooth val="0"/>
          <c:extLst>
            <c:ext xmlns:c16="http://schemas.microsoft.com/office/drawing/2014/chart" uri="{C3380CC4-5D6E-409C-BE32-E72D297353CC}">
              <c16:uniqueId val="{00000006-A0AB-4E28-9E73-D8DF3D5B0514}"/>
            </c:ext>
          </c:extLst>
        </c:ser>
        <c:dLbls>
          <c:showLegendKey val="0"/>
          <c:showVal val="0"/>
          <c:showCatName val="0"/>
          <c:showSerName val="0"/>
          <c:showPercent val="0"/>
          <c:showBubbleSize val="0"/>
        </c:dLbls>
        <c:axId val="581212960"/>
        <c:axId val="581217120"/>
      </c:scatterChart>
      <c:valAx>
        <c:axId val="58121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3 YEAR STOCK PERFORMANCE</a:t>
                </a:r>
                <a:endParaRPr lang="en-US" sz="1200"/>
              </a:p>
            </c:rich>
          </c:tx>
          <c:layout>
            <c:manualLayout>
              <c:xMode val="edge"/>
              <c:yMode val="edge"/>
              <c:x val="0.24749537255061102"/>
              <c:y val="0.9208239807152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581217120"/>
        <c:crosses val="autoZero"/>
        <c:crossBetween val="midCat"/>
      </c:valAx>
      <c:valAx>
        <c:axId val="58121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OPERATING CASH FLOW 3Y PERFORMANCE </a:t>
                </a:r>
                <a:endParaRPr lang="en-US" sz="1200"/>
              </a:p>
            </c:rich>
          </c:tx>
          <c:layout>
            <c:manualLayout>
              <c:xMode val="edge"/>
              <c:yMode val="edge"/>
              <c:x val="3.9522524081838629E-2"/>
              <c:y val="0.18582952776890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T"/>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581212960"/>
        <c:crosses val="autoZero"/>
        <c:crossBetween val="midCat"/>
      </c:valAx>
      <c:spPr>
        <a:noFill/>
        <a:ln>
          <a:solidFill>
            <a:schemeClr val="bg1"/>
          </a:solidFill>
        </a:ln>
        <a:effectLst/>
      </c:spPr>
    </c:plotArea>
    <c:legend>
      <c:legendPos val="r"/>
      <c:layout>
        <c:manualLayout>
          <c:xMode val="edge"/>
          <c:yMode val="edge"/>
          <c:x val="0.66338608609289218"/>
          <c:y val="0.17241199883672528"/>
          <c:w val="0.17018842544974519"/>
          <c:h val="0.43200295105462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GHG Scope 1 Emissions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T"/>
        </a:p>
      </c:txPr>
    </c:title>
    <c:autoTitleDeleted val="0"/>
    <c:plotArea>
      <c:layout/>
      <c:lineChart>
        <c:grouping val="standard"/>
        <c:varyColors val="0"/>
        <c:ser>
          <c:idx val="0"/>
          <c:order val="0"/>
          <c:tx>
            <c:strRef>
              <c:f>ESG!$N$55</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ESG!$M$56:$M$64</c:f>
              <c:numCache>
                <c:formatCode>General</c:formatCode>
                <c:ptCount val="9"/>
              </c:numCache>
            </c:numRef>
          </c:cat>
          <c:val>
            <c:numRef>
              <c:f>ESG!$N$56:$N$64</c:f>
              <c:numCache>
                <c:formatCode>0.00</c:formatCode>
                <c:ptCount val="9"/>
              </c:numCache>
            </c:numRef>
          </c:val>
          <c:smooth val="0"/>
          <c:extLst>
            <c:ext xmlns:c16="http://schemas.microsoft.com/office/drawing/2014/chart" uri="{C3380CC4-5D6E-409C-BE32-E72D297353CC}">
              <c16:uniqueId val="{00000000-D00D-4823-9007-DC439E2C23DA}"/>
            </c:ext>
          </c:extLst>
        </c:ser>
        <c:ser>
          <c:idx val="1"/>
          <c:order val="1"/>
          <c:tx>
            <c:strRef>
              <c:f>ESG!$O$55</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ESG!$M$56:$M$64</c:f>
              <c:numCache>
                <c:formatCode>General</c:formatCode>
                <c:ptCount val="9"/>
              </c:numCache>
            </c:numRef>
          </c:cat>
          <c:val>
            <c:numRef>
              <c:f>ESG!$O$56:$O$64</c:f>
              <c:numCache>
                <c:formatCode>0.00</c:formatCode>
                <c:ptCount val="9"/>
              </c:numCache>
            </c:numRef>
          </c:val>
          <c:smooth val="0"/>
          <c:extLst>
            <c:ext xmlns:c16="http://schemas.microsoft.com/office/drawing/2014/chart" uri="{C3380CC4-5D6E-409C-BE32-E72D297353CC}">
              <c16:uniqueId val="{00000001-D00D-4823-9007-DC439E2C23DA}"/>
            </c:ext>
          </c:extLst>
        </c:ser>
        <c:ser>
          <c:idx val="3"/>
          <c:order val="3"/>
          <c:tx>
            <c:strRef>
              <c:f>ESG!$Q$55</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ESG!$M$56:$M$64</c:f>
              <c:numCache>
                <c:formatCode>General</c:formatCode>
                <c:ptCount val="9"/>
              </c:numCache>
            </c:numRef>
          </c:cat>
          <c:val>
            <c:numRef>
              <c:f>ESG!$Q$56:$Q$64</c:f>
              <c:numCache>
                <c:formatCode>0.00</c:formatCode>
                <c:ptCount val="9"/>
              </c:numCache>
            </c:numRef>
          </c:val>
          <c:smooth val="0"/>
          <c:extLst>
            <c:ext xmlns:c16="http://schemas.microsoft.com/office/drawing/2014/chart" uri="{C3380CC4-5D6E-409C-BE32-E72D297353CC}">
              <c16:uniqueId val="{00000003-D00D-4823-9007-DC439E2C23DA}"/>
            </c:ext>
          </c:extLst>
        </c:ser>
        <c:ser>
          <c:idx val="4"/>
          <c:order val="4"/>
          <c:tx>
            <c:strRef>
              <c:f>ESG!$R$55</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ESG!$M$56:$M$64</c:f>
              <c:numCache>
                <c:formatCode>General</c:formatCode>
                <c:ptCount val="9"/>
              </c:numCache>
            </c:numRef>
          </c:cat>
          <c:val>
            <c:numRef>
              <c:f>ESG!$R$56:$R$64</c:f>
              <c:numCache>
                <c:formatCode>0.00</c:formatCode>
                <c:ptCount val="9"/>
              </c:numCache>
            </c:numRef>
          </c:val>
          <c:smooth val="0"/>
          <c:extLst>
            <c:ext xmlns:c16="http://schemas.microsoft.com/office/drawing/2014/chart" uri="{C3380CC4-5D6E-409C-BE32-E72D297353CC}">
              <c16:uniqueId val="{00000004-D00D-4823-9007-DC439E2C23DA}"/>
            </c:ext>
          </c:extLst>
        </c:ser>
        <c:ser>
          <c:idx val="5"/>
          <c:order val="5"/>
          <c:tx>
            <c:strRef>
              <c:f>ESG!$S$55</c:f>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ESG!$M$56:$M$64</c:f>
              <c:numCache>
                <c:formatCode>General</c:formatCode>
                <c:ptCount val="9"/>
              </c:numCache>
            </c:numRef>
          </c:cat>
          <c:val>
            <c:numRef>
              <c:f>ESG!$S$56:$S$64</c:f>
              <c:numCache>
                <c:formatCode>0.00</c:formatCode>
                <c:ptCount val="9"/>
              </c:numCache>
            </c:numRef>
          </c:val>
          <c:smooth val="0"/>
          <c:extLst>
            <c:ext xmlns:c16="http://schemas.microsoft.com/office/drawing/2014/chart" uri="{C3380CC4-5D6E-409C-BE32-E72D297353CC}">
              <c16:uniqueId val="{00000005-D00D-4823-9007-DC439E2C23DA}"/>
            </c:ext>
          </c:extLst>
        </c:ser>
        <c:dLbls>
          <c:showLegendKey val="0"/>
          <c:showVal val="0"/>
          <c:showCatName val="0"/>
          <c:showSerName val="0"/>
          <c:showPercent val="0"/>
          <c:showBubbleSize val="0"/>
        </c:dLbls>
        <c:marker val="1"/>
        <c:smooth val="0"/>
        <c:axId val="73385855"/>
        <c:axId val="73386335"/>
        <c:extLst>
          <c:ext xmlns:c15="http://schemas.microsoft.com/office/drawing/2012/chart" uri="{02D57815-91ED-43cb-92C2-25804820EDAC}">
            <c15:filteredLineSeries>
              <c15:ser>
                <c:idx val="2"/>
                <c:order val="2"/>
                <c:tx>
                  <c:strRef>
                    <c:extLst>
                      <c:ext uri="{02D57815-91ED-43cb-92C2-25804820EDAC}">
                        <c15:formulaRef>
                          <c15:sqref>ESG!$P$55</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c:ext uri="{02D57815-91ED-43cb-92C2-25804820EDAC}">
                        <c15:formulaRef>
                          <c15:sqref>ESG!$M$56:$M$64</c15:sqref>
                        </c15:formulaRef>
                      </c:ext>
                    </c:extLst>
                    <c:numCache>
                      <c:formatCode>General</c:formatCode>
                      <c:ptCount val="9"/>
                    </c:numCache>
                  </c:numRef>
                </c:cat>
                <c:val>
                  <c:numRef>
                    <c:extLst>
                      <c:ext uri="{02D57815-91ED-43cb-92C2-25804820EDAC}">
                        <c15:formulaRef>
                          <c15:sqref>ESG!$P$56:$P$64</c15:sqref>
                        </c15:formulaRef>
                      </c:ext>
                    </c:extLst>
                    <c:numCache>
                      <c:formatCode>0.00</c:formatCode>
                      <c:ptCount val="9"/>
                    </c:numCache>
                  </c:numRef>
                </c:val>
                <c:smooth val="0"/>
                <c:extLst>
                  <c:ext xmlns:c16="http://schemas.microsoft.com/office/drawing/2014/chart" uri="{C3380CC4-5D6E-409C-BE32-E72D297353CC}">
                    <c16:uniqueId val="{00000002-D00D-4823-9007-DC439E2C23DA}"/>
                  </c:ext>
                </c:extLst>
              </c15:ser>
            </c15:filteredLineSeries>
          </c:ext>
        </c:extLst>
      </c:lineChart>
      <c:catAx>
        <c:axId val="7338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73386335"/>
        <c:crosses val="autoZero"/>
        <c:auto val="1"/>
        <c:lblAlgn val="ctr"/>
        <c:lblOffset val="100"/>
        <c:noMultiLvlLbl val="0"/>
      </c:catAx>
      <c:valAx>
        <c:axId val="73386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73385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Water Consumption (Cubic Meters)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T"/>
        </a:p>
      </c:txPr>
    </c:title>
    <c:autoTitleDeleted val="0"/>
    <c:plotArea>
      <c:layout/>
      <c:lineChart>
        <c:grouping val="standard"/>
        <c:varyColors val="0"/>
        <c:ser>
          <c:idx val="0"/>
          <c:order val="0"/>
          <c:tx>
            <c:strRef>
              <c:f>ESG!$N$67</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ESG!$M$68:$M$76</c:f>
              <c:numCache>
                <c:formatCode>General</c:formatCode>
                <c:ptCount val="9"/>
              </c:numCache>
            </c:numRef>
          </c:cat>
          <c:val>
            <c:numRef>
              <c:f>ESG!$N$68:$N$76</c:f>
              <c:numCache>
                <c:formatCode>0.00</c:formatCode>
                <c:ptCount val="9"/>
              </c:numCache>
            </c:numRef>
          </c:val>
          <c:smooth val="0"/>
          <c:extLst>
            <c:ext xmlns:c16="http://schemas.microsoft.com/office/drawing/2014/chart" uri="{C3380CC4-5D6E-409C-BE32-E72D297353CC}">
              <c16:uniqueId val="{00000000-5789-4750-89D4-9EEBF96780C0}"/>
            </c:ext>
          </c:extLst>
        </c:ser>
        <c:ser>
          <c:idx val="3"/>
          <c:order val="3"/>
          <c:tx>
            <c:strRef>
              <c:f>ESG!$Q$67</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ESG!$M$68:$M$76</c:f>
              <c:numCache>
                <c:formatCode>General</c:formatCode>
                <c:ptCount val="9"/>
              </c:numCache>
            </c:numRef>
          </c:cat>
          <c:val>
            <c:numRef>
              <c:f>ESG!$Q$68:$Q$76</c:f>
              <c:numCache>
                <c:formatCode>0.00</c:formatCode>
                <c:ptCount val="9"/>
              </c:numCache>
            </c:numRef>
          </c:val>
          <c:smooth val="0"/>
          <c:extLst>
            <c:ext xmlns:c16="http://schemas.microsoft.com/office/drawing/2014/chart" uri="{C3380CC4-5D6E-409C-BE32-E72D297353CC}">
              <c16:uniqueId val="{00000003-5789-4750-89D4-9EEBF96780C0}"/>
            </c:ext>
          </c:extLst>
        </c:ser>
        <c:ser>
          <c:idx val="4"/>
          <c:order val="4"/>
          <c:tx>
            <c:strRef>
              <c:f>ESG!$R$67</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ESG!$M$68:$M$76</c:f>
              <c:numCache>
                <c:formatCode>General</c:formatCode>
                <c:ptCount val="9"/>
              </c:numCache>
            </c:numRef>
          </c:cat>
          <c:val>
            <c:numRef>
              <c:f>ESG!$R$68:$R$76</c:f>
              <c:numCache>
                <c:formatCode>0.00</c:formatCode>
                <c:ptCount val="9"/>
              </c:numCache>
            </c:numRef>
          </c:val>
          <c:smooth val="0"/>
          <c:extLst>
            <c:ext xmlns:c16="http://schemas.microsoft.com/office/drawing/2014/chart" uri="{C3380CC4-5D6E-409C-BE32-E72D297353CC}">
              <c16:uniqueId val="{00000004-5789-4750-89D4-9EEBF96780C0}"/>
            </c:ext>
          </c:extLst>
        </c:ser>
        <c:dLbls>
          <c:showLegendKey val="0"/>
          <c:showVal val="0"/>
          <c:showCatName val="0"/>
          <c:showSerName val="0"/>
          <c:showPercent val="0"/>
          <c:showBubbleSize val="0"/>
        </c:dLbls>
        <c:marker val="1"/>
        <c:smooth val="0"/>
        <c:axId val="1301543471"/>
        <c:axId val="45963695"/>
        <c:extLst>
          <c:ext xmlns:c15="http://schemas.microsoft.com/office/drawing/2012/chart" uri="{02D57815-91ED-43cb-92C2-25804820EDAC}">
            <c15:filteredLineSeries>
              <c15:ser>
                <c:idx val="1"/>
                <c:order val="1"/>
                <c:tx>
                  <c:strRef>
                    <c:extLst>
                      <c:ext uri="{02D57815-91ED-43cb-92C2-25804820EDAC}">
                        <c15:formulaRef>
                          <c15:sqref>ESG!$O$67</c15:sqref>
                        </c15:formulaRef>
                      </c:ext>
                    </c:extLst>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extLst>
                      <c:ext uri="{02D57815-91ED-43cb-92C2-25804820EDAC}">
                        <c15:formulaRef>
                          <c15:sqref>ESG!$M$68:$M$76</c15:sqref>
                        </c15:formulaRef>
                      </c:ext>
                    </c:extLst>
                    <c:numCache>
                      <c:formatCode>General</c:formatCode>
                      <c:ptCount val="9"/>
                    </c:numCache>
                  </c:numRef>
                </c:cat>
                <c:val>
                  <c:numRef>
                    <c:extLst>
                      <c:ext uri="{02D57815-91ED-43cb-92C2-25804820EDAC}">
                        <c15:formulaRef>
                          <c15:sqref>ESG!$O$68:$O$76</c15:sqref>
                        </c15:formulaRef>
                      </c:ext>
                    </c:extLst>
                    <c:numCache>
                      <c:formatCode>0.00</c:formatCode>
                      <c:ptCount val="9"/>
                    </c:numCache>
                  </c:numRef>
                </c:val>
                <c:smooth val="0"/>
                <c:extLst>
                  <c:ext xmlns:c16="http://schemas.microsoft.com/office/drawing/2014/chart" uri="{C3380CC4-5D6E-409C-BE32-E72D297353CC}">
                    <c16:uniqueId val="{00000001-5789-4750-89D4-9EEBF96780C0}"/>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ESG!$P$67</c15:sqref>
                        </c15:formulaRef>
                      </c:ext>
                    </c:extLst>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extLst xmlns:c15="http://schemas.microsoft.com/office/drawing/2012/chart">
                      <c:ext xmlns:c15="http://schemas.microsoft.com/office/drawing/2012/chart" uri="{02D57815-91ED-43cb-92C2-25804820EDAC}">
                        <c15:formulaRef>
                          <c15:sqref>ESG!$M$68:$M$76</c15:sqref>
                        </c15:formulaRef>
                      </c:ext>
                    </c:extLst>
                    <c:numCache>
                      <c:formatCode>General</c:formatCode>
                      <c:ptCount val="9"/>
                    </c:numCache>
                  </c:numRef>
                </c:cat>
                <c:val>
                  <c:numRef>
                    <c:extLst xmlns:c15="http://schemas.microsoft.com/office/drawing/2012/chart">
                      <c:ext xmlns:c15="http://schemas.microsoft.com/office/drawing/2012/chart" uri="{02D57815-91ED-43cb-92C2-25804820EDAC}">
                        <c15:formulaRef>
                          <c15:sqref>ESG!$P$68:$P$76</c15:sqref>
                        </c15:formulaRef>
                      </c:ext>
                    </c:extLst>
                    <c:numCache>
                      <c:formatCode>0.00</c:formatCode>
                      <c:ptCount val="9"/>
                    </c:numCache>
                  </c:numRef>
                </c:val>
                <c:smooth val="0"/>
                <c:extLst xmlns:c15="http://schemas.microsoft.com/office/drawing/2012/chart">
                  <c:ext xmlns:c16="http://schemas.microsoft.com/office/drawing/2014/chart" uri="{C3380CC4-5D6E-409C-BE32-E72D297353CC}">
                    <c16:uniqueId val="{00000002-5789-4750-89D4-9EEBF96780C0}"/>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ESG!$S$67</c15:sqref>
                        </c15:formulaRef>
                      </c:ext>
                    </c:extLst>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xmlns:c15="http://schemas.microsoft.com/office/drawing/2012/chart">
                      <c:ext xmlns:c15="http://schemas.microsoft.com/office/drawing/2012/chart" uri="{02D57815-91ED-43cb-92C2-25804820EDAC}">
                        <c15:formulaRef>
                          <c15:sqref>ESG!$M$68:$M$76</c15:sqref>
                        </c15:formulaRef>
                      </c:ext>
                    </c:extLst>
                    <c:numCache>
                      <c:formatCode>General</c:formatCode>
                      <c:ptCount val="9"/>
                    </c:numCache>
                  </c:numRef>
                </c:cat>
                <c:val>
                  <c:numRef>
                    <c:extLst xmlns:c15="http://schemas.microsoft.com/office/drawing/2012/chart">
                      <c:ext xmlns:c15="http://schemas.microsoft.com/office/drawing/2012/chart" uri="{02D57815-91ED-43cb-92C2-25804820EDAC}">
                        <c15:formulaRef>
                          <c15:sqref>ESG!$S$68:$S$76</c15:sqref>
                        </c15:formulaRef>
                      </c:ext>
                    </c:extLst>
                    <c:numCache>
                      <c:formatCode>0.00</c:formatCode>
                      <c:ptCount val="9"/>
                    </c:numCache>
                  </c:numRef>
                </c:val>
                <c:smooth val="0"/>
                <c:extLst xmlns:c15="http://schemas.microsoft.com/office/drawing/2012/chart">
                  <c:ext xmlns:c16="http://schemas.microsoft.com/office/drawing/2014/chart" uri="{C3380CC4-5D6E-409C-BE32-E72D297353CC}">
                    <c16:uniqueId val="{00000005-5789-4750-89D4-9EEBF96780C0}"/>
                  </c:ext>
                </c:extLst>
              </c15:ser>
            </c15:filteredLineSeries>
          </c:ext>
        </c:extLst>
      </c:lineChart>
      <c:catAx>
        <c:axId val="130154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45963695"/>
        <c:crosses val="autoZero"/>
        <c:auto val="1"/>
        <c:lblAlgn val="ctr"/>
        <c:lblOffset val="100"/>
        <c:noMultiLvlLbl val="0"/>
      </c:catAx>
      <c:valAx>
        <c:axId val="45963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1301543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Energy</a:t>
            </a:r>
            <a:r>
              <a:rPr lang="pt-PT" baseline="0"/>
              <a:t> Consumption (Gigajoules)</a:t>
            </a:r>
            <a:endParaRPr lang="pt-P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T"/>
        </a:p>
      </c:txPr>
    </c:title>
    <c:autoTitleDeleted val="0"/>
    <c:plotArea>
      <c:layout/>
      <c:lineChart>
        <c:grouping val="standard"/>
        <c:varyColors val="0"/>
        <c:ser>
          <c:idx val="0"/>
          <c:order val="0"/>
          <c:tx>
            <c:strRef>
              <c:f>ESG!$N$79</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ESG!$M$80:$M$88</c:f>
              <c:numCache>
                <c:formatCode>General</c:formatCode>
                <c:ptCount val="9"/>
              </c:numCache>
            </c:numRef>
          </c:cat>
          <c:val>
            <c:numRef>
              <c:f>ESG!$N$80:$N$88</c:f>
              <c:numCache>
                <c:formatCode>0.00</c:formatCode>
                <c:ptCount val="9"/>
              </c:numCache>
            </c:numRef>
          </c:val>
          <c:smooth val="0"/>
          <c:extLst>
            <c:ext xmlns:c16="http://schemas.microsoft.com/office/drawing/2014/chart" uri="{C3380CC4-5D6E-409C-BE32-E72D297353CC}">
              <c16:uniqueId val="{00000000-917B-4C45-979C-FFDB55C82DDB}"/>
            </c:ext>
          </c:extLst>
        </c:ser>
        <c:ser>
          <c:idx val="1"/>
          <c:order val="1"/>
          <c:tx>
            <c:strRef>
              <c:f>ESG!$O$79</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ESG!$M$80:$M$88</c:f>
              <c:numCache>
                <c:formatCode>General</c:formatCode>
                <c:ptCount val="9"/>
              </c:numCache>
            </c:numRef>
          </c:cat>
          <c:val>
            <c:numRef>
              <c:f>ESG!$O$80:$O$88</c:f>
              <c:numCache>
                <c:formatCode>0.00</c:formatCode>
                <c:ptCount val="9"/>
              </c:numCache>
            </c:numRef>
          </c:val>
          <c:smooth val="0"/>
          <c:extLst>
            <c:ext xmlns:c16="http://schemas.microsoft.com/office/drawing/2014/chart" uri="{C3380CC4-5D6E-409C-BE32-E72D297353CC}">
              <c16:uniqueId val="{00000001-917B-4C45-979C-FFDB55C82DDB}"/>
            </c:ext>
          </c:extLst>
        </c:ser>
        <c:ser>
          <c:idx val="2"/>
          <c:order val="2"/>
          <c:tx>
            <c:strRef>
              <c:f>ESG!$P$79</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ESG!$M$80:$M$88</c:f>
              <c:numCache>
                <c:formatCode>General</c:formatCode>
                <c:ptCount val="9"/>
              </c:numCache>
            </c:numRef>
          </c:cat>
          <c:val>
            <c:numRef>
              <c:f>ESG!$P$80:$P$88</c:f>
              <c:numCache>
                <c:formatCode>0.00</c:formatCode>
                <c:ptCount val="9"/>
              </c:numCache>
            </c:numRef>
          </c:val>
          <c:smooth val="0"/>
          <c:extLst>
            <c:ext xmlns:c16="http://schemas.microsoft.com/office/drawing/2014/chart" uri="{C3380CC4-5D6E-409C-BE32-E72D297353CC}">
              <c16:uniqueId val="{00000002-917B-4C45-979C-FFDB55C82DDB}"/>
            </c:ext>
          </c:extLst>
        </c:ser>
        <c:ser>
          <c:idx val="3"/>
          <c:order val="3"/>
          <c:tx>
            <c:strRef>
              <c:f>ESG!$Q$79</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ESG!$M$80:$M$88</c:f>
              <c:numCache>
                <c:formatCode>General</c:formatCode>
                <c:ptCount val="9"/>
              </c:numCache>
            </c:numRef>
          </c:cat>
          <c:val>
            <c:numRef>
              <c:f>ESG!$Q$80:$Q$88</c:f>
              <c:numCache>
                <c:formatCode>0.00</c:formatCode>
                <c:ptCount val="9"/>
              </c:numCache>
            </c:numRef>
          </c:val>
          <c:smooth val="0"/>
          <c:extLst>
            <c:ext xmlns:c16="http://schemas.microsoft.com/office/drawing/2014/chart" uri="{C3380CC4-5D6E-409C-BE32-E72D297353CC}">
              <c16:uniqueId val="{00000003-917B-4C45-979C-FFDB55C82DDB}"/>
            </c:ext>
          </c:extLst>
        </c:ser>
        <c:ser>
          <c:idx val="4"/>
          <c:order val="4"/>
          <c:tx>
            <c:strRef>
              <c:f>ESG!$R$79</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ESG!$M$80:$M$88</c:f>
              <c:numCache>
                <c:formatCode>General</c:formatCode>
                <c:ptCount val="9"/>
              </c:numCache>
            </c:numRef>
          </c:cat>
          <c:val>
            <c:numRef>
              <c:f>ESG!$R$80:$R$88</c:f>
              <c:numCache>
                <c:formatCode>0.00</c:formatCode>
                <c:ptCount val="9"/>
              </c:numCache>
            </c:numRef>
          </c:val>
          <c:smooth val="0"/>
          <c:extLst>
            <c:ext xmlns:c16="http://schemas.microsoft.com/office/drawing/2014/chart" uri="{C3380CC4-5D6E-409C-BE32-E72D297353CC}">
              <c16:uniqueId val="{00000004-917B-4C45-979C-FFDB55C82DDB}"/>
            </c:ext>
          </c:extLst>
        </c:ser>
        <c:ser>
          <c:idx val="5"/>
          <c:order val="5"/>
          <c:tx>
            <c:strRef>
              <c:f>ESG!$S$79</c:f>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ESG!$M$80:$M$88</c:f>
              <c:numCache>
                <c:formatCode>General</c:formatCode>
                <c:ptCount val="9"/>
              </c:numCache>
            </c:numRef>
          </c:cat>
          <c:val>
            <c:numRef>
              <c:f>ESG!$S$80:$S$88</c:f>
              <c:numCache>
                <c:formatCode>0.00</c:formatCode>
                <c:ptCount val="9"/>
              </c:numCache>
            </c:numRef>
          </c:val>
          <c:smooth val="0"/>
          <c:extLst>
            <c:ext xmlns:c16="http://schemas.microsoft.com/office/drawing/2014/chart" uri="{C3380CC4-5D6E-409C-BE32-E72D297353CC}">
              <c16:uniqueId val="{00000005-917B-4C45-979C-FFDB55C82DDB}"/>
            </c:ext>
          </c:extLst>
        </c:ser>
        <c:dLbls>
          <c:showLegendKey val="0"/>
          <c:showVal val="0"/>
          <c:showCatName val="0"/>
          <c:showSerName val="0"/>
          <c:showPercent val="0"/>
          <c:showBubbleSize val="0"/>
        </c:dLbls>
        <c:marker val="1"/>
        <c:smooth val="0"/>
        <c:axId val="365935231"/>
        <c:axId val="365961631"/>
      </c:lineChart>
      <c:catAx>
        <c:axId val="3659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365961631"/>
        <c:crosses val="autoZero"/>
        <c:auto val="1"/>
        <c:lblAlgn val="ctr"/>
        <c:lblOffset val="100"/>
        <c:noMultiLvlLbl val="0"/>
      </c:catAx>
      <c:valAx>
        <c:axId val="365961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365935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Waste Production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T"/>
        </a:p>
      </c:txPr>
    </c:title>
    <c:autoTitleDeleted val="0"/>
    <c:plotArea>
      <c:layout/>
      <c:lineChart>
        <c:grouping val="standard"/>
        <c:varyColors val="0"/>
        <c:ser>
          <c:idx val="0"/>
          <c:order val="0"/>
          <c:tx>
            <c:strRef>
              <c:f>ESG!$N$91</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ESG!$M$92:$M$100</c:f>
              <c:numCache>
                <c:formatCode>General</c:formatCode>
                <c:ptCount val="9"/>
              </c:numCache>
            </c:numRef>
          </c:cat>
          <c:val>
            <c:numRef>
              <c:f>ESG!$N$92:$N$100</c:f>
              <c:numCache>
                <c:formatCode>0.00</c:formatCode>
                <c:ptCount val="9"/>
              </c:numCache>
            </c:numRef>
          </c:val>
          <c:smooth val="0"/>
          <c:extLst>
            <c:ext xmlns:c16="http://schemas.microsoft.com/office/drawing/2014/chart" uri="{C3380CC4-5D6E-409C-BE32-E72D297353CC}">
              <c16:uniqueId val="{00000000-FF9A-4ECA-A844-2C82FDFD8493}"/>
            </c:ext>
          </c:extLst>
        </c:ser>
        <c:ser>
          <c:idx val="1"/>
          <c:order val="1"/>
          <c:tx>
            <c:strRef>
              <c:f>ESG!$O$91</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ESG!$M$92:$M$100</c:f>
              <c:numCache>
                <c:formatCode>General</c:formatCode>
                <c:ptCount val="9"/>
              </c:numCache>
            </c:numRef>
          </c:cat>
          <c:val>
            <c:numRef>
              <c:f>ESG!$O$92:$O$100</c:f>
              <c:numCache>
                <c:formatCode>0.00</c:formatCode>
                <c:ptCount val="9"/>
              </c:numCache>
            </c:numRef>
          </c:val>
          <c:smooth val="0"/>
          <c:extLst>
            <c:ext xmlns:c16="http://schemas.microsoft.com/office/drawing/2014/chart" uri="{C3380CC4-5D6E-409C-BE32-E72D297353CC}">
              <c16:uniqueId val="{00000001-FF9A-4ECA-A844-2C82FDFD8493}"/>
            </c:ext>
          </c:extLst>
        </c:ser>
        <c:ser>
          <c:idx val="2"/>
          <c:order val="2"/>
          <c:tx>
            <c:strRef>
              <c:f>ESG!$P$91</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ESG!$M$92:$M$100</c:f>
              <c:numCache>
                <c:formatCode>General</c:formatCode>
                <c:ptCount val="9"/>
              </c:numCache>
            </c:numRef>
          </c:cat>
          <c:val>
            <c:numRef>
              <c:f>ESG!$P$92:$P$100</c:f>
              <c:numCache>
                <c:formatCode>0.00</c:formatCode>
                <c:ptCount val="9"/>
              </c:numCache>
            </c:numRef>
          </c:val>
          <c:smooth val="0"/>
          <c:extLst>
            <c:ext xmlns:c16="http://schemas.microsoft.com/office/drawing/2014/chart" uri="{C3380CC4-5D6E-409C-BE32-E72D297353CC}">
              <c16:uniqueId val="{00000002-FF9A-4ECA-A844-2C82FDFD8493}"/>
            </c:ext>
          </c:extLst>
        </c:ser>
        <c:ser>
          <c:idx val="3"/>
          <c:order val="3"/>
          <c:tx>
            <c:strRef>
              <c:f>ESG!$Q$91</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ESG!$M$92:$M$100</c:f>
              <c:numCache>
                <c:formatCode>General</c:formatCode>
                <c:ptCount val="9"/>
              </c:numCache>
            </c:numRef>
          </c:cat>
          <c:val>
            <c:numRef>
              <c:f>ESG!$Q$92:$Q$100</c:f>
              <c:numCache>
                <c:formatCode>0.00</c:formatCode>
                <c:ptCount val="9"/>
              </c:numCache>
            </c:numRef>
          </c:val>
          <c:smooth val="0"/>
          <c:extLst>
            <c:ext xmlns:c16="http://schemas.microsoft.com/office/drawing/2014/chart" uri="{C3380CC4-5D6E-409C-BE32-E72D297353CC}">
              <c16:uniqueId val="{00000003-FF9A-4ECA-A844-2C82FDFD8493}"/>
            </c:ext>
          </c:extLst>
        </c:ser>
        <c:ser>
          <c:idx val="4"/>
          <c:order val="4"/>
          <c:tx>
            <c:strRef>
              <c:f>ESG!$R$91</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ESG!$M$92:$M$100</c:f>
              <c:numCache>
                <c:formatCode>General</c:formatCode>
                <c:ptCount val="9"/>
              </c:numCache>
            </c:numRef>
          </c:cat>
          <c:val>
            <c:numRef>
              <c:f>ESG!$R$92:$R$100</c:f>
              <c:numCache>
                <c:formatCode>0.00</c:formatCode>
                <c:ptCount val="9"/>
              </c:numCache>
            </c:numRef>
          </c:val>
          <c:smooth val="0"/>
          <c:extLst>
            <c:ext xmlns:c16="http://schemas.microsoft.com/office/drawing/2014/chart" uri="{C3380CC4-5D6E-409C-BE32-E72D297353CC}">
              <c16:uniqueId val="{00000004-FF9A-4ECA-A844-2C82FDFD8493}"/>
            </c:ext>
          </c:extLst>
        </c:ser>
        <c:dLbls>
          <c:showLegendKey val="0"/>
          <c:showVal val="0"/>
          <c:showCatName val="0"/>
          <c:showSerName val="0"/>
          <c:showPercent val="0"/>
          <c:showBubbleSize val="0"/>
        </c:dLbls>
        <c:marker val="1"/>
        <c:smooth val="0"/>
        <c:axId val="365962591"/>
        <c:axId val="365934271"/>
        <c:extLst>
          <c:ext xmlns:c15="http://schemas.microsoft.com/office/drawing/2012/chart" uri="{02D57815-91ED-43cb-92C2-25804820EDAC}">
            <c15:filteredLineSeries>
              <c15:ser>
                <c:idx val="5"/>
                <c:order val="5"/>
                <c:tx>
                  <c:strRef>
                    <c:extLst>
                      <c:ext uri="{02D57815-91ED-43cb-92C2-25804820EDAC}">
                        <c15:formulaRef>
                          <c15:sqref>ESG!$S$91</c15:sqref>
                        </c15:formulaRef>
                      </c:ext>
                    </c:extLst>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extLst>
                      <c:ext uri="{02D57815-91ED-43cb-92C2-25804820EDAC}">
                        <c15:formulaRef>
                          <c15:sqref>ESG!$M$92:$M$100</c15:sqref>
                        </c15:formulaRef>
                      </c:ext>
                    </c:extLst>
                    <c:numCache>
                      <c:formatCode>General</c:formatCode>
                      <c:ptCount val="9"/>
                    </c:numCache>
                  </c:numRef>
                </c:cat>
                <c:val>
                  <c:numRef>
                    <c:extLst>
                      <c:ext uri="{02D57815-91ED-43cb-92C2-25804820EDAC}">
                        <c15:formulaRef>
                          <c15:sqref>ESG!$S$92:$S$100</c15:sqref>
                        </c15:formulaRef>
                      </c:ext>
                    </c:extLst>
                    <c:numCache>
                      <c:formatCode>0.00</c:formatCode>
                      <c:ptCount val="9"/>
                    </c:numCache>
                  </c:numRef>
                </c:val>
                <c:smooth val="0"/>
                <c:extLst>
                  <c:ext xmlns:c16="http://schemas.microsoft.com/office/drawing/2014/chart" uri="{C3380CC4-5D6E-409C-BE32-E72D297353CC}">
                    <c16:uniqueId val="{00000005-FF9A-4ECA-A844-2C82FDFD8493}"/>
                  </c:ext>
                </c:extLst>
              </c15:ser>
            </c15:filteredLineSeries>
          </c:ext>
        </c:extLst>
      </c:lineChart>
      <c:catAx>
        <c:axId val="36596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365934271"/>
        <c:crosses val="autoZero"/>
        <c:auto val="1"/>
        <c:lblAlgn val="ctr"/>
        <c:lblOffset val="100"/>
        <c:noMultiLvlLbl val="0"/>
      </c:catAx>
      <c:valAx>
        <c:axId val="3659342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crossAx val="36596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5</xdr:col>
      <xdr:colOff>1284942</xdr:colOff>
      <xdr:row>81</xdr:row>
      <xdr:rowOff>199518</xdr:rowOff>
    </xdr:from>
    <xdr:to>
      <xdr:col>13</xdr:col>
      <xdr:colOff>9712</xdr:colOff>
      <xdr:row>105</xdr:row>
      <xdr:rowOff>2755259</xdr:rowOff>
    </xdr:to>
    <xdr:pic>
      <xdr:nvPicPr>
        <xdr:cNvPr id="7" name="Picture 3">
          <a:extLst>
            <a:ext uri="{FF2B5EF4-FFF2-40B4-BE49-F238E27FC236}">
              <a16:creationId xmlns:a16="http://schemas.microsoft.com/office/drawing/2014/main" id="{67F05FFB-E2C8-CCDD-9B26-6AF5C8ABCBAA}"/>
            </a:ext>
          </a:extLst>
        </xdr:cNvPr>
        <xdr:cNvPicPr>
          <a:picLocks noChangeAspect="1"/>
        </xdr:cNvPicPr>
      </xdr:nvPicPr>
      <xdr:blipFill>
        <a:blip xmlns:r="http://schemas.openxmlformats.org/officeDocument/2006/relationships" r:embed="rId1"/>
        <a:stretch>
          <a:fillRect/>
        </a:stretch>
      </xdr:blipFill>
      <xdr:spPr>
        <a:xfrm>
          <a:off x="8740589" y="17486459"/>
          <a:ext cx="10040470" cy="6554342"/>
        </a:xfrm>
        <a:prstGeom prst="rect">
          <a:avLst/>
        </a:prstGeom>
      </xdr:spPr>
    </xdr:pic>
    <xdr:clientData/>
  </xdr:twoCellAnchor>
  <xdr:twoCellAnchor editAs="oneCell">
    <xdr:from>
      <xdr:col>1</xdr:col>
      <xdr:colOff>29882</xdr:colOff>
      <xdr:row>82</xdr:row>
      <xdr:rowOff>29882</xdr:rowOff>
    </xdr:from>
    <xdr:to>
      <xdr:col>6</xdr:col>
      <xdr:colOff>4481</xdr:colOff>
      <xdr:row>93</xdr:row>
      <xdr:rowOff>40105</xdr:rowOff>
    </xdr:to>
    <xdr:pic>
      <xdr:nvPicPr>
        <xdr:cNvPr id="14" name="Picture 4">
          <a:extLst>
            <a:ext uri="{FF2B5EF4-FFF2-40B4-BE49-F238E27FC236}">
              <a16:creationId xmlns:a16="http://schemas.microsoft.com/office/drawing/2014/main" id="{2E575621-85BC-6D07-F22A-608EA39B5664}"/>
            </a:ext>
          </a:extLst>
        </xdr:cNvPr>
        <xdr:cNvPicPr>
          <a:picLocks noChangeAspect="1"/>
        </xdr:cNvPicPr>
      </xdr:nvPicPr>
      <xdr:blipFill>
        <a:blip xmlns:r="http://schemas.openxmlformats.org/officeDocument/2006/relationships" r:embed="rId2"/>
        <a:stretch>
          <a:fillRect/>
        </a:stretch>
      </xdr:blipFill>
      <xdr:spPr>
        <a:xfrm>
          <a:off x="74706" y="17526000"/>
          <a:ext cx="8635999" cy="1826323"/>
        </a:xfrm>
        <a:prstGeom prst="rect">
          <a:avLst/>
        </a:prstGeom>
      </xdr:spPr>
    </xdr:pic>
    <xdr:clientData/>
  </xdr:twoCellAnchor>
  <xdr:twoCellAnchor editAs="oneCell">
    <xdr:from>
      <xdr:col>13</xdr:col>
      <xdr:colOff>0</xdr:colOff>
      <xdr:row>15</xdr:row>
      <xdr:rowOff>0</xdr:rowOff>
    </xdr:from>
    <xdr:to>
      <xdr:col>13</xdr:col>
      <xdr:colOff>304800</xdr:colOff>
      <xdr:row>16</xdr:row>
      <xdr:rowOff>154173</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16</xdr:row>
      <xdr:rowOff>154173</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16</xdr:row>
      <xdr:rowOff>154173</xdr:rowOff>
    </xdr:to>
    <xdr:sp macro="" textlink="">
      <xdr:nvSpPr>
        <xdr:cNvPr id="9" name="AutoShape 48" descr="Resultado de imagen para heidelbergcement">
          <a:extLst>
            <a:ext uri="{FF2B5EF4-FFF2-40B4-BE49-F238E27FC236}">
              <a16:creationId xmlns:a16="http://schemas.microsoft.com/office/drawing/2014/main" id="{7A971572-AE46-4C4C-8556-A1DC5E24C990}"/>
            </a:ext>
          </a:extLst>
        </xdr:cNvPr>
        <xdr:cNvSpPr>
          <a:spLocks noChangeAspect="1" noChangeArrowheads="1"/>
        </xdr:cNvSpPr>
      </xdr:nvSpPr>
      <xdr:spPr bwMode="auto">
        <a:xfrm>
          <a:off x="18110200" y="135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xdr:row>
      <xdr:rowOff>192768</xdr:rowOff>
    </xdr:from>
    <xdr:to>
      <xdr:col>3</xdr:col>
      <xdr:colOff>1284</xdr:colOff>
      <xdr:row>12</xdr:row>
      <xdr:rowOff>146956</xdr:rowOff>
    </xdr:to>
    <xdr:pic>
      <xdr:nvPicPr>
        <xdr:cNvPr id="2" name="Picture 1">
          <a:extLst>
            <a:ext uri="{FF2B5EF4-FFF2-40B4-BE49-F238E27FC236}">
              <a16:creationId xmlns:a16="http://schemas.microsoft.com/office/drawing/2014/main" id="{4F6820B7-EE25-2F26-3989-FFCBCFD5AAD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0" y="1372054"/>
          <a:ext cx="3407605" cy="2414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xdr:colOff>
      <xdr:row>19</xdr:row>
      <xdr:rowOff>76200</xdr:rowOff>
    </xdr:from>
    <xdr:to>
      <xdr:col>11</xdr:col>
      <xdr:colOff>666750</xdr:colOff>
      <xdr:row>22</xdr:row>
      <xdr:rowOff>666750</xdr:rowOff>
    </xdr:to>
    <xdr:graphicFrame macro="">
      <xdr:nvGraphicFramePr>
        <xdr:cNvPr id="7"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723900</xdr:colOff>
      <xdr:row>19</xdr:row>
      <xdr:rowOff>66675</xdr:rowOff>
    </xdr:from>
    <xdr:to>
      <xdr:col>15</xdr:col>
      <xdr:colOff>714375</xdr:colOff>
      <xdr:row>22</xdr:row>
      <xdr:rowOff>685800</xdr:rowOff>
    </xdr:to>
    <xdr:graphicFrame macro="">
      <xdr:nvGraphicFramePr>
        <xdr:cNvPr id="3" name="Chart 5">
          <a:extLst>
            <a:ext uri="{FF2B5EF4-FFF2-40B4-BE49-F238E27FC236}">
              <a16:creationId xmlns:a16="http://schemas.microsoft.com/office/drawing/2014/main" id="{1471EB7D-83EE-43B1-6F3B-DAB93ADF05E3}"/>
            </a:ext>
            <a:ext uri="{147F2762-F138-4A5C-976F-8EAC2B608ADB}">
              <a16:predDERef xmlns:a16="http://schemas.microsoft.com/office/drawing/2014/main" pred="{9E23D189-C3B7-523A-69E6-128398296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704850</xdr:colOff>
      <xdr:row>18</xdr:row>
      <xdr:rowOff>247650</xdr:rowOff>
    </xdr:from>
    <xdr:to>
      <xdr:col>11</xdr:col>
      <xdr:colOff>714375</xdr:colOff>
      <xdr:row>23</xdr:row>
      <xdr:rowOff>0</xdr:rowOff>
    </xdr:to>
    <xdr:cxnSp macro="">
      <xdr:nvCxnSpPr>
        <xdr:cNvPr id="9" name="Straight Connector 1">
          <a:extLst>
            <a:ext uri="{FF2B5EF4-FFF2-40B4-BE49-F238E27FC236}">
              <a16:creationId xmlns:a16="http://schemas.microsoft.com/office/drawing/2014/main" id="{2D9F9EFF-8C8B-4839-A102-86B66E9BDF73}"/>
            </a:ext>
            <a:ext uri="{147F2762-F138-4A5C-976F-8EAC2B608ADB}">
              <a16:predDERef xmlns:a16="http://schemas.microsoft.com/office/drawing/2014/main" pred="{1471EB7D-83EE-43B1-6F3B-DAB93ADF05E3}"/>
            </a:ext>
          </a:extLst>
        </xdr:cNvPr>
        <xdr:cNvCxnSpPr>
          <a:cxnSpLocks/>
        </xdr:cNvCxnSpPr>
      </xdr:nvCxnSpPr>
      <xdr:spPr bwMode="auto">
        <a:xfrm>
          <a:off x="12144375" y="4324350"/>
          <a:ext cx="9525" cy="2886075"/>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219075</xdr:colOff>
      <xdr:row>34</xdr:row>
      <xdr:rowOff>28575</xdr:rowOff>
    </xdr:from>
    <xdr:to>
      <xdr:col>15</xdr:col>
      <xdr:colOff>742950</xdr:colOff>
      <xdr:row>36</xdr:row>
      <xdr:rowOff>114300</xdr:rowOff>
    </xdr:to>
    <xdr:sp macro="" textlink="">
      <xdr:nvSpPr>
        <xdr:cNvPr id="8" name="Rectangle 9">
          <a:extLst>
            <a:ext uri="{FF2B5EF4-FFF2-40B4-BE49-F238E27FC236}">
              <a16:creationId xmlns:a16="http://schemas.microsoft.com/office/drawing/2014/main" id="{9EA941B6-F7AA-AE8B-792C-EC306EB6FD73}"/>
            </a:ext>
            <a:ext uri="{147F2762-F138-4A5C-976F-8EAC2B608ADB}">
              <a16:predDERef xmlns:a16="http://schemas.microsoft.com/office/drawing/2014/main" pred="{2D9F9EFF-8C8B-4839-A102-86B66E9BDF73}"/>
            </a:ext>
          </a:extLst>
        </xdr:cNvPr>
        <xdr:cNvSpPr/>
      </xdr:nvSpPr>
      <xdr:spPr bwMode="auto">
        <a:xfrm>
          <a:off x="13944600" y="9248775"/>
          <a:ext cx="1285875" cy="409575"/>
        </a:xfrm>
        <a:prstGeom prst="rect">
          <a:avLst/>
        </a:prstGeom>
        <a:solidFill>
          <a:srgbClr val="FFFFFF"/>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34</xdr:col>
      <xdr:colOff>19050</xdr:colOff>
      <xdr:row>46</xdr:row>
      <xdr:rowOff>47625</xdr:rowOff>
    </xdr:from>
    <xdr:to>
      <xdr:col>35</xdr:col>
      <xdr:colOff>209550</xdr:colOff>
      <xdr:row>52</xdr:row>
      <xdr:rowOff>28575</xdr:rowOff>
    </xdr:to>
    <xdr:sp macro="" textlink="">
      <xdr:nvSpPr>
        <xdr:cNvPr id="87" name="Rectangle 17">
          <a:extLst>
            <a:ext uri="{FF2B5EF4-FFF2-40B4-BE49-F238E27FC236}">
              <a16:creationId xmlns:a16="http://schemas.microsoft.com/office/drawing/2014/main" id="{373BA1AE-84F4-1EA4-7F90-6E6AE589AB0D}"/>
            </a:ext>
            <a:ext uri="{147F2762-F138-4A5C-976F-8EAC2B608ADB}">
              <a16:predDERef xmlns:a16="http://schemas.microsoft.com/office/drawing/2014/main" pred="{795168BE-2BCC-E14D-F42E-6CD34F49FE73}"/>
            </a:ext>
          </a:extLst>
        </xdr:cNvPr>
        <xdr:cNvSpPr/>
      </xdr:nvSpPr>
      <xdr:spPr bwMode="auto">
        <a:xfrm>
          <a:off x="29794200" y="10391775"/>
          <a:ext cx="952500" cy="952500"/>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editAs="oneCell">
    <xdr:from>
      <xdr:col>9</xdr:col>
      <xdr:colOff>95250</xdr:colOff>
      <xdr:row>24</xdr:row>
      <xdr:rowOff>142875</xdr:rowOff>
    </xdr:from>
    <xdr:to>
      <xdr:col>14</xdr:col>
      <xdr:colOff>476250</xdr:colOff>
      <xdr:row>26</xdr:row>
      <xdr:rowOff>568325</xdr:rowOff>
    </xdr:to>
    <xdr:pic>
      <xdr:nvPicPr>
        <xdr:cNvPr id="14" name="Imagem 1">
          <a:extLst>
            <a:ext uri="{FF2B5EF4-FFF2-40B4-BE49-F238E27FC236}">
              <a16:creationId xmlns:a16="http://schemas.microsoft.com/office/drawing/2014/main" id="{493B4840-9F5C-3DD2-A184-C38A97C0A080}"/>
            </a:ext>
            <a:ext uri="{147F2762-F138-4A5C-976F-8EAC2B608ADB}">
              <a16:predDERef xmlns:a16="http://schemas.microsoft.com/office/drawing/2014/main" pred="{373BA1AE-84F4-1EA4-7F90-6E6AE589AB0D}"/>
            </a:ext>
          </a:extLst>
        </xdr:cNvPr>
        <xdr:cNvPicPr>
          <a:picLocks noChangeAspect="1"/>
        </xdr:cNvPicPr>
      </xdr:nvPicPr>
      <xdr:blipFill>
        <a:blip xmlns:r="http://schemas.openxmlformats.org/officeDocument/2006/relationships" r:embed="rId3"/>
        <a:stretch>
          <a:fillRect/>
        </a:stretch>
      </xdr:blipFill>
      <xdr:spPr>
        <a:xfrm>
          <a:off x="10010775" y="6143625"/>
          <a:ext cx="4762500" cy="2381250"/>
        </a:xfrm>
        <a:prstGeom prst="rect">
          <a:avLst/>
        </a:prstGeom>
      </xdr:spPr>
    </xdr:pic>
    <xdr:clientData/>
  </xdr:twoCellAnchor>
  <xdr:twoCellAnchor editAs="oneCell">
    <xdr:from>
      <xdr:col>9</xdr:col>
      <xdr:colOff>66675</xdr:colOff>
      <xdr:row>26</xdr:row>
      <xdr:rowOff>581025</xdr:rowOff>
    </xdr:from>
    <xdr:to>
      <xdr:col>14</xdr:col>
      <xdr:colOff>476250</xdr:colOff>
      <xdr:row>29</xdr:row>
      <xdr:rowOff>3175</xdr:rowOff>
    </xdr:to>
    <xdr:pic>
      <xdr:nvPicPr>
        <xdr:cNvPr id="19" name="Imagem 3">
          <a:extLst>
            <a:ext uri="{FF2B5EF4-FFF2-40B4-BE49-F238E27FC236}">
              <a16:creationId xmlns:a16="http://schemas.microsoft.com/office/drawing/2014/main" id="{0B5FF6A5-4164-5CDC-C546-9566307AAA2E}"/>
            </a:ext>
            <a:ext uri="{147F2762-F138-4A5C-976F-8EAC2B608ADB}">
              <a16:predDERef xmlns:a16="http://schemas.microsoft.com/office/drawing/2014/main" pred="{493B4840-9F5C-3DD2-A184-C38A97C0A080}"/>
            </a:ext>
          </a:extLst>
        </xdr:cNvPr>
        <xdr:cNvPicPr>
          <a:picLocks noChangeAspect="1"/>
        </xdr:cNvPicPr>
      </xdr:nvPicPr>
      <xdr:blipFill>
        <a:blip xmlns:r="http://schemas.openxmlformats.org/officeDocument/2006/relationships" r:embed="rId4"/>
        <a:stretch>
          <a:fillRect/>
        </a:stretch>
      </xdr:blipFill>
      <xdr:spPr>
        <a:xfrm>
          <a:off x="9982200" y="8543925"/>
          <a:ext cx="4791075" cy="2457450"/>
        </a:xfrm>
        <a:prstGeom prst="rect">
          <a:avLst/>
        </a:prstGeom>
      </xdr:spPr>
    </xdr:pic>
    <xdr:clientData/>
  </xdr:twoCellAnchor>
  <xdr:twoCellAnchor editAs="oneCell">
    <xdr:from>
      <xdr:col>9</xdr:col>
      <xdr:colOff>142875</xdr:colOff>
      <xdr:row>29</xdr:row>
      <xdr:rowOff>95250</xdr:rowOff>
    </xdr:from>
    <xdr:to>
      <xdr:col>14</xdr:col>
      <xdr:colOff>333375</xdr:colOff>
      <xdr:row>43</xdr:row>
      <xdr:rowOff>155575</xdr:rowOff>
    </xdr:to>
    <xdr:pic>
      <xdr:nvPicPr>
        <xdr:cNvPr id="22" name="Imagem 4">
          <a:extLst>
            <a:ext uri="{FF2B5EF4-FFF2-40B4-BE49-F238E27FC236}">
              <a16:creationId xmlns:a16="http://schemas.microsoft.com/office/drawing/2014/main" id="{AF0DC81F-4A73-BD33-67E5-7825E4F08A6F}"/>
            </a:ext>
            <a:ext uri="{147F2762-F138-4A5C-976F-8EAC2B608ADB}">
              <a16:predDERef xmlns:a16="http://schemas.microsoft.com/office/drawing/2014/main" pred="{0B5FF6A5-4164-5CDC-C546-9566307AAA2E}"/>
            </a:ext>
          </a:extLst>
        </xdr:cNvPr>
        <xdr:cNvPicPr>
          <a:picLocks noChangeAspect="1"/>
        </xdr:cNvPicPr>
      </xdr:nvPicPr>
      <xdr:blipFill>
        <a:blip xmlns:r="http://schemas.openxmlformats.org/officeDocument/2006/relationships" r:embed="rId5"/>
        <a:stretch>
          <a:fillRect/>
        </a:stretch>
      </xdr:blipFill>
      <xdr:spPr>
        <a:xfrm>
          <a:off x="10058400" y="11096625"/>
          <a:ext cx="4572000" cy="2447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21</xdr:row>
      <xdr:rowOff>0</xdr:rowOff>
    </xdr:from>
    <xdr:ext cx="304800" cy="308437"/>
    <xdr:sp macro="" textlink="">
      <xdr:nvSpPr>
        <xdr:cNvPr id="19"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8437"/>
    <xdr:sp macro="" textlink="">
      <xdr:nvSpPr>
        <xdr:cNvPr id="18"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6171"/>
    <xdr:sp macro="" textlink="">
      <xdr:nvSpPr>
        <xdr:cNvPr id="17"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3816F209-593F-4972-8238-056F7A06C2DB}"/>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5D67A490-620E-4BB6-ACF8-2FBAECF65CB2}"/>
            </a:ext>
          </a:extLst>
        </xdr:cNvPr>
        <xdr:cNvSpPr>
          <a:spLocks noChangeAspect="1" noChangeArrowheads="1"/>
        </xdr:cNvSpPr>
      </xdr:nvSpPr>
      <xdr:spPr bwMode="auto">
        <a:xfrm>
          <a:off x="10601325" y="1781175"/>
          <a:ext cx="304800" cy="308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1207"/>
    <xdr:sp macro="" textlink="">
      <xdr:nvSpPr>
        <xdr:cNvPr id="14" name="AutoShape 233" descr="Resultado de imagen para beer consumption trend">
          <a:extLst>
            <a:ext uri="{FF2B5EF4-FFF2-40B4-BE49-F238E27FC236}">
              <a16:creationId xmlns:a16="http://schemas.microsoft.com/office/drawing/2014/main" id="{71A499F7-7BCB-43D8-AAAA-8629B391E887}"/>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10</xdr:col>
      <xdr:colOff>528777</xdr:colOff>
      <xdr:row>17</xdr:row>
      <xdr:rowOff>56029</xdr:rowOff>
    </xdr:from>
    <xdr:to>
      <xdr:col>18</xdr:col>
      <xdr:colOff>702468</xdr:colOff>
      <xdr:row>33</xdr:row>
      <xdr:rowOff>114301</xdr:rowOff>
    </xdr:to>
    <xdr:graphicFrame macro="">
      <xdr:nvGraphicFramePr>
        <xdr:cNvPr id="2" name="Chart 1">
          <a:extLst>
            <a:ext uri="{FF2B5EF4-FFF2-40B4-BE49-F238E27FC236}">
              <a16:creationId xmlns:a16="http://schemas.microsoft.com/office/drawing/2014/main" id="{F8B867AC-6A7A-4512-8C9D-97B8E534E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107156</xdr:colOff>
      <xdr:row>33</xdr:row>
      <xdr:rowOff>142875</xdr:rowOff>
    </xdr:from>
    <xdr:to>
      <xdr:col>20</xdr:col>
      <xdr:colOff>273843</xdr:colOff>
      <xdr:row>50</xdr:row>
      <xdr:rowOff>142875</xdr:rowOff>
    </xdr:to>
    <xdr:graphicFrame macro="">
      <xdr:nvGraphicFramePr>
        <xdr:cNvPr id="3" name="Chart 2">
          <a:extLst>
            <a:ext uri="{FF2B5EF4-FFF2-40B4-BE49-F238E27FC236}">
              <a16:creationId xmlns:a16="http://schemas.microsoft.com/office/drawing/2014/main" id="{06EE3DBE-321E-4EF6-A0A4-D90C4883E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444500</xdr:colOff>
      <xdr:row>1</xdr:row>
      <xdr:rowOff>50800</xdr:rowOff>
    </xdr:from>
    <xdr:to>
      <xdr:col>1</xdr:col>
      <xdr:colOff>1806575</xdr:colOff>
      <xdr:row>2</xdr:row>
      <xdr:rowOff>62512</xdr:rowOff>
    </xdr:to>
    <xdr:pic>
      <xdr:nvPicPr>
        <xdr:cNvPr id="8" name="Picture 3">
          <a:extLst>
            <a:ext uri="{FF2B5EF4-FFF2-40B4-BE49-F238E27FC236}">
              <a16:creationId xmlns:a16="http://schemas.microsoft.com/office/drawing/2014/main" id="{FB560300-72A8-9A9A-DD70-1E8E44A4ABCE}"/>
            </a:ext>
            <a:ext uri="{147F2762-F138-4A5C-976F-8EAC2B608ADB}">
              <a16:predDERef xmlns:a16="http://schemas.microsoft.com/office/drawing/2014/main" pred="{06EE3DBE-321E-4EF6-A0A4-D90C4883E80D}"/>
            </a:ext>
          </a:extLst>
        </xdr:cNvPr>
        <xdr:cNvPicPr>
          <a:picLocks noChangeAspect="1"/>
        </xdr:cNvPicPr>
      </xdr:nvPicPr>
      <xdr:blipFill>
        <a:blip xmlns:r="http://schemas.openxmlformats.org/officeDocument/2006/relationships" r:embed="rId3"/>
        <a:stretch>
          <a:fillRect/>
        </a:stretch>
      </xdr:blipFill>
      <xdr:spPr>
        <a:xfrm>
          <a:off x="482600" y="228600"/>
          <a:ext cx="1362075" cy="1357912"/>
        </a:xfrm>
        <a:prstGeom prst="rect">
          <a:avLst/>
        </a:prstGeom>
      </xdr:spPr>
    </xdr:pic>
    <xdr:clientData/>
  </xdr:twoCellAnchor>
  <xdr:twoCellAnchor editAs="oneCell">
    <xdr:from>
      <xdr:col>1</xdr:col>
      <xdr:colOff>685800</xdr:colOff>
      <xdr:row>2</xdr:row>
      <xdr:rowOff>171450</xdr:rowOff>
    </xdr:from>
    <xdr:to>
      <xdr:col>1</xdr:col>
      <xdr:colOff>1581150</xdr:colOff>
      <xdr:row>2</xdr:row>
      <xdr:rowOff>1062638</xdr:rowOff>
    </xdr:to>
    <xdr:pic>
      <xdr:nvPicPr>
        <xdr:cNvPr id="7" name="Picture 4">
          <a:extLst>
            <a:ext uri="{FF2B5EF4-FFF2-40B4-BE49-F238E27FC236}">
              <a16:creationId xmlns:a16="http://schemas.microsoft.com/office/drawing/2014/main" id="{E67BE166-30B7-9CB7-23B7-F80410E552EE}"/>
            </a:ext>
            <a:ext uri="{147F2762-F138-4A5C-976F-8EAC2B608ADB}">
              <a16:predDERef xmlns:a16="http://schemas.microsoft.com/office/drawing/2014/main" pred="{FB560300-72A8-9A9A-DD70-1E8E44A4ABCE}"/>
            </a:ext>
          </a:extLst>
        </xdr:cNvPr>
        <xdr:cNvPicPr>
          <a:picLocks noChangeAspect="1"/>
        </xdr:cNvPicPr>
      </xdr:nvPicPr>
      <xdr:blipFill>
        <a:blip xmlns:r="http://schemas.openxmlformats.org/officeDocument/2006/relationships" r:embed="rId4"/>
        <a:stretch>
          <a:fillRect/>
        </a:stretch>
      </xdr:blipFill>
      <xdr:spPr>
        <a:xfrm>
          <a:off x="723900" y="1695450"/>
          <a:ext cx="895350" cy="891188"/>
        </a:xfrm>
        <a:prstGeom prst="rect">
          <a:avLst/>
        </a:prstGeom>
      </xdr:spPr>
    </xdr:pic>
    <xdr:clientData/>
  </xdr:twoCellAnchor>
  <xdr:twoCellAnchor editAs="oneCell">
    <xdr:from>
      <xdr:col>1</xdr:col>
      <xdr:colOff>377825</xdr:colOff>
      <xdr:row>3</xdr:row>
      <xdr:rowOff>196850</xdr:rowOff>
    </xdr:from>
    <xdr:to>
      <xdr:col>1</xdr:col>
      <xdr:colOff>1778000</xdr:colOff>
      <xdr:row>3</xdr:row>
      <xdr:rowOff>977900</xdr:rowOff>
    </xdr:to>
    <xdr:pic>
      <xdr:nvPicPr>
        <xdr:cNvPr id="6" name="Picture 6">
          <a:extLst>
            <a:ext uri="{FF2B5EF4-FFF2-40B4-BE49-F238E27FC236}">
              <a16:creationId xmlns:a16="http://schemas.microsoft.com/office/drawing/2014/main" id="{28FC3B07-9619-E750-A34A-52352453E08F}"/>
            </a:ext>
            <a:ext uri="{147F2762-F138-4A5C-976F-8EAC2B608ADB}">
              <a16:predDERef xmlns:a16="http://schemas.microsoft.com/office/drawing/2014/main" pred="{E67BE166-30B7-9CB7-23B7-F80410E552EE}"/>
            </a:ext>
          </a:extLst>
        </xdr:cNvPr>
        <xdr:cNvPicPr>
          <a:picLocks noChangeAspect="1"/>
        </xdr:cNvPicPr>
      </xdr:nvPicPr>
      <xdr:blipFill>
        <a:blip xmlns:r="http://schemas.openxmlformats.org/officeDocument/2006/relationships" r:embed="rId5"/>
        <a:stretch>
          <a:fillRect/>
        </a:stretch>
      </xdr:blipFill>
      <xdr:spPr>
        <a:xfrm>
          <a:off x="415925" y="2876550"/>
          <a:ext cx="1400175" cy="781050"/>
        </a:xfrm>
        <a:prstGeom prst="rect">
          <a:avLst/>
        </a:prstGeom>
      </xdr:spPr>
    </xdr:pic>
    <xdr:clientData/>
  </xdr:twoCellAnchor>
  <xdr:twoCellAnchor editAs="oneCell">
    <xdr:from>
      <xdr:col>1</xdr:col>
      <xdr:colOff>311150</xdr:colOff>
      <xdr:row>4</xdr:row>
      <xdr:rowOff>206375</xdr:rowOff>
    </xdr:from>
    <xdr:to>
      <xdr:col>1</xdr:col>
      <xdr:colOff>1720850</xdr:colOff>
      <xdr:row>4</xdr:row>
      <xdr:rowOff>1006475</xdr:rowOff>
    </xdr:to>
    <xdr:pic>
      <xdr:nvPicPr>
        <xdr:cNvPr id="5" name="Picture 7">
          <a:extLst>
            <a:ext uri="{FF2B5EF4-FFF2-40B4-BE49-F238E27FC236}">
              <a16:creationId xmlns:a16="http://schemas.microsoft.com/office/drawing/2014/main" id="{A88C651C-FC37-7AA7-09CC-DA6411E6550A}"/>
            </a:ext>
            <a:ext uri="{147F2762-F138-4A5C-976F-8EAC2B608ADB}">
              <a16:predDERef xmlns:a16="http://schemas.microsoft.com/office/drawing/2014/main" pred="{28FC3B07-9619-E750-A34A-52352453E08F}"/>
            </a:ext>
          </a:extLst>
        </xdr:cNvPr>
        <xdr:cNvPicPr>
          <a:picLocks noChangeAspect="1"/>
        </xdr:cNvPicPr>
      </xdr:nvPicPr>
      <xdr:blipFill>
        <a:blip xmlns:r="http://schemas.openxmlformats.org/officeDocument/2006/relationships" r:embed="rId6"/>
        <a:stretch>
          <a:fillRect/>
        </a:stretch>
      </xdr:blipFill>
      <xdr:spPr>
        <a:xfrm>
          <a:off x="349250" y="3990975"/>
          <a:ext cx="1409700" cy="800100"/>
        </a:xfrm>
        <a:prstGeom prst="rect">
          <a:avLst/>
        </a:prstGeom>
      </xdr:spPr>
    </xdr:pic>
    <xdr:clientData/>
  </xdr:twoCellAnchor>
  <xdr:twoCellAnchor editAs="oneCell">
    <xdr:from>
      <xdr:col>1</xdr:col>
      <xdr:colOff>377825</xdr:colOff>
      <xdr:row>5</xdr:row>
      <xdr:rowOff>266700</xdr:rowOff>
    </xdr:from>
    <xdr:to>
      <xdr:col>1</xdr:col>
      <xdr:colOff>1577975</xdr:colOff>
      <xdr:row>5</xdr:row>
      <xdr:rowOff>1123950</xdr:rowOff>
    </xdr:to>
    <xdr:pic>
      <xdr:nvPicPr>
        <xdr:cNvPr id="4" name="Picture 8">
          <a:extLst>
            <a:ext uri="{FF2B5EF4-FFF2-40B4-BE49-F238E27FC236}">
              <a16:creationId xmlns:a16="http://schemas.microsoft.com/office/drawing/2014/main" id="{F34D6516-3143-6193-FA1F-DFBF6302A53B}"/>
            </a:ext>
            <a:ext uri="{147F2762-F138-4A5C-976F-8EAC2B608ADB}">
              <a16:predDERef xmlns:a16="http://schemas.microsoft.com/office/drawing/2014/main" pred="{A88C651C-FC37-7AA7-09CC-DA6411E6550A}"/>
            </a:ext>
          </a:extLst>
        </xdr:cNvPr>
        <xdr:cNvPicPr>
          <a:picLocks noChangeAspect="1"/>
        </xdr:cNvPicPr>
      </xdr:nvPicPr>
      <xdr:blipFill>
        <a:blip xmlns:r="http://schemas.openxmlformats.org/officeDocument/2006/relationships" r:embed="rId7"/>
        <a:stretch>
          <a:fillRect/>
        </a:stretch>
      </xdr:blipFill>
      <xdr:spPr>
        <a:xfrm>
          <a:off x="415925" y="5181600"/>
          <a:ext cx="1200150" cy="857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18</xdr:col>
      <xdr:colOff>262618</xdr:colOff>
      <xdr:row>1</xdr:row>
      <xdr:rowOff>112145</xdr:rowOff>
    </xdr:from>
    <xdr:to>
      <xdr:col>22</xdr:col>
      <xdr:colOff>953521</xdr:colOff>
      <xdr:row>7</xdr:row>
      <xdr:rowOff>204220</xdr:rowOff>
    </xdr:to>
    <xdr:graphicFrame macro="">
      <xdr:nvGraphicFramePr>
        <xdr:cNvPr id="310" name="Gráfico 8">
          <a:extLst>
            <a:ext uri="{FF2B5EF4-FFF2-40B4-BE49-F238E27FC236}">
              <a16:creationId xmlns:a16="http://schemas.microsoft.com/office/drawing/2014/main" id="{834A8E00-B31D-EC7A-4166-66F40E641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281667</xdr:colOff>
      <xdr:row>8</xdr:row>
      <xdr:rowOff>95703</xdr:rowOff>
    </xdr:from>
    <xdr:to>
      <xdr:col>22</xdr:col>
      <xdr:colOff>967127</xdr:colOff>
      <xdr:row>13</xdr:row>
      <xdr:rowOff>87766</xdr:rowOff>
    </xdr:to>
    <xdr:graphicFrame macro="">
      <xdr:nvGraphicFramePr>
        <xdr:cNvPr id="301" name="Gráfico 9">
          <a:extLst>
            <a:ext uri="{FF2B5EF4-FFF2-40B4-BE49-F238E27FC236}">
              <a16:creationId xmlns:a16="http://schemas.microsoft.com/office/drawing/2014/main" id="{CF12CB32-795F-7528-355F-ABE1EF8A5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294254</xdr:colOff>
      <xdr:row>14</xdr:row>
      <xdr:rowOff>50688</xdr:rowOff>
    </xdr:from>
    <xdr:to>
      <xdr:col>22</xdr:col>
      <xdr:colOff>979714</xdr:colOff>
      <xdr:row>20</xdr:row>
      <xdr:rowOff>134825</xdr:rowOff>
    </xdr:to>
    <xdr:graphicFrame macro="">
      <xdr:nvGraphicFramePr>
        <xdr:cNvPr id="284" name="Gráfico 10">
          <a:extLst>
            <a:ext uri="{FF2B5EF4-FFF2-40B4-BE49-F238E27FC236}">
              <a16:creationId xmlns:a16="http://schemas.microsoft.com/office/drawing/2014/main" id="{E53AAB4F-BCF1-AFDB-6C67-D6DB06F29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283368</xdr:colOff>
      <xdr:row>21</xdr:row>
      <xdr:rowOff>141743</xdr:rowOff>
    </xdr:from>
    <xdr:to>
      <xdr:col>22</xdr:col>
      <xdr:colOff>968828</xdr:colOff>
      <xdr:row>29</xdr:row>
      <xdr:rowOff>29030</xdr:rowOff>
    </xdr:to>
    <xdr:graphicFrame macro="">
      <xdr:nvGraphicFramePr>
        <xdr:cNvPr id="271" name="Gráfico 11">
          <a:extLst>
            <a:ext uri="{FF2B5EF4-FFF2-40B4-BE49-F238E27FC236}">
              <a16:creationId xmlns:a16="http://schemas.microsoft.com/office/drawing/2014/main" id="{278A061F-1821-F77F-C4FB-83DCDAE48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abri/Desktop/ISEG/Lisbon%20Investment%20Society/Head%20ER/Assumptions%20sheet-%20Dami&#227;o.xlsx" TargetMode="External"/><Relationship Id="rId1" Type="http://schemas.openxmlformats.org/officeDocument/2006/relationships/externalLinkPath" Target="file:///C:/Users/gabri/Desktop/ISEG/Lisbon%20Investment%20Society/Head%20ER/Assumptions%20sheet-%20Dami&#227;o.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phdisegutl.sharepoint.com/sites/LIS-GENERAL-SecuritiesResearch/Shared%20Documents/Securities%20Research/One%20Pagers/Tech%20-%20TL%20Vasco%20Afonso/Uber/OP%20-%20Uber.xlsx" TargetMode="External"/><Relationship Id="rId1" Type="http://schemas.openxmlformats.org/officeDocument/2006/relationships/externalLinkPath" Target="/sites/LIS-GENERAL-SecuritiesResearch/Shared%20Documents/Securities%20Research/One%20Pagers/Tech%20-%20TL%20Vasco%20Afonso/Uber/OP%20-%20Ub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Segments"/>
      <sheetName val="Acuerdo"/>
      <sheetName val="Peers"/>
      <sheetName val="ESG"/>
      <sheetName val="DCF"/>
      <sheetName val="Assum."/>
      <sheetName val="Fin. Data"/>
      <sheetName val="Fin. Data (Common Size)"/>
      <sheetName val="Inputs"/>
      <sheetName val="Sector Imp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Segments"/>
      <sheetName val="Acuerdo"/>
      <sheetName val="Peers"/>
      <sheetName val="ESG"/>
      <sheetName val="DCF"/>
      <sheetName val="Assumptions"/>
      <sheetName val="Fin. Data"/>
      <sheetName val="Fin. Data (Common Size)"/>
      <sheetName val="Inputs"/>
      <sheetName val="Growth Industry Averages"/>
      <sheetName val="Sector Impact"/>
      <sheetName val="Industry Avera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Set>
  </externalBook>
</externalLink>
</file>

<file path=xl/persons/person.xml><?xml version="1.0" encoding="utf-8"?>
<personList xmlns="http://schemas.microsoft.com/office/spreadsheetml/2018/threadedcomments" xmlns:x="http://schemas.openxmlformats.org/spreadsheetml/2006/main">
  <person displayName="DAVID FILIPE DE SOUSA TITA" id="{6D2C5BD9-1C3E-4972-9F97-1CA81A3CC14E}" userId="S::david.tita@aln.iseg.ulisboa.pt::2b554b1a-dfdf-4fc2-8414-05963e9f059c" providerId="AD"/>
  <person displayName="VASCO MARIA LORENZO DA SILVA BOTELHO AFONSO" id="{D226A62A-8C5F-3C43-A50B-7125DB0B8BC2}" userId="S::vascoafonso@aln.iseg.ulisboa.pt::bf69b550-7f67-43ba-9b86-a5be0f9d539a"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2">
  <rv s="0">
    <v>12</v>
    <v>Description</v>
    <v>0</v>
  </rv>
  <rv s="0">
    <v>12</v>
    <v>price</v>
    <v>0</v>
  </rv>
  <rv s="0">
    <v>12</v>
    <v>Shares outstanding</v>
    <v>0</v>
  </rv>
  <rv s="1">
    <v>12</v>
    <v>1</v>
  </rv>
  <rv s="2">
    <v>http://en.wikipedia.org/wiki/Public_domain</v>
    <v>Public domain</v>
  </rv>
  <rv s="2">
    <v>https://en.wikipedia.org/wiki/Microsoft</v>
    <v>Wikipedia</v>
  </rv>
  <rv s="3">
    <v>4</v>
    <v>5</v>
  </rv>
  <rv s="4">
    <v>7</v>
    <v>https://www.bing.com/th?id=AMMS_e6e837c7bf3a77408619758b7447855a&amp;qlt=95</v>
    <v>6</v>
    <v>0</v>
    <v>https://www.bing.com/images/search?form=xlimg&amp;q=microsoft</v>
    <v>Image of MICROSOFT CORPORATION</v>
  </rv>
  <rv s="2">
    <v>https://www.bing.com/financeapi/forcetrigger?t=a1xzim&amp;q=XNAS%3aMSFT&amp;form=skydnc</v>
    <v>Learn more on Bing</v>
  </rv>
  <rv s="5">
    <v>0</v>
    <v>1</v>
    <v>MICROSOFT CORPORATION (XNAS:MSFT)</v>
    <v>4</v>
    <v>5</v>
    <v>Finance</v>
    <v>6</v>
    <v>pt-BR</v>
    <v>a1xzim</v>
    <v>268435456</v>
    <v>1</v>
    <v>0</v>
    <v>Da plataforma Refinitiv</v>
    <v>366.78</v>
    <v>213.43100000000001</v>
    <v>XNAS</v>
    <v>7429764000</v>
    <v>321.39</v>
    <v>1993</v>
    <v>311.99</v>
    <v>0.89970000000000006</v>
    <v>Nasdaq Stock Market</v>
    <v>2323881583920</v>
    <v>A MICROSOFT CORPORATION é uma empresa de tecnologia. A Empresa desenvolve, licencia e oferece suporte a uma gama de produtos de software, serviços e dispositivos. Seus segmentos são Produtividade e Processos de Negócio, Nuvem Inteligente e Outras Soluções de Computação Pessoal. Seus produtos incluem sistemas operacionais; aplicativos de produtividade de dispositivos cruzados; aplicativos de servidor; aplicativos de soluções de negócio; ferramentas de gerenciamento de desktop e servidor; ferramentas de desenvolvimento de software; videojogos, e treinamento e certificação de integradores e desenvolvedores de sistemas de computador. Ela também projeta, fabrica e vende dispositivos, incluindo computadores pessoais, tablets, consoles para jogos e entretenimento, telefones, outros dispositivos inteligentes e acessórios relacionados, que se integram com suas ofertas baseadas em nuvem. Ela oferece uma variedade de serviços, incluindo soluções baseadas em nuvem, que fornecem aos clientes software, serviços, plataformas e conteúdo, além de oferecer serviços de suporte e consultoria de soluções. Ela também oferece publicidade online.</v>
    <v>XNAS</v>
    <v>321.8</v>
    <v>221000</v>
    <v>45202.788050196097</v>
    <v>7</v>
    <v>8</v>
    <v>20522599</v>
    <v>USD</v>
    <v>MICROSOFT CORPORATION</v>
    <v>MICROSOFT CORPORATION</v>
    <v>33.227699999999999</v>
    <v>320.89999999999998</v>
    <v>312.77999999999997</v>
    <v>One Microsoft Way, REDMOND, WA, 98052-6399 US</v>
    <v>Software &amp; IT Services</v>
    <v>MSFT</v>
    <v>Ações</v>
    <v>MICROSOFT CORPORATION (XNAS:MSFT)</v>
    <v>-9.02</v>
    <v>-2.8029999999999999E-2</v>
    <v>13137932</v>
  </rv>
  <rv s="6">
    <v>9</v>
  </rv>
  <rv s="2">
    <v>https://www.bing.com/financeapi/forcetrigger?t=a22hh7&amp;q=XNYS%3aSAP&amp;form=skydnc</v>
    <v>Learn more on Bing</v>
  </rv>
  <rv s="7">
    <v>8</v>
    <v>9</v>
    <v>SAP SE (XNYS:SAP)</v>
    <v>10</v>
    <v>11</v>
    <v>Finance</v>
    <v>6</v>
    <v>pt-BR</v>
    <v>a22hh7</v>
    <v>268435456</v>
    <v>1</v>
    <v>0</v>
    <v>Da plataforma Refinitiv</v>
    <v>145.1</v>
    <v>86.295000000000002</v>
    <v>XNYS</v>
    <v>1228504000</v>
    <v>131.03</v>
    <v>2014</v>
    <v>128.43</v>
    <v>1.1649</v>
    <v>New York Stock Exchange</v>
    <v>158357600000</v>
    <v>A SAP SE (SAP) é uma empresa sediada na Alemanha que oferece software de aplicativos corporativos. A Companhia opera em três segmentos: segmento de Aplicativos, Tecnologia e Serviços, que atua na venda de licenças de software, assinaturas de seus aplicativos na nuvem e serviços relacionados, principalmente serviços de suporte e vários serviços profissionais e serviços de suporte, além de serviços de implementação de seus produtos de software e serviços de educação sobre o uso de seus produtos; o segmento SAP Business Network, que inclui suas redes e serviços de negócios colaborativos baseados na nuvem relacionados ao SAP Business Network, incluindo aplicativos em nuvem, serviços profissionais e serviços educacionais, bem como o mercado da Empresa e vende as ofertas em nuvem desenvolvidas pela SAP Ariba, SAP Fieldglass e Concur e o segmento Customer Experience, que inclui produtos locais e baseados em nuvem que executam funções de front office em toda a experiência do cliente.</v>
    <v>XNYS</v>
    <v>130.69999999999999</v>
    <v>105328</v>
    <v>45216.958333344533</v>
    <v>11</v>
    <v>950511</v>
    <v>USD</v>
    <v>SAP SE</v>
    <v>SAP SE</v>
    <v>58.9099</v>
    <v>128.80000000000001</v>
    <v>130.49</v>
    <v>Dietmar-Hopp-Allee 16, WALLDORF, BADEN-WUERTTEMBERG, 69190 DE</v>
    <v>Software &amp; IT Services</v>
    <v>SAP</v>
    <v>Ações</v>
    <v>SAP SE (XNYS:SAP)</v>
    <v>-0.21</v>
    <v>-1.6070000000000001E-3</v>
    <v>2044</v>
  </rv>
  <rv s="6">
    <v>12</v>
  </rv>
  <rv s="2">
    <v>http://pt.wikipedia.org/wiki/Oracle_Corporation</v>
    <v>Wikipedia</v>
  </rv>
  <rv s="3">
    <v>4</v>
    <v>14</v>
  </rv>
  <rv s="4">
    <v>7</v>
    <v>https://www.bing.com/th?id=AMMS_672116c618c664d13b2515d6587ba357&amp;qlt=95</v>
    <v>15</v>
    <v>0</v>
    <v>https://www.bing.com/images/search?form=xlimg&amp;q=oracle+corporation</v>
    <v>Image of ORACLE CORPORATION</v>
  </rv>
  <rv s="2">
    <v>https://www.bing.com/financeapi/forcetrigger?t=a1zbec&amp;q=XNYS%3aORCL&amp;form=skydnc</v>
    <v>Learn more on Bing</v>
  </rv>
  <rv s="5">
    <v>0</v>
    <v>1</v>
    <v>ORACLE CORPORATION (XNYS:ORCL)</v>
    <v>4</v>
    <v>5</v>
    <v>Finance</v>
    <v>6</v>
    <v>pt-BR</v>
    <v>a1zbec</v>
    <v>268435456</v>
    <v>1</v>
    <v>0</v>
    <v>Da plataforma Refinitiv</v>
    <v>127.54</v>
    <v>60.805</v>
    <v>XNYS</v>
    <v>2739376000</v>
    <v>106.5</v>
    <v>2005</v>
    <v>103.54</v>
    <v>1.0227999999999999</v>
    <v>New York Stock Exchange</v>
    <v>285442979200</v>
    <v>A Oracle Corporation (Oracle) fornece produtos e serviços que atendem a ambientes de tecnologia da informação empresarial. Os negócios da Empresa incluem nuvem e licença, hardware e serviços. Seus produtos e serviços incluem aplicativos e ofertas de infraestrutura que são entregues por meio de uma variedade de modelos de implantação de TI. Seus clientes incluem agências governamentais, instituições educacionais e revendedores. Usando as tecnologias Oracle, seus clientes criam, implantam, executam, gerenciam e dão suporte a seus produtos, serviços e operações comerciais internos e externos. Suas ofertas de Oracle Cloud Services incluem Oracle Software as a Service (SaaS) e infraestrutura Oracle como serviço (IaaS), que fornece uma pilha de aplicativos e serviços de infraestrutura fornecidos por meio de modelos de implantação baseados em nuvem. O Oracle Cloud Services integra o software, hardware e serviços em nome do cliente em um ambiente de TI baseado em nuvem.</v>
    <v>XNYS</v>
    <v>106.71</v>
    <v>164000</v>
    <v>45202.788142638281</v>
    <v>16</v>
    <v>17</v>
    <v>13826669</v>
    <v>USD</v>
    <v>ORACLE CORPORATION</v>
    <v>ORACLE CORPORATION</v>
    <v>31.7346</v>
    <v>105.98</v>
    <v>104.2</v>
    <v>2300 Oracle Way, AUSTIN, TX, 78741 US</v>
    <v>Software &amp; IT Services</v>
    <v>ORCL</v>
    <v>Ações</v>
    <v>ORACLE CORPORATION (XNYS:ORCL)</v>
    <v>-2.5099999999999998</v>
    <v>-2.3521999999999998E-2</v>
    <v>5210424</v>
  </rv>
  <rv s="6">
    <v>18</v>
  </rv>
  <rv s="2">
    <v>http://es.wikipedia.org/wiki/Adobe_(empresa)</v>
    <v>Wikipedia</v>
  </rv>
  <rv s="3">
    <v>4</v>
    <v>20</v>
  </rv>
  <rv s="4">
    <v>7</v>
    <v>https://www.bing.com/th?id=AMMS_503c684ccc667ad525fe1d703881df2c&amp;qlt=95</v>
    <v>21</v>
    <v>0</v>
    <v>https://www.bing.com/images/search?form=xlimg&amp;q=adobe+systems</v>
    <v>Image of ADOBE INC.</v>
  </rv>
  <rv s="2">
    <v>https://www.bing.com/financeapi/forcetrigger?t=bpxbar&amp;q=BVMF%3aADBE34&amp;form=skydnc</v>
    <v>Learn more on Bing</v>
  </rv>
  <rv s="8">
    <v>12</v>
    <v>13</v>
    <v>ADOBE INC. (BVMF:ADBE34)</v>
    <v>4</v>
    <v>14</v>
    <v>Finance</v>
    <v>15</v>
    <v>pt-BR</v>
    <v>bpxbar</v>
    <v>268435456</v>
    <v>1</v>
    <v>0</v>
    <v>Da plataforma Refinitiv</v>
    <v>57</v>
    <v>28.12</v>
    <v>BVMF</v>
    <v>455300000</v>
    <v>52.75</v>
    <v>1997</v>
    <v>52.03</v>
    <v>1.3371999999999999</v>
    <v>B3 - Brazil Stock Exchange</v>
    <v>237270500000</v>
    <v>A Adobe Systems Incorporated fornece software de design gráfico, publicação e imagem para impressão, Web e produção de vídeo. Seus clientes incluem profissionais criativos, como designers gráficos, web designers, cinegrafistas, fotógrafos e editores profissionais, usuários corporativos, como gerentes de tecnologia da informação (TI), a linha de gerentes e executivos de negócios e consumidores, como entusiastas e entusiastas de imagem digital e vídeo digital. A Abode categoriza seus produtos em quatro segmentos de negócios: Imagem e Vídeo Digital, Creative Professional, Documentos Inteligentes e Original Equipment Manufacturers (OEM) PostScript e Outros. Em 3 de dezembro de 2005, a Companhia concluiu a aquisição da Macromedia, Inc. Em 21 de abril de 2006, a empresa adquiriu a Trade and Technologies France. Em outubro de 2006, a Companhia adquiriu a Serious Magic Inc., fabricante de software de vídeo para os mercados de negócios, consumo e educação.</v>
    <v>BVMF</v>
    <v>52.75</v>
    <v>29239</v>
    <v>45202.777754629627</v>
    <v>22</v>
    <v>23</v>
    <v>3461670</v>
    <v>BRL</v>
    <v>ADOBE INC.</v>
    <v>ADOBE INC.</v>
    <v>52.75</v>
    <v>52.03</v>
    <v>345 PARK AVE, SAN JOSE, CA, 95110-2704 US</v>
    <v>Software &amp; IT Services</v>
    <v>ADBE34</v>
    <v>Ações</v>
    <v>ADOBE INC. (BVMF:ADBE34)</v>
    <v>-0.72</v>
    <v>-1.3649E-2</v>
    <v>1808</v>
  </rv>
  <rv s="6">
    <v>24</v>
  </rv>
  <rv s="2">
    <v>https://www.bing.com/financeapi/forcetrigger?t=c354tc&amp;q=BVMF%3aZ2EN34&amp;form=skydnc</v>
    <v>Learn more on Bing</v>
  </rv>
  <rv s="9">
    <v>16</v>
    <v>17</v>
    <v>ZENDESK, INC. (BVMF:Z2EN34)</v>
    <v>10</v>
    <v>18</v>
    <v>Finance</v>
    <v>15</v>
    <v>pt-BR</v>
    <v>c354tc</v>
    <v>268435456</v>
    <v>1</v>
    <v>0</v>
    <v>Da plataforma Refinitiv</v>
    <v>42</v>
    <v>19.38</v>
    <v>BVMF</v>
    <v>27.55</v>
    <v>27.31</v>
    <v>B3 - Brazil Stock Exchange</v>
    <v>9623477000</v>
    <v>A Zendesk, Inc. é uma empresa de desenvolvimento de software que fornece soluções de software como serviço (SaaS). A Companhia oferece uma variedade de soluções de produtos, que incluem os Zendesk Support, Zendesk Chat, Zendesk Talk, Zendesk Guide, Zendesk Gather, Zendesk Explore, Zendesk Sell e Zendesk Apps. O Zendesk Support é um sistema para rastrear, priorizar e resolver tíquetes de suporte ao cliente em vários canais. O Zendesk Chat é um software de chat e mensagens ao vivo. O Zendesk Talk é um software de call center baseado em nuvem. O Zendesk Guide é uma base de conhecimento que potencializa o autoatendimento do cliente e a produtividade do agente de suporte. O Zendesk Gather é um software de fórum da comunidade. O Zendesk Explore fornece análises para que organizações avaliem e melhorem toda a experiência do cliente. O Zendesk Sell é uma solução de produto de gerenciamento de relacionamento com o cliente (GRC) de vendas. As plataformas da Companhia incluem as Zendesk Sunshine, Sunshine Conversations, Zendesk Sunshine Developer Tools, Zendesk Apps, Zendesk API e outros.</v>
    <v>BVMF</v>
    <v>27.04</v>
    <v>44886.867835648147</v>
    <v>26</v>
    <v>BRL</v>
    <v>ZENDESK, INC.</v>
    <v>ZENDESK, INC.</v>
    <v>27.55</v>
    <v>27.31</v>
    <v>989 Market Street, SAN FRANCISCO, CA, 94103 US</v>
    <v>Z2EN34</v>
    <v>Ações</v>
    <v>ZENDESK, INC. (BVMF:Z2EN34)</v>
    <v>0.27</v>
    <v>9.9850000000000008E-3</v>
    <v>16</v>
  </rv>
  <rv s="6">
    <v>27</v>
  </rv>
  <rv s="2">
    <v>https://www.bing.com/financeapi/forcetrigger?t=a1qc1h&amp;q=XNYS%3aCRM&amp;form=skydnc</v>
    <v>Learn more on Bing</v>
  </rv>
  <rv s="10">
    <v>19</v>
    <v>SALESFORCE, INC. (XNYS:CRM)</v>
    <v>10</v>
    <v>20</v>
    <v>Finance</v>
    <v>21</v>
    <v>en-GB</v>
    <v>a1qc1h</v>
    <v>268435456</v>
    <v>1</v>
    <v>0</v>
    <v>Powered by Refinitiv</v>
    <v>238.22</v>
    <v>126.34</v>
    <v>1.1785000000000001</v>
    <v>-4.8650000000000002</v>
    <v>-2.3882E-2</v>
    <v>USD</v>
    <v>Salesforce, Inc. is a provider of customer relationship management (CRM) technology. The Company's Customer 360 platform spans sales, service, marketing, commerce, collaboration, integration, artificial intelligence, analytics, automation, and others. It connects customer data across systems, applications and devices to create a complete view of customers. The Company also enables third parties to use its platform and developer tools to create additional functionality and applications that run on its platform. Its customers use its sales offering to store data, monitor leads and progress, forecast opportunities, gain insights through analytics and relationship intelligence and deliver quotes, contracts and invoices. Its service offering helps to connect its service agents with customers across any touchpoint. It helps customers to resolve routine issues with predictions and recommendations. It sells to businesses worldwide, primarily on a subscription basis.</v>
    <v>79390</v>
    <v>New York Stock Exchange</v>
    <v>XNYS</v>
    <v>XNYS</v>
    <v>SALESFORCE TOWER, 415 MISSION STREET 3RD FL, SAN FRANCISCO, CA, 94105 US</v>
    <v>203.565</v>
    <v>Software &amp; IT Services</v>
    <v>Stock</v>
    <v>45202.786865289061</v>
    <v>29</v>
    <v>197.42</v>
    <v>193476185000</v>
    <v>SALESFORCE, INC.</v>
    <v>SALESFORCE, INC.</v>
    <v>202.66</v>
    <v>127.5723</v>
    <v>203.71</v>
    <v>198.845</v>
    <v>973000000</v>
    <v>CRM</v>
    <v>SALESFORCE, INC. (XNYS:CRM)</v>
    <v>2476390</v>
    <v>5496369</v>
    <v>1999</v>
  </rv>
  <rv s="6">
    <v>30</v>
  </rv>
</rvData>
</file>

<file path=xl/richData/rdrichvaluestructure.xml><?xml version="1.0" encoding="utf-8"?>
<rvStructures xmlns="http://schemas.microsoft.com/office/spreadsheetml/2017/richdata" count="11">
  <s t="_error">
    <k n="errorType" t="i"/>
    <k n="field" t="s"/>
    <k n="subType" t="i"/>
  </s>
  <s t="_error">
    <k n="errorType" t="i"/>
    <k n="propagated" t="b"/>
  </s>
  <s t="_hyperlink">
    <k n="Address" t="s"/>
    <k n="Text" t="s"/>
  </s>
  <s t="_sourceattribution">
    <k n="License" t="r"/>
    <k n="Source" t="r"/>
  </s>
  <s t="_imageurl">
    <k n="_Provider" t="spb"/>
    <k n="Address" t="s"/>
    <k n="Attribution" t="r"/>
    <k n="ComputedImage" t="b"/>
    <k n="More Images Address" t="s"/>
    <k n="Text" t="s"/>
  </s>
  <s t="_linkedentitycore">
    <k n="_CanonicalPropertyNames" t="spb"/>
    <k n="_Display" t="spb"/>
    <k n="_DisplayString" t="s"/>
    <k n="_Flags" t="spb"/>
    <k n="_Format" t="spb"/>
    <k n="_Icon" t="s"/>
    <k n="_SubLabel" t="spb"/>
    <k n="%EntityCulture" t="s"/>
    <k n="%EntityId" t="s"/>
    <k n="%EntityServiceId"/>
    <k n="%IsRefreshable" t="b"/>
    <k n="%OutdatedReason" t="i"/>
    <k n="%ProviderInfo" t="s"/>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Imagem" t="r"/>
    <k n="LearnMoreOnLink" t="r"/>
    <k n="Média de volume"/>
    <k n="Moeda" t="s"/>
    <k n="Nome" t="s"/>
    <k n="Nome oficial" t="s"/>
    <k n="P/E"/>
    <k n="Pendência"/>
    <k n="Preço"/>
    <k n="Sede" t="s"/>
    <k n="Setor" t="s"/>
    <k n="Símbolo do ticker" t="s"/>
    <k n="Tipo de instrumento" t="s"/>
    <k n="UniqueName" t="s"/>
    <k n="Variação"/>
    <k n="Variação (%)"/>
    <k n="Volume"/>
  </s>
  <s t="_linkedentity">
    <k n="%cvi" t="r"/>
  </s>
  <s t="_linkedentitycore">
    <k n="_CanonicalPropertyNames" t="spb"/>
    <k n="_Display" t="spb"/>
    <k n="_DisplayString" t="s"/>
    <k n="_Flags" t="spb"/>
    <k n="_Format" t="spb"/>
    <k n="_Icon" t="s"/>
    <k n="_SubLabel" t="spb"/>
    <k n="%EntityCulture" t="s"/>
    <k n="%EntityId" t="s"/>
    <k n="%EntityServiceId"/>
    <k n="%IsRefreshable" t="b"/>
    <k n="%OutdatedReason" t="i"/>
    <k n="%ProviderInfo" t="s"/>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core">
    <k n="_CanonicalPropertyNames" t="spb"/>
    <k n="_Display" t="spb"/>
    <k n="_DisplayString" t="s"/>
    <k n="_Flags" t="spb"/>
    <k n="_Format" t="spb"/>
    <k n="_Icon" t="s"/>
    <k n="_SubLabel" t="spb"/>
    <k n="%EntityCulture" t="s"/>
    <k n="%EntityId" t="s"/>
    <k n="%EntityServiceId"/>
    <k n="%IsRefreshable" t="b"/>
    <k n="%OutdatedReason" t="i"/>
    <k n="%ProviderInfo" t="s"/>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Imagem" t="r"/>
    <k n="LearnMoreOnLink" t="r"/>
    <k n="Média de volume"/>
    <k n="Moeda" t="s"/>
    <k n="Nome" t="s"/>
    <k n="Nome oficial" t="s"/>
    <k n="Pendência"/>
    <k n="Preço"/>
    <k n="Sede" t="s"/>
    <k n="Setor" t="s"/>
    <k n="Símbolo do ticker" t="s"/>
    <k n="Tipo de instrumento" t="s"/>
    <k n="UniqueName" t="s"/>
    <k n="Variação"/>
    <k n="Variação (%)"/>
    <k n="Volume"/>
  </s>
  <s t="_linkedentitycore">
    <k n="_CanonicalPropertyNames" t="spb"/>
    <k n="_Display" t="spb"/>
    <k n="_DisplayString" t="s"/>
    <k n="_Flags" t="spb"/>
    <k n="_Format" t="spb"/>
    <k n="_Icon" t="s"/>
    <k n="_SubLabel" t="spb"/>
    <k n="%EntityCulture" t="s"/>
    <k n="%EntityId" t="s"/>
    <k n="%EntityServiceId"/>
    <k n="%IsRefreshable" t="b"/>
    <k n="%OutdatedReason" t="i"/>
    <k n="%ProviderInfo" t="s"/>
    <k n="52 semanas de alta"/>
    <k n="52 semanas de baixa"/>
    <k n="Abreviatura do câmbio" t="s"/>
    <k n="Alto"/>
    <k n="Baixo"/>
    <k n="Bolsa" t="s"/>
    <k n="Capitalização de mercado"/>
    <k n="Descrição" t="s"/>
    <k n="ExchangeID" t="s"/>
    <k n="Fechamento anterior"/>
    <k n="Hora da última transação"/>
    <k n="LearnMoreOnLink" t="r"/>
    <k n="Moeda" t="s"/>
    <k n="Nome" t="s"/>
    <k n="Nome oficial" t="s"/>
    <k n="Pendência"/>
    <k n="Preço"/>
    <k n="Sede" t="s"/>
    <k n="Símbolo do ticker" t="s"/>
    <k n="Tipo de instrumento" t="s"/>
    <k n="UniqueName" t="s"/>
    <k n="Variação"/>
    <k n="Variação (%)"/>
    <k n="Volume"/>
  </s>
  <s t="_linkedentitycore">
    <k n="_Display" t="spb"/>
    <k n="_DisplayString" t="s"/>
    <k n="_Flags" t="spb"/>
    <k n="_Format" t="spb"/>
    <k n="_Icon" t="s"/>
    <k n="_SubLabel" t="spb"/>
    <k n="%EntityCulture" t="s"/>
    <k n="%EntityId" t="s"/>
    <k n="%EntityServiceId"/>
    <k n="%IsRefreshable" t="b"/>
    <k n="%OutdatedReason" t="i"/>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5">
    <a count="45">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Imagem</v>
      <v t="s">ExchangeID</v>
      <v t="s">%ProviderInfo</v>
      <v t="s">%OutdatedReason</v>
    </a>
    <a count="44">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v t="s">%OutdatedReason</v>
    </a>
    <a count="44">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Ações em circulação</v>
      <v t="s">Descrição</v>
      <v t="s">Funcionários</v>
      <v t="s">Sede</v>
      <v t="s">Setor</v>
      <v t="s">Tipo de instrumento</v>
      <v t="s">Ano de incorporação</v>
      <v t="s">_Flags</v>
      <v t="s">UniqueName</v>
      <v t="s">_DisplayString</v>
      <v t="s">LearnMoreOnLink</v>
      <v t="s">Imagem</v>
      <v t="s">ExchangeID</v>
      <v t="s">%ProviderInfo</v>
      <v t="s">%OutdatedReason</v>
    </a>
    <a count="37">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Capitalização de mercado</v>
      <v t="s">Descrição</v>
      <v t="s">Sede</v>
      <v t="s">Tipo de instrumento</v>
      <v t="s">_Flags</v>
      <v t="s">UniqueName</v>
      <v t="s">_DisplayString</v>
      <v t="s">LearnMoreOnLink</v>
      <v t="s">ExchangeID</v>
      <v t="s">%ProviderInfo</v>
      <v t="s">%OutdatedReason</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%OutdatedReason</v>
    </a>
  </spbArrays>
  <spbData count="22">
    <spb s="0">
      <v>P/E</v>
      <v>High</v>
      <v>Beta</v>
      <v>Name</v>
      <v>Headquarters</v>
      <v>Low</v>
      <v>Exchange</v>
      <v>Currency</v>
      <v>Price</v>
      <v>Industry</v>
      <v>Image</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0</v>
      <v>Name</v>
      <v>LearnMoreOnLink</v>
    </spb>
    <spb s="2">
      <v>0</v>
      <v>0</v>
    </spb>
    <spb s="3">
      <v>0</v>
      <v>0</v>
      <v>0</v>
    </spb>
    <spb s="4">
      <v>2</v>
      <v>3</v>
      <v>3</v>
      <v>3</v>
      <v>3</v>
    </spb>
    <spb s="5">
      <v>1</v>
      <v>2</v>
      <v>1</v>
      <v>3</v>
      <v>2</v>
      <v>2</v>
      <v>4</v>
      <v>5</v>
      <v>2</v>
      <v>2</v>
      <v>5</v>
      <v>6</v>
      <v>5</v>
      <v>7</v>
      <v>2</v>
      <v>2</v>
      <v>8</v>
      <v>5</v>
      <v>2</v>
      <v>9</v>
      <v>10</v>
    </spb>
    <spb s="6">
      <v>Tempo Real Nasdaq Última venda</v>
      <v xml:space="preserve">do fechamento anterior </v>
      <v>Origem : Nasdaq Última venda</v>
      <v xml:space="preserve">do fechamento anterior </v>
      <v>GMT</v>
    </spb>
    <spb s="7">
      <v>Da plataforma Refinitiv</v>
    </spb>
    <spb s="8">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1</v>
      <v>Name</v>
      <v>LearnMoreOnLink</v>
    </spb>
    <spb s="9">
      <v>3</v>
      <v>3</v>
      <v>3</v>
      <v>3</v>
    </spb>
    <spb s="10">
      <v>1</v>
      <v>2</v>
      <v>1</v>
      <v>3</v>
      <v>2</v>
      <v>2</v>
      <v>5</v>
      <v>2</v>
      <v>2</v>
      <v>5</v>
      <v>6</v>
      <v>5</v>
      <v>7</v>
      <v>2</v>
      <v>2</v>
      <v>8</v>
      <v>5</v>
      <v>2</v>
      <v>9</v>
      <v>10</v>
    </spb>
    <spb s="11">
      <v>High</v>
      <v>Beta</v>
      <v>Name</v>
      <v>Headquarters</v>
      <v>Low</v>
      <v>Exchange</v>
      <v>Currency</v>
      <v>Price</v>
      <v>Industry</v>
      <v>Image</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2</v>
      <v>Name</v>
      <v>LearnMoreOnLink</v>
    </spb>
    <spb s="12">
      <v>11</v>
      <v>1</v>
      <v>3</v>
      <v>11</v>
      <v>11</v>
      <v>4</v>
      <v>5</v>
      <v>11</v>
      <v>11</v>
      <v>5</v>
      <v>6</v>
      <v>5</v>
      <v>7</v>
      <v>11</v>
      <v>11</v>
      <v>8</v>
      <v>5</v>
      <v>11</v>
      <v>9</v>
      <v>10</v>
    </spb>
    <spb s="13">
      <v>Atraso de 30 minutos</v>
      <v xml:space="preserve">do fechamento anterior </v>
      <v xml:space="preserve">do fechamento anterior </v>
      <v>GMT</v>
    </spb>
    <spb s="14">
      <v>High</v>
      <v>Name</v>
      <v>Headquarters</v>
      <v>Low</v>
      <v>Exchange</v>
      <v>Currency</v>
      <v>Price</v>
      <v>Volume</v>
      <v>Change</v>
      <v>Description</v>
      <v>Open</v>
      <v>ExchangeID</v>
      <v>UniqueName</v>
      <v>Official name</v>
      <v>Change (%)</v>
      <v>%ProviderInfo</v>
      <v>LearnMoreOnLink</v>
      <v>Ticker symbol</v>
      <v>52 week high</v>
      <v>52 week low</v>
      <v>Previous close</v>
      <v>Instrument type</v>
      <v>Exchange abbreviation</v>
      <v>Market cap</v>
      <v>Last trade time</v>
    </spb>
    <spb s="1">
      <v>3</v>
      <v>Name</v>
      <v>LearnMoreOnLink</v>
    </spb>
    <spb s="15">
      <v>11</v>
      <v>3</v>
      <v>11</v>
      <v>11</v>
      <v>5</v>
      <v>11</v>
      <v>11</v>
      <v>6</v>
      <v>7</v>
      <v>11</v>
      <v>11</v>
      <v>11</v>
      <v>9</v>
      <v>10</v>
    </spb>
    <spb s="1">
      <v>4</v>
      <v>Name</v>
      <v>LearnMoreOnLink</v>
    </spb>
    <spb s="16">
      <v>2</v>
      <v>1</v>
      <v>1</v>
      <v>2</v>
      <v>3</v>
      <v>2</v>
      <v>2</v>
      <v>2</v>
      <v>5</v>
      <v>5</v>
      <v>6</v>
      <v>9</v>
      <v>2</v>
      <v>2</v>
      <v>2</v>
      <v>5</v>
      <v>10</v>
      <v>8</v>
      <v>7</v>
      <v>5</v>
    </spb>
    <spb s="17">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18">
  <s>
    <k n="P/E" t="s"/>
    <k n="Alto" t="s"/>
    <k n="Beta" t="s"/>
    <k n="Nome" t="s"/>
    <k n="Sede" t="s"/>
    <k n="Baixo" t="s"/>
    <k n="Bolsa" t="s"/>
    <k n="Moeda" t="s"/>
    <k n="Preço" t="s"/>
    <k n="Setor" t="s"/>
    <k n="Imagem"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k n="SubTitleProperty" t="s"/>
  </s>
  <s>
    <k n="ShowInDotNotation" t="b"/>
    <k n="ShowInAutoComplete" t="b"/>
  </s>
  <s>
    <k n="ShowInCardView" t="b"/>
    <k n="ShowInDotNotation" t="b"/>
    <k n="ShowInAutoComplete" t="b"/>
  </s>
  <s>
    <k n="Imagem" t="spb"/>
    <k n="ExchangeID" t="spb"/>
    <k n="UniqueName" t="spb"/>
    <k n="`%ProviderInfo" t="spb"/>
    <k n="LearnMoreOnLink" t="spb"/>
  </s>
  <s>
    <k n="P/E" t="i"/>
    <k n="Alto" t="i"/>
    <k n="Beta" t="i"/>
    <k n="Nome" t="i"/>
    <k n="Baixo" t="i"/>
    <k n="Preço" t="i"/>
    <k n="Imagem"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
    <k n="name" t="s"/>
  </s>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ExchangeID" t="spb"/>
    <k n="UniqueName" t="spb"/>
    <k n="`%ProviderInfo" t="spb"/>
    <k n="LearnMoreOnLink" t="spb"/>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Alto" t="s"/>
    <k n="Beta" t="s"/>
    <k n="Nome" t="s"/>
    <k n="Sede" t="s"/>
    <k n="Baixo" t="s"/>
    <k n="Bolsa" t="s"/>
    <k n="Moeda" t="s"/>
    <k n="Preço" t="s"/>
    <k n="Setor" t="s"/>
    <k n="Imagem"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Alto" t="i"/>
    <k n="Beta" t="i"/>
    <k n="Nome" t="i"/>
    <k n="Baixo" t="i"/>
    <k n="Preço" t="i"/>
    <k n="Imagem"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Variação (%)" t="s"/>
    <k n="Hora da última transação" t="s"/>
  </s>
  <s>
    <k n="Alto" t="s"/>
    <k n="Nome" t="s"/>
    <k n="Sede" t="s"/>
    <k n="Baixo" t="s"/>
    <k n="Bolsa" t="s"/>
    <k n="Moeda" t="s"/>
    <k n="Preço" t="s"/>
    <k n="Volume" t="s"/>
    <k n="Variação" t="s"/>
    <k n="Descrição" t="s"/>
    <k n="Pendência" t="s"/>
    <k n="ExchangeID" t="s"/>
    <k n="UniqueName" t="s"/>
    <k n="Nome oficial" t="s"/>
    <k n="Variação (%)" t="s"/>
    <k n="%ProviderInfo" t="s"/>
    <k n="LearnMoreOnLink" t="s"/>
    <k n="Símbolo do ticker" t="s"/>
    <k n="52 semanas de alta" t="s"/>
    <k n="52 semanas de baixa" t="s"/>
    <k n="Fechamento anterior" t="s"/>
    <k n="Tipo de instrumento" t="s"/>
    <k n="Abreviatura do câmbio" t="s"/>
    <k n="Capitalização de mercado" t="s"/>
    <k n="Hora da última transação" t="s"/>
  </s>
  <s>
    <k n="Alto" t="i"/>
    <k n="Nome" t="i"/>
    <k n="Baixo" t="i"/>
    <k n="Preço" t="i"/>
    <k n="Volume" t="i"/>
    <k n="Variação" t="i"/>
    <k n="Pendência" t="i"/>
    <k n="Variação (%)" t="i"/>
    <k n="`%EntityServiceId" t="i"/>
    <k n="52 semanas de alta" t="i"/>
    <k n="52 semanas de baixa" t="i"/>
    <k n="Fechamento anterior" t="i"/>
    <k n="Capitalização de mercado" t="i"/>
    <k n="Hora da última transação" t="i"/>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4" formatCode="#,##0.00"/>
    </x:dxf>
    <x:dxf>
      <x:numFmt numFmtId="3" formatCode="#,##0"/>
    </x:dxf>
    <x:dxf>
      <x:numFmt numFmtId="14" formatCode="0.00%"/>
    </x:dxf>
    <x:dxf>
      <x:numFmt numFmtId="2" formatCode="0.00"/>
    </x:dxf>
    <x:dxf>
      <x:numFmt numFmtId="1" formatCode="0"/>
    </x:dxf>
    <x:dxf>
      <x:numFmt numFmtId="27" formatCode="dd/mm/yyyy\ hh:mm"/>
    </x:dxf>
    <x:dxf>
      <x:numFmt numFmtId="0" formatCode="General"/>
    </x:dxf>
  </dxfs>
  <richProperties>
    <rPr n="NumberFormat" t="s"/>
    <rPr n="IsTitleField" t="b"/>
    <rPr n="IsHeroField" t="b"/>
  </richProperties>
  <richStyles>
    <rSty dxfid="0">
      <rpv i="0">#,##0.00</rpv>
    </rSty>
    <rSty dxfid="6">
      <rpv i="0">_([$$-en-US]* #,##0.00_);_([$$-en-US]* (#,##0.00);_([$$-en-US]* "-"??_);_(@_)</rpv>
    </rSty>
    <rSty>
      <rpv i="1">1</rpv>
    </rSty>
    <rSty>
      <rpv i="2">1</rpv>
    </rSty>
    <rSty dxfid="1">
      <rpv i="0">#,##0</rpv>
    </rSty>
    <rSty dxfid="2"/>
    <rSty dxfid="3">
      <rpv i="0">0.00</rpv>
    </rSty>
    <rSty dxfid="4">
      <rpv i="0">0</rpv>
    </rSty>
    <rSty dxfid="6">
      <rpv i="0">_([$$-en-US]* #,##0_);_([$$-en-US]* (#,##0);_([$$-en-US]* "-"_);_(@_)</rpv>
    </rSty>
    <rSty dxfid="5"/>
    <rSty dxfid="6">
      <rpv i="0">_-[$R$-pt-BR] * #,##0.00_-;-[$R$-pt-BR] * #,##0.00_-;_-[$R$-pt-BR] *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03D58C-C9F2-9B47-AD8F-CF306CB61C9A}" name="Table1" displayName="Table1" ref="A8:N104" totalsRowShown="0" headerRowDxfId="57" headerRowBorderDxfId="56" tableBorderDxfId="55" totalsRowBorderDxfId="54">
  <autoFilter ref="A8:N104" xr:uid="{F6AC0E90-5E3D-6544-8269-3F6DB595B0A7}">
    <filterColumn colId="0">
      <filters>
        <filter val="Software (Entertainment)"/>
        <filter val="Software (Internet)"/>
        <filter val="Software (System &amp; Application)"/>
      </filters>
    </filterColumn>
  </autoFilter>
  <tableColumns count="14">
    <tableColumn id="1" xr3:uid="{F53B4D9D-8107-0F42-A4EF-EABA829D18D1}" name="Industry name" dataDxfId="53"/>
    <tableColumn id="2" xr3:uid="{B78DF3CF-0062-FC41-8E5A-C4F8E738B21D}" name="Number of firms" dataDxfId="52"/>
    <tableColumn id="3" xr3:uid="{2EF7E9E9-E2B8-474F-AFF0-925AB94DE1FC}" name="  Dividends " dataDxfId="51"/>
    <tableColumn id="4" xr3:uid="{B66556EE-5C6F-304B-97B5-6D8A3CB8F7FF}" name=" Net Income " dataDxfId="50"/>
    <tableColumn id="5" xr3:uid="{0F310BF9-215B-204C-B0ED-A22D15BF4B94}" name="Payout" dataDxfId="49"/>
    <tableColumn id="6" xr3:uid="{9C3B6D5F-1443-2243-BEC8-C892009421F8}" name="Dividends + Buybacks" dataDxfId="48"/>
    <tableColumn id="7" xr3:uid="{BA9267CE-A3FF-F049-A89F-8C000883E8B8}" name="Cash Return as % of Net Income" dataDxfId="47"/>
    <tableColumn id="8" xr3:uid="{45EBCCE4-0EAA-EE4E-8BB3-02A22E4E298C}" name="Dividends + Buybacks - Stock Issuances" dataDxfId="46"/>
    <tableColumn id="9" xr3:uid="{F11A8518-A67B-0C43-9FF4-DB75E65AA339}" name="FCFE (before debt cash flows)" dataDxfId="45"/>
    <tableColumn id="10" xr3:uid="{E827CD4F-44A5-1349-9215-D6250CDB7660}" name="FCFE (after debt cash flows)" dataDxfId="44"/>
    <tableColumn id="11" xr3:uid="{810E3A6C-D915-7B42-8686-823B07BAB55E}" name="Net Cash Returned/FCFE (pre-debt)" dataDxfId="43"/>
    <tableColumn id="12" xr3:uid="{F5CD3C6F-3504-D841-B01F-23D025EE6632}" name="Net Cash Returned/FCFE (post-debt)" dataDxfId="42"/>
    <tableColumn id="13" xr3:uid="{B9E73267-C311-2D48-A862-A13EE96F9588}" name="Net Cash Returned/ Net Income" dataDxfId="41"/>
    <tableColumn id="14" xr3:uid="{5845F704-E938-3B40-808F-21BE89CE5845}" name="Cash/ Firm Value" dataDxfId="4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FFB97E-DF87-AA4A-B440-2873DAA44C50}" name="Table13" displayName="Table13" ref="A8:F104" totalsRowShown="0" dataDxfId="38" headerRowBorderDxfId="39" tableBorderDxfId="37">
  <autoFilter ref="A8:F104" xr:uid="{47F847EC-0454-1C48-B428-75CB4714DE17}"/>
  <tableColumns count="6">
    <tableColumn id="1" xr3:uid="{522760D5-A269-874B-BA72-C4FCD69FEF71}" name="Industry Name" dataDxfId="36"/>
    <tableColumn id="2" xr3:uid="{65E4CB8D-9345-E047-9E4D-7362A2BBD9ED}" name="Number of Firms" dataDxfId="35"/>
    <tableColumn id="3" xr3:uid="{B4F2CC87-886C-824B-BD9E-219E5E3790AD}" name="CAGR in Net Income- Last 5 years" dataDxfId="34"/>
    <tableColumn id="4" xr3:uid="{F1F5866B-481D-384C-8D89-6D286964C7E5}" name="CAGR in Revenues- Last 5 years" dataDxfId="33"/>
    <tableColumn id="5" xr3:uid="{AAD406AD-5E29-2641-96D2-DD71A78C051D}" name="Expected Growth in Revenues - Next 2 years" dataDxfId="32"/>
    <tableColumn id="6" xr3:uid="{5E497396-844E-C246-8E8A-F081E15F3BEF}" name="Expected Growth in EPS - Next 5 years" dataDxfId="31"/>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s>
</file>

<file path=xl/threadedComments/threadedComment2.xml><?xml version="1.0" encoding="utf-8"?>
<ThreadedComments xmlns="http://schemas.microsoft.com/office/spreadsheetml/2018/threadedcomments" xmlns:x="http://schemas.openxmlformats.org/spreadsheetml/2006/main">
  <threadedComment ref="C70" dT="2023-09-30T09:56:35.93" personId="{D226A62A-8C5F-3C43-A50B-7125DB0B8BC2}" id="{9ABC554C-7607-C64B-99A4-710CB19A6AE2}">
    <text xml:space="preserve">Repayments of Slack Convertible Notes, net of capped call proceeds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48E7B44-DAAC-D742-9643-19409AC0B1FA}">
  <we:reference id="wa104100404" version="3.0.0.1" store="en-GB" storeType="OMEX"/>
  <we:alternateReferences>
    <we:reference id="wa104100404" version="3.0.0.1" store="WA104100404" storeType="OMEX"/>
  </we:alternateReferences>
  <we:properties>
    <we:property name="UniqueID" value="&quot;20239181697653507648&quot;"/>
    <we:property name="exMWJyUH" value="&quot;&quot;"/>
  </we:properties>
  <we:bindings>
    <we:binding id="refEdit" type="matrix" appref="{CFD0DCD1-6B3D-764F-9AB9-B56E7D576543}"/>
    <we:binding id="Worker" type="matrix" appref="{4EE913DB-8A18-2047-BC32-1C7F291D37F0}"/>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statista.com/outlook/tmo/software/europe" TargetMode="External"/><Relationship Id="rId2" Type="http://schemas.openxmlformats.org/officeDocument/2006/relationships/hyperlink" Target="https://www.grandviewresearch.com/industry-analysis/sales-force-automation-software-market" TargetMode="External"/><Relationship Id="rId1" Type="http://schemas.openxmlformats.org/officeDocument/2006/relationships/hyperlink" Target="https://www.grandviewresearch.com/industry-analysis/software-market-repor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 Id="rId4" Type="http://schemas.microsoft.com/office/2017/10/relationships/threadedComment" Target="../threadedComments/threadedComment2.xml"/></Relationships>
</file>

<file path=xl/worksheets/_rels/sheet11.xml.rels><?xml version="1.0" encoding="UTF-8" standalone="yes"?>
<Relationships xmlns="http://schemas.openxmlformats.org/package/2006/relationships"><Relationship Id="rId3" Type="http://schemas.openxmlformats.org/officeDocument/2006/relationships/hyperlink" Target="http://www.stern.nyu.edu/~adamodar/New_Home_Page/data.html" TargetMode="Externa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6" Type="http://schemas.openxmlformats.org/officeDocument/2006/relationships/table" Target="../tables/table1.xm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www.stern.nyu.edu/~adamodar/New_Home_Page/data.html" TargetMode="Externa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6" Type="http://schemas.openxmlformats.org/officeDocument/2006/relationships/table" Target="../tables/table2.xm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S107"/>
  <sheetViews>
    <sheetView showGridLines="0" tabSelected="1" topLeftCell="A21" zoomScale="110" zoomScaleNormal="70" workbookViewId="0">
      <selection activeCell="B36" sqref="B36:G36"/>
    </sheetView>
  </sheetViews>
  <sheetFormatPr baseColWidth="10" defaultColWidth="11.5" defaultRowHeight="13"/>
  <cols>
    <col min="1" max="1" width="0.5" customWidth="1"/>
    <col min="2" max="2" width="21.1640625" bestFit="1" customWidth="1"/>
    <col min="3" max="3" width="23.5" customWidth="1"/>
    <col min="4" max="4" width="32" customWidth="1"/>
    <col min="5" max="5" width="20.5" bestFit="1" customWidth="1"/>
    <col min="6" max="6" width="17" bestFit="1" customWidth="1"/>
    <col min="7" max="7" width="13.5" bestFit="1" customWidth="1"/>
    <col min="8" max="8" width="24.83203125" customWidth="1"/>
    <col min="9" max="9" width="17.1640625" customWidth="1"/>
    <col min="10" max="10" width="10.5" customWidth="1"/>
    <col min="11" max="11" width="13.6640625" customWidth="1"/>
    <col min="12" max="12" width="20.83203125" bestFit="1" customWidth="1"/>
    <col min="13" max="13" width="31" customWidth="1"/>
  </cols>
  <sheetData>
    <row r="1" spans="2:17" ht="3.75" customHeight="1" thickBot="1"/>
    <row r="2" spans="2:17" ht="22.5" customHeight="1">
      <c r="B2" s="365">
        <v>45039</v>
      </c>
      <c r="C2" s="266" t="s">
        <v>0</v>
      </c>
      <c r="D2" s="366"/>
      <c r="E2" s="1026" t="str">
        <f>Inputs!H3</f>
        <v>SALESFORCE, INC. (XNYS:CRM)</v>
      </c>
      <c r="F2" s="1027"/>
      <c r="G2" s="1027"/>
      <c r="H2" s="1027"/>
      <c r="I2" s="1027"/>
      <c r="J2" s="1027"/>
      <c r="K2" s="1028"/>
      <c r="L2" s="267" t="s">
        <v>1</v>
      </c>
      <c r="M2" s="439" t="s">
        <v>2</v>
      </c>
    </row>
    <row r="3" spans="2:17" ht="26.25" customHeight="1">
      <c r="B3" s="949" t="s">
        <v>3</v>
      </c>
      <c r="C3" s="950"/>
      <c r="D3" s="1037" t="s">
        <v>4</v>
      </c>
      <c r="E3" s="1037"/>
      <c r="F3" s="1037"/>
      <c r="G3" s="1037"/>
      <c r="H3" s="1037" t="s">
        <v>5</v>
      </c>
      <c r="I3" s="1037"/>
      <c r="J3" s="1037"/>
      <c r="K3" s="1037"/>
      <c r="L3" s="1037"/>
      <c r="M3" s="1038"/>
    </row>
    <row r="4" spans="2:17" ht="14">
      <c r="B4" s="951"/>
      <c r="C4" s="952"/>
      <c r="D4" s="1036" t="e" cm="1" vm="1">
        <f t="array" ref="D4">_FV(Inputs!H3,"Description")</f>
        <v>#VALUE!</v>
      </c>
      <c r="E4" s="1036"/>
      <c r="F4" s="1036"/>
      <c r="G4" s="1036"/>
      <c r="H4" s="85" t="s">
        <v>6</v>
      </c>
      <c r="I4" s="86" t="s">
        <v>7</v>
      </c>
      <c r="J4" s="86" t="s">
        <v>8</v>
      </c>
      <c r="K4" s="86" t="s">
        <v>9</v>
      </c>
      <c r="L4" s="86" t="s">
        <v>10</v>
      </c>
      <c r="M4" s="87" t="s">
        <v>11</v>
      </c>
    </row>
    <row r="5" spans="2:17" ht="28">
      <c r="B5" s="951"/>
      <c r="C5" s="952"/>
      <c r="D5" s="1036"/>
      <c r="E5" s="1036"/>
      <c r="F5" s="1036"/>
      <c r="G5" s="1036"/>
      <c r="H5" s="716" t="s">
        <v>12</v>
      </c>
      <c r="I5" s="350" t="s">
        <v>13</v>
      </c>
      <c r="J5" s="350">
        <v>58</v>
      </c>
      <c r="K5" s="350">
        <v>2000</v>
      </c>
      <c r="L5" s="350" t="s">
        <v>14</v>
      </c>
      <c r="M5" s="717" t="s">
        <v>15</v>
      </c>
    </row>
    <row r="6" spans="2:17" ht="28">
      <c r="B6" s="951"/>
      <c r="C6" s="952"/>
      <c r="D6" s="1036"/>
      <c r="E6" s="1036"/>
      <c r="F6" s="1036"/>
      <c r="G6" s="1036"/>
      <c r="H6" s="715" t="s">
        <v>16</v>
      </c>
      <c r="I6" s="350" t="s">
        <v>17</v>
      </c>
      <c r="J6" s="350">
        <v>54</v>
      </c>
      <c r="K6" s="350">
        <v>2021</v>
      </c>
      <c r="L6" s="350" t="s">
        <v>18</v>
      </c>
      <c r="M6" s="717" t="s">
        <v>19</v>
      </c>
    </row>
    <row r="7" spans="2:17" ht="28">
      <c r="B7" s="951"/>
      <c r="C7" s="952"/>
      <c r="D7" s="1036"/>
      <c r="E7" s="1036"/>
      <c r="F7" s="1036"/>
      <c r="G7" s="1036"/>
      <c r="H7" s="715" t="s">
        <v>20</v>
      </c>
      <c r="I7" s="350" t="s">
        <v>13</v>
      </c>
      <c r="J7" s="350">
        <v>68</v>
      </c>
      <c r="K7" s="350">
        <v>2005</v>
      </c>
      <c r="L7" s="350" t="s">
        <v>18</v>
      </c>
      <c r="M7" s="717" t="s">
        <v>21</v>
      </c>
    </row>
    <row r="8" spans="2:17" ht="28">
      <c r="B8" s="951"/>
      <c r="C8" s="952"/>
      <c r="D8" s="1036"/>
      <c r="E8" s="1036"/>
      <c r="F8" s="1036"/>
      <c r="G8" s="1036"/>
      <c r="H8" s="715" t="s">
        <v>22</v>
      </c>
      <c r="I8" s="350" t="s">
        <v>13</v>
      </c>
      <c r="J8" s="350">
        <v>68</v>
      </c>
      <c r="K8" s="350">
        <v>2023</v>
      </c>
      <c r="L8" s="350" t="s">
        <v>18</v>
      </c>
      <c r="M8" s="717" t="s">
        <v>23</v>
      </c>
    </row>
    <row r="9" spans="2:17" ht="28">
      <c r="B9" s="951"/>
      <c r="C9" s="952"/>
      <c r="D9" s="1036"/>
      <c r="E9" s="1036"/>
      <c r="F9" s="1036"/>
      <c r="G9" s="1036"/>
      <c r="H9" s="716" t="s">
        <v>24</v>
      </c>
      <c r="I9" s="350" t="s">
        <v>13</v>
      </c>
      <c r="J9" s="350">
        <v>56</v>
      </c>
      <c r="K9" s="350">
        <v>2018</v>
      </c>
      <c r="L9" s="350" t="s">
        <v>18</v>
      </c>
      <c r="M9" s="717" t="s">
        <v>25</v>
      </c>
    </row>
    <row r="10" spans="2:17" ht="28">
      <c r="B10" s="951"/>
      <c r="C10" s="952"/>
      <c r="D10" s="1036"/>
      <c r="E10" s="1036"/>
      <c r="F10" s="1036"/>
      <c r="G10" s="1036"/>
      <c r="H10" s="715" t="s">
        <v>26</v>
      </c>
      <c r="I10" s="350" t="s">
        <v>17</v>
      </c>
      <c r="J10" s="350">
        <v>81</v>
      </c>
      <c r="K10" s="350">
        <v>2016</v>
      </c>
      <c r="L10" s="350" t="s">
        <v>18</v>
      </c>
      <c r="M10" s="717" t="s">
        <v>27</v>
      </c>
    </row>
    <row r="11" spans="2:17" ht="28">
      <c r="B11" s="951"/>
      <c r="C11" s="952"/>
      <c r="D11" s="1036"/>
      <c r="E11" s="1036"/>
      <c r="F11" s="1036"/>
      <c r="G11" s="1036"/>
      <c r="H11" s="715" t="s">
        <v>28</v>
      </c>
      <c r="I11" s="350" t="s">
        <v>13</v>
      </c>
      <c r="J11" s="350">
        <v>52</v>
      </c>
      <c r="K11" s="350">
        <v>2023</v>
      </c>
      <c r="L11" s="350" t="s">
        <v>18</v>
      </c>
      <c r="M11" s="717" t="s">
        <v>29</v>
      </c>
    </row>
    <row r="12" spans="2:17" ht="28">
      <c r="B12" s="951"/>
      <c r="C12" s="952"/>
      <c r="D12" s="1036"/>
      <c r="E12" s="1036"/>
      <c r="F12" s="1036"/>
      <c r="G12" s="1036"/>
      <c r="H12" s="715" t="s">
        <v>30</v>
      </c>
      <c r="I12" s="350" t="s">
        <v>13</v>
      </c>
      <c r="J12" s="350">
        <v>47</v>
      </c>
      <c r="K12" s="350">
        <v>2023</v>
      </c>
      <c r="L12" s="350" t="s">
        <v>18</v>
      </c>
      <c r="M12" s="717" t="s">
        <v>31</v>
      </c>
      <c r="P12" s="367"/>
    </row>
    <row r="13" spans="2:17" ht="28">
      <c r="B13" s="951"/>
      <c r="C13" s="952"/>
      <c r="D13" s="1036"/>
      <c r="E13" s="1036"/>
      <c r="F13" s="1036"/>
      <c r="G13" s="1036"/>
      <c r="H13" s="716" t="s">
        <v>32</v>
      </c>
      <c r="I13" s="350" t="s">
        <v>13</v>
      </c>
      <c r="J13" s="350">
        <v>64</v>
      </c>
      <c r="K13" s="350">
        <v>2022</v>
      </c>
      <c r="L13" s="350" t="s">
        <v>18</v>
      </c>
      <c r="M13" s="717" t="s">
        <v>33</v>
      </c>
    </row>
    <row r="14" spans="2:17" ht="28">
      <c r="B14" s="951"/>
      <c r="C14" s="952"/>
      <c r="D14" s="1036"/>
      <c r="E14" s="1036"/>
      <c r="F14" s="1036"/>
      <c r="G14" s="1036"/>
      <c r="H14" s="715" t="s">
        <v>34</v>
      </c>
      <c r="I14" s="350" t="s">
        <v>13</v>
      </c>
      <c r="J14" s="350">
        <v>68</v>
      </c>
      <c r="K14" s="350">
        <v>2013</v>
      </c>
      <c r="L14" s="350" t="s">
        <v>18</v>
      </c>
      <c r="M14" s="717" t="s">
        <v>35</v>
      </c>
      <c r="Q14" s="268"/>
    </row>
    <row r="15" spans="2:17" ht="42">
      <c r="B15" s="951"/>
      <c r="C15" s="952"/>
      <c r="D15" s="1036"/>
      <c r="E15" s="1036"/>
      <c r="F15" s="1036"/>
      <c r="G15" s="1036"/>
      <c r="H15" s="715" t="s">
        <v>36</v>
      </c>
      <c r="I15" s="350" t="s">
        <v>17</v>
      </c>
      <c r="J15" s="350">
        <v>60</v>
      </c>
      <c r="K15" s="350">
        <v>2013</v>
      </c>
      <c r="L15" s="350" t="s">
        <v>18</v>
      </c>
      <c r="M15" s="717" t="s">
        <v>37</v>
      </c>
    </row>
    <row r="16" spans="2:17" ht="14">
      <c r="B16" s="953"/>
      <c r="C16" s="954"/>
      <c r="D16" s="1036"/>
      <c r="E16" s="1036"/>
      <c r="F16" s="1036"/>
      <c r="G16" s="1036"/>
      <c r="H16" s="715" t="s">
        <v>38</v>
      </c>
      <c r="I16" s="351" t="s">
        <v>13</v>
      </c>
      <c r="J16" s="350">
        <v>67</v>
      </c>
      <c r="K16" s="350">
        <v>2006</v>
      </c>
      <c r="L16" s="350" t="s">
        <v>18</v>
      </c>
      <c r="M16" s="717" t="s">
        <v>39</v>
      </c>
    </row>
    <row r="17" spans="2:13" ht="14">
      <c r="B17" s="1011" t="s">
        <v>40</v>
      </c>
      <c r="C17" s="1012"/>
      <c r="D17" s="1036"/>
      <c r="E17" s="1036"/>
      <c r="F17" s="1036"/>
      <c r="G17" s="1036"/>
      <c r="H17" s="715" t="s">
        <v>41</v>
      </c>
      <c r="I17" s="351" t="s">
        <v>17</v>
      </c>
      <c r="J17" s="350">
        <v>54</v>
      </c>
      <c r="K17" s="350">
        <v>2014</v>
      </c>
      <c r="L17" s="350" t="s">
        <v>18</v>
      </c>
      <c r="M17" s="717" t="s">
        <v>42</v>
      </c>
    </row>
    <row r="18" spans="2:13" ht="18">
      <c r="B18" s="980" t="s">
        <v>43</v>
      </c>
      <c r="C18" s="981"/>
      <c r="D18" s="981"/>
      <c r="E18" s="981"/>
      <c r="F18" s="981"/>
      <c r="G18" s="981"/>
      <c r="H18" s="981"/>
      <c r="I18" s="981"/>
      <c r="J18" s="981"/>
      <c r="K18" s="981"/>
      <c r="L18" s="981"/>
      <c r="M18" s="982"/>
    </row>
    <row r="19" spans="2:13" ht="16">
      <c r="B19" s="1014" t="s">
        <v>44</v>
      </c>
      <c r="C19" s="1015"/>
      <c r="D19" s="958" t="s">
        <v>45</v>
      </c>
      <c r="E19" s="960"/>
      <c r="F19" s="1039" t="s">
        <v>46</v>
      </c>
      <c r="G19" s="1040"/>
      <c r="H19" s="1041"/>
      <c r="I19" s="958" t="s">
        <v>47</v>
      </c>
      <c r="J19" s="959"/>
      <c r="K19" s="960"/>
      <c r="L19" s="958" t="s">
        <v>48</v>
      </c>
      <c r="M19" s="1013"/>
    </row>
    <row r="20" spans="2:13">
      <c r="B20" s="438" t="s">
        <v>49</v>
      </c>
      <c r="C20" s="99" t="e" cm="1" vm="2">
        <f t="array" ref="C20">+_FV(Inputs!H3,"price")</f>
        <v>#VALUE!</v>
      </c>
      <c r="D20" s="12" t="s">
        <v>50</v>
      </c>
      <c r="E20" s="97">
        <f>_xlfn.XLOOKUP(D20,'Fin. Data'!A:A,'Fin. Data'!B:B,,0)</f>
        <v>98849</v>
      </c>
      <c r="F20" s="1029" t="s">
        <v>51</v>
      </c>
      <c r="G20" s="1030"/>
      <c r="H20" s="79" t="s">
        <v>52</v>
      </c>
      <c r="I20" t="s">
        <v>53</v>
      </c>
      <c r="J20" s="994">
        <v>2022</v>
      </c>
      <c r="K20" s="995"/>
      <c r="L20" s="11" t="s">
        <v>54</v>
      </c>
      <c r="M20" s="437">
        <f>943.57/973</f>
        <v>0.96975334018499493</v>
      </c>
    </row>
    <row r="21" spans="2:13" ht="12.75" customHeight="1">
      <c r="B21" s="438" t="s">
        <v>55</v>
      </c>
      <c r="C21" s="304" t="e" cm="1" vm="3">
        <f t="array" ref="C21">_FV(E2,"Shares outstanding",TRUE)</f>
        <v>#VALUE!</v>
      </c>
      <c r="D21" s="11" t="s">
        <v>56</v>
      </c>
      <c r="E21" s="97">
        <f>_xlfn.XLOOKUP(D21,'Fin. Data'!A:A,'Fin. Data'!B:B,,0)</f>
        <v>40490</v>
      </c>
      <c r="F21" s="998" t="str">
        <f>Segments!C5</f>
        <v>Americas</v>
      </c>
      <c r="G21" s="999"/>
      <c r="H21" s="16">
        <f>Segments!B5</f>
        <v>0.67880869696512158</v>
      </c>
      <c r="I21" s="11" t="s">
        <v>57</v>
      </c>
      <c r="J21" s="1033">
        <v>44957</v>
      </c>
      <c r="K21" s="1034"/>
      <c r="L21" s="11" t="s">
        <v>58</v>
      </c>
      <c r="M21" s="437">
        <v>3.1699999999999999E-2</v>
      </c>
    </row>
    <row r="22" spans="2:13" ht="12.75" customHeight="1">
      <c r="B22" s="438" t="s">
        <v>59</v>
      </c>
      <c r="C22" s="33" t="e" vm="4">
        <f>C20*C21/1000000</f>
        <v>#VALUE!</v>
      </c>
      <c r="D22" s="11" t="s">
        <v>60</v>
      </c>
      <c r="E22" s="349" t="e" vm="4">
        <f>_xlfn.XLOOKUP("Cash &amp; Eq.",'Fin. Data'!A:A,'Fin. Data'!B:B,,0)*1000000/C21</f>
        <v>#VALUE!</v>
      </c>
      <c r="F22" s="998" t="str">
        <f>Segments!C6</f>
        <v>Europe</v>
      </c>
      <c r="G22" s="999"/>
      <c r="H22" s="16">
        <f>Segments!B6</f>
        <v>0.22708742261814888</v>
      </c>
      <c r="I22" s="967" t="s">
        <v>61</v>
      </c>
      <c r="J22" s="967"/>
      <c r="K22" s="97">
        <f>_xlfn.XLOOKUP(I22,'Fin. Data'!A:A,'Fin. Data'!B:B,,0)</f>
        <v>4685</v>
      </c>
      <c r="L22" s="8" t="s">
        <v>62</v>
      </c>
      <c r="M22" s="437">
        <v>1.19</v>
      </c>
    </row>
    <row r="23" spans="2:13" ht="12.75" customHeight="1">
      <c r="B23" s="436" t="s">
        <v>63</v>
      </c>
      <c r="C23" s="33">
        <f>'Fin. Data'!B58</f>
        <v>11392</v>
      </c>
      <c r="D23" s="11" t="s">
        <v>64</v>
      </c>
      <c r="E23" s="349">
        <f>_xlfn.XLOOKUP("EBITDA",'Fin. Data'!A:A,'Fin. Data'!B:B,,0)/_xlfn.XLOOKUP("Net Financial Cost",'Fin. Data'!A:A,'Fin. Data'!B:B,,0)</f>
        <v>-35.763358778625957</v>
      </c>
      <c r="F23" s="998" t="str">
        <f>Segments!C7</f>
        <v>Asia Pacific</v>
      </c>
      <c r="G23" s="999"/>
      <c r="H23" s="16">
        <f>Segments!B7</f>
        <v>9.4103880416729582E-2</v>
      </c>
      <c r="I23" s="1035" t="s">
        <v>65</v>
      </c>
      <c r="J23" s="1035"/>
      <c r="K23" s="97">
        <f>_xlfn.XLOOKUP(I23,'Fin. Data'!A:A,'Fin. Data'!B:B,,0)</f>
        <v>3786</v>
      </c>
      <c r="L23" s="11" t="s">
        <v>66</v>
      </c>
      <c r="M23" s="437" t="s">
        <v>67</v>
      </c>
    </row>
    <row r="24" spans="2:13" ht="12.75" customHeight="1">
      <c r="B24" s="436" t="s">
        <v>68</v>
      </c>
      <c r="C24" s="33">
        <f>'Fin. Data'!B39</f>
        <v>12508</v>
      </c>
      <c r="D24" s="11" t="s">
        <v>69</v>
      </c>
      <c r="E24" s="349">
        <f>_xlfn.XLOOKUP("Total Debt",'Fin. Data'!A:A,'Fin. Data'!B:B,,0)/_xlfn.XLOOKUP("EBITDA",'Fin. Data'!A:A,'Fin. Data'!B:B,,0)</f>
        <v>2.4315901814300962</v>
      </c>
      <c r="F24" s="998"/>
      <c r="G24" s="999"/>
      <c r="H24" s="23"/>
      <c r="I24" s="1035" t="s">
        <v>70</v>
      </c>
      <c r="J24" s="1035"/>
      <c r="K24" s="97">
        <f>_xlfn.XLOOKUP(I24,'Fin. Data'!A:A,'Fin. Data'!B:B,,0)</f>
        <v>899</v>
      </c>
      <c r="L24" s="11" t="s">
        <v>71</v>
      </c>
      <c r="M24" s="435" t="str">
        <f>IFERROR((C20*C21/(E20-E21))/1000000,"")</f>
        <v/>
      </c>
    </row>
    <row r="25" spans="2:13" ht="12.75" customHeight="1">
      <c r="B25" s="436" t="s">
        <v>72</v>
      </c>
      <c r="C25" s="33" t="e" vm="4">
        <f>C22+C23-C24</f>
        <v>#VALUE!</v>
      </c>
      <c r="D25" s="11" t="s">
        <v>73</v>
      </c>
      <c r="E25" s="349">
        <f>_xlfn.XLOOKUP("Other Assets",'Fin. Data'!A:A,'Fin. Data'!B:B,,0)/_xlfn.XLOOKUP("Total Assets",'Fin. Data'!A:A,'Fin. Data'!B:B,,0)</f>
        <v>0.15943509797772359</v>
      </c>
      <c r="F25" s="998"/>
      <c r="G25" s="999"/>
      <c r="H25" s="23"/>
      <c r="I25" s="967" t="s">
        <v>74</v>
      </c>
      <c r="J25" s="967"/>
      <c r="K25" s="97">
        <f>_xlfn.XLOOKUP(I25,'Fin. Data'!A:A,'Fin. Data'!B:B,,0)</f>
        <v>208</v>
      </c>
      <c r="L25" s="11" t="s">
        <v>75</v>
      </c>
      <c r="M25" s="434">
        <f>IFERROR(K31/E20,"")</f>
        <v>1.9302167953140648E-2</v>
      </c>
    </row>
    <row r="26" spans="2:13" ht="12.75" customHeight="1">
      <c r="B26" s="436" t="s">
        <v>76</v>
      </c>
      <c r="C26" s="100" t="s">
        <v>77</v>
      </c>
      <c r="D26" s="11" t="s">
        <v>78</v>
      </c>
      <c r="E26" s="349">
        <f>_xlfn.XLOOKUP(D26,'Fin. Data'!A:A,'Fin. Data'!B:B,,0)</f>
        <v>0.11524648706613116</v>
      </c>
      <c r="F26" s="1031" t="s">
        <v>79</v>
      </c>
      <c r="G26" s="1032"/>
      <c r="H26" s="80" t="s">
        <v>52</v>
      </c>
      <c r="I26" s="967" t="s">
        <v>80</v>
      </c>
      <c r="J26" s="967"/>
      <c r="K26" s="48" t="e" vm="4">
        <f>1000000*K25/C21</f>
        <v>#VALUE!</v>
      </c>
      <c r="L26" s="11" t="s">
        <v>81</v>
      </c>
      <c r="M26" s="433" t="str">
        <f>IFERROR(C22/K30,"")</f>
        <v/>
      </c>
    </row>
    <row r="27" spans="2:13" ht="12.75" customHeight="1">
      <c r="B27" s="438" t="s">
        <v>82</v>
      </c>
      <c r="C27" s="101" t="s">
        <v>77</v>
      </c>
      <c r="D27" s="11" t="s">
        <v>83</v>
      </c>
      <c r="E27" s="98">
        <f>AVERAGE(_xlfn.XLOOKUP("EBITDA Margin",'Fin. Data'!A:A,'Fin. Data'!B:D,,0))</f>
        <v>0.13670732336478605</v>
      </c>
      <c r="F27" s="998" t="str">
        <f>+Segments!C15</f>
        <v>Professional services and other</v>
      </c>
      <c r="G27" s="999"/>
      <c r="H27" s="16">
        <f>+Segments!B15</f>
        <v>6.9266193567869547E-2</v>
      </c>
      <c r="I27" s="967" t="s">
        <v>84</v>
      </c>
      <c r="J27" s="967"/>
      <c r="K27" s="49">
        <f>K25/E20</f>
        <v>2.104219567218687E-3</v>
      </c>
      <c r="L27" s="11" t="s">
        <v>85</v>
      </c>
      <c r="M27" s="432" t="str">
        <f>IFERROR(C25/E20,"")</f>
        <v/>
      </c>
    </row>
    <row r="28" spans="2:13" ht="12.75" customHeight="1">
      <c r="B28" t="s">
        <v>86</v>
      </c>
      <c r="C28" s="17">
        <v>7.9000000000000008E-3</v>
      </c>
      <c r="D28" s="11" t="s">
        <v>87</v>
      </c>
      <c r="E28" s="98">
        <f>AVERAGE(_xlfn.XLOOKUP("Operating Margin",'Fin. Data'!A:A,'Fin. Data'!B:D,,0))</f>
        <v>2.4982669397753746E-2</v>
      </c>
      <c r="F28" s="998" t="str">
        <f>+Segments!C16</f>
        <v>Subscription and Support</v>
      </c>
      <c r="G28" s="999"/>
      <c r="H28" s="16">
        <f>+Segments!B16</f>
        <v>0.93073380643213044</v>
      </c>
      <c r="I28" s="967" t="s">
        <v>88</v>
      </c>
      <c r="J28" s="967"/>
      <c r="K28" s="49">
        <f>K25/(E20-(E21-C23))</f>
        <v>2.9820360998408625E-3</v>
      </c>
      <c r="L28" s="11" t="s">
        <v>89</v>
      </c>
      <c r="M28" s="432" t="str">
        <f>IFERROR(C25/K29,"")</f>
        <v/>
      </c>
    </row>
    <row r="29" spans="2:13" ht="16">
      <c r="B29" s="1014" t="s">
        <v>90</v>
      </c>
      <c r="C29" s="1015"/>
      <c r="D29" s="11" t="s">
        <v>91</v>
      </c>
      <c r="E29" s="98">
        <f>AVERAGE(_xlfn.XLOOKUP("Net Income Margin",'Fin. Data'!A:A,'Fin. Data'!B:D,,0))</f>
        <v>8.4248954145696678E-2</v>
      </c>
      <c r="F29" s="998"/>
      <c r="G29" s="999"/>
      <c r="H29" s="16"/>
      <c r="I29" s="967" t="s">
        <v>92</v>
      </c>
      <c r="J29" s="967"/>
      <c r="K29" s="97">
        <f>AVERAGE(_xlfn.XLOOKUP("EBITDA",'Fin. Data'!A:A,'Fin. Data'!B:D,,0))</f>
        <v>3647</v>
      </c>
      <c r="L29" s="11" t="s">
        <v>93</v>
      </c>
      <c r="M29" s="433" t="str">
        <f>IFERROR(C22/K31,"")</f>
        <v/>
      </c>
    </row>
    <row r="30" spans="2:13" ht="12.75" customHeight="1">
      <c r="B30" s="9" t="s">
        <v>94</v>
      </c>
      <c r="C30" s="895"/>
      <c r="D30" s="624"/>
      <c r="E30" s="106"/>
      <c r="F30" s="998"/>
      <c r="G30" s="999"/>
      <c r="H30" s="16"/>
      <c r="I30" s="967" t="s">
        <v>95</v>
      </c>
      <c r="J30" s="967"/>
      <c r="K30" s="97">
        <f>AVERAGE(_xlfn.XLOOKUP("Net Income",'Fin. Data'!A:A,'Fin. Data'!B:D,,0))</f>
        <v>1908</v>
      </c>
      <c r="L30" s="11" t="s">
        <v>96</v>
      </c>
      <c r="M30" s="431" t="s">
        <v>77</v>
      </c>
    </row>
    <row r="31" spans="2:13" ht="12.75" customHeight="1">
      <c r="B31" s="9" t="s">
        <v>97</v>
      </c>
      <c r="C31" s="894"/>
      <c r="D31" s="11" t="s">
        <v>98</v>
      </c>
      <c r="E31" s="487">
        <f>-_xlfn.XLOOKUP("Net Financial Cost",'Fin. Data'!A:A,'Fin. Data'!B:B,,0)/AVERAGE(_xlfn.XLOOKUP("Net Debt",'Fin. Data'!A:A,'Fin. Data'!B:D,,0))</f>
        <v>-3.9934965958744031E-2</v>
      </c>
      <c r="F31" s="998"/>
      <c r="G31" s="999"/>
      <c r="H31" s="16"/>
      <c r="I31" s="967" t="s">
        <v>99</v>
      </c>
      <c r="J31" s="967"/>
      <c r="K31" s="97">
        <f>AVERAGE(_xlfn.XLOOKUP("Net Income",'Fin. Data'!A:A,'Fin. Data'!B:D,,0))</f>
        <v>1908</v>
      </c>
      <c r="L31" s="11" t="s">
        <v>100</v>
      </c>
      <c r="M31" s="430" t="e">
        <f>-IFERROR(SUM(E52:E54)/(3*C22),"")</f>
        <v>#VALUE!</v>
      </c>
    </row>
    <row r="32" spans="2:13" ht="12.5" customHeight="1">
      <c r="B32" s="9" t="s">
        <v>101</v>
      </c>
      <c r="C32" s="896"/>
      <c r="D32" s="103"/>
      <c r="E32" s="105"/>
      <c r="F32" s="996"/>
      <c r="G32" s="997"/>
      <c r="H32" s="18"/>
      <c r="I32" s="103"/>
      <c r="J32" s="104"/>
      <c r="K32" s="104"/>
      <c r="L32" s="11" t="s">
        <v>102</v>
      </c>
      <c r="M32" s="429" t="e">
        <f>-IFERROR(L53/C22,"")</f>
        <v>#VALUE!</v>
      </c>
    </row>
    <row r="33" spans="1:19" ht="19" thickBot="1">
      <c r="B33" s="980" t="s">
        <v>103</v>
      </c>
      <c r="C33" s="981"/>
      <c r="D33" s="981"/>
      <c r="E33" s="981"/>
      <c r="F33" s="981"/>
      <c r="G33" s="981"/>
      <c r="H33" s="981"/>
      <c r="I33" s="981"/>
      <c r="J33" s="981"/>
      <c r="K33" s="981"/>
      <c r="L33" s="981"/>
      <c r="M33" s="982"/>
    </row>
    <row r="34" spans="1:19" ht="17" thickBot="1">
      <c r="B34" s="956" t="s">
        <v>104</v>
      </c>
      <c r="C34" s="957"/>
      <c r="D34" s="957"/>
      <c r="E34" s="957"/>
      <c r="F34" s="957"/>
      <c r="G34" s="957"/>
      <c r="H34" s="491" t="s">
        <v>105</v>
      </c>
      <c r="I34" s="968" t="s">
        <v>106</v>
      </c>
      <c r="J34" s="969"/>
      <c r="K34" s="969"/>
      <c r="L34" s="969"/>
      <c r="M34" s="970"/>
      <c r="N34" s="10"/>
    </row>
    <row r="35" spans="1:19" ht="13.25" customHeight="1" thickBot="1">
      <c r="A35" s="10"/>
      <c r="B35" s="492" t="s">
        <v>107</v>
      </c>
      <c r="C35" s="977" t="s">
        <v>108</v>
      </c>
      <c r="D35" s="978"/>
      <c r="E35" s="978"/>
      <c r="F35" s="978"/>
      <c r="G35" s="979"/>
      <c r="H35" s="1000" t="s">
        <v>109</v>
      </c>
      <c r="I35" s="1058" t="s">
        <v>110</v>
      </c>
      <c r="J35" s="1059"/>
      <c r="K35" s="1059"/>
      <c r="L35" s="1059"/>
      <c r="M35" s="1060"/>
    </row>
    <row r="36" spans="1:19" ht="30" customHeight="1" thickBot="1">
      <c r="A36" s="10"/>
      <c r="B36" s="897" t="s">
        <v>111</v>
      </c>
      <c r="C36" s="983" t="s">
        <v>112</v>
      </c>
      <c r="D36" s="984"/>
      <c r="E36" s="984"/>
      <c r="F36" s="984"/>
      <c r="G36" s="985"/>
      <c r="H36" s="1000"/>
      <c r="I36" s="1061"/>
      <c r="J36" s="1062"/>
      <c r="K36" s="1062"/>
      <c r="L36" s="1062"/>
      <c r="M36" s="1063"/>
    </row>
    <row r="37" spans="1:19" ht="30" customHeight="1" thickBot="1">
      <c r="A37" s="10"/>
      <c r="B37" s="890" t="s">
        <v>113</v>
      </c>
      <c r="C37" s="1002" t="s">
        <v>114</v>
      </c>
      <c r="D37" s="1003"/>
      <c r="E37" s="1003"/>
      <c r="F37" s="1003"/>
      <c r="G37" s="1004"/>
      <c r="H37" s="1000"/>
      <c r="I37" s="1061"/>
      <c r="J37" s="1062"/>
      <c r="K37" s="1062"/>
      <c r="L37" s="1062"/>
      <c r="M37" s="1063"/>
    </row>
    <row r="38" spans="1:19" ht="30" customHeight="1" thickBot="1">
      <c r="B38" s="891" t="s">
        <v>115</v>
      </c>
      <c r="C38" s="1005" t="s">
        <v>116</v>
      </c>
      <c r="D38" s="1006"/>
      <c r="E38" s="1006"/>
      <c r="F38" s="1006"/>
      <c r="G38" s="1007"/>
      <c r="H38" s="1001"/>
      <c r="I38" s="1064"/>
      <c r="J38" s="1065"/>
      <c r="K38" s="1065"/>
      <c r="L38" s="1065"/>
      <c r="M38" s="1066"/>
    </row>
    <row r="39" spans="1:19" ht="17" thickBot="1">
      <c r="B39" s="971" t="s">
        <v>117</v>
      </c>
      <c r="C39" s="972"/>
      <c r="D39" s="972"/>
      <c r="E39" s="972"/>
      <c r="F39" s="972"/>
      <c r="G39" s="973"/>
      <c r="H39" s="493" t="s">
        <v>118</v>
      </c>
      <c r="I39" s="1067" t="s">
        <v>119</v>
      </c>
      <c r="J39" s="1067"/>
      <c r="K39" s="1067"/>
      <c r="L39" s="972"/>
      <c r="M39" s="1068"/>
    </row>
    <row r="40" spans="1:19" ht="13.25" customHeight="1" thickBot="1">
      <c r="B40" s="494" t="s">
        <v>120</v>
      </c>
      <c r="C40" s="974" t="s">
        <v>108</v>
      </c>
      <c r="D40" s="975"/>
      <c r="E40" s="975"/>
      <c r="F40" s="975"/>
      <c r="G40" s="976"/>
      <c r="H40" s="991" t="e" vm="4">
        <f>DCF!D76</f>
        <v>#VALUE!</v>
      </c>
      <c r="I40" s="1048" t="s">
        <v>121</v>
      </c>
      <c r="J40" s="1049"/>
      <c r="K40" s="1049"/>
      <c r="L40" s="1044">
        <f>DCF!F50</f>
        <v>0.106</v>
      </c>
      <c r="M40" s="1045"/>
    </row>
    <row r="41" spans="1:19" ht="19" customHeight="1" thickBot="1">
      <c r="B41" s="890" t="s">
        <v>122</v>
      </c>
      <c r="C41" s="1008" t="s">
        <v>123</v>
      </c>
      <c r="D41" s="1009"/>
      <c r="E41" s="1009"/>
      <c r="F41" s="1009"/>
      <c r="G41" s="1010"/>
      <c r="H41" s="992"/>
      <c r="I41" s="1050"/>
      <c r="J41" s="1051"/>
      <c r="K41" s="1051"/>
      <c r="L41" s="1046"/>
      <c r="M41" s="1047"/>
    </row>
    <row r="42" spans="1:19" ht="19" customHeight="1" thickBot="1">
      <c r="B42" s="890" t="s">
        <v>124</v>
      </c>
      <c r="C42" s="964" t="s">
        <v>125</v>
      </c>
      <c r="D42" s="965"/>
      <c r="E42" s="965"/>
      <c r="F42" s="965"/>
      <c r="G42" s="966"/>
      <c r="H42" s="992"/>
      <c r="I42" s="1048" t="s">
        <v>126</v>
      </c>
      <c r="J42" s="1049"/>
      <c r="K42" s="1052"/>
      <c r="L42" s="987" t="e" vm="4">
        <f>DCF!D75</f>
        <v>#VALUE!</v>
      </c>
      <c r="M42" s="988"/>
    </row>
    <row r="43" spans="1:19" ht="19" customHeight="1" thickBot="1">
      <c r="B43" s="890" t="s">
        <v>127</v>
      </c>
      <c r="C43" s="961" t="s">
        <v>128</v>
      </c>
      <c r="D43" s="962"/>
      <c r="E43" s="962"/>
      <c r="F43" s="962"/>
      <c r="G43" s="963"/>
      <c r="H43" s="993"/>
      <c r="I43" s="1053"/>
      <c r="J43" s="1054"/>
      <c r="K43" s="1055"/>
      <c r="L43" s="989"/>
      <c r="M43" s="990"/>
    </row>
    <row r="44" spans="1:19" ht="18">
      <c r="B44" s="980" t="s">
        <v>129</v>
      </c>
      <c r="C44" s="981"/>
      <c r="D44" s="981"/>
      <c r="E44" s="981"/>
      <c r="F44" s="981"/>
      <c r="G44" s="981"/>
      <c r="H44" s="981"/>
      <c r="I44" s="981"/>
      <c r="J44" s="981"/>
      <c r="K44" s="981"/>
      <c r="L44" s="981"/>
      <c r="M44" s="982"/>
    </row>
    <row r="45" spans="1:19">
      <c r="B45" s="625" t="s">
        <v>130</v>
      </c>
      <c r="C45" s="88" t="s">
        <v>131</v>
      </c>
      <c r="D45" s="88" t="s">
        <v>132</v>
      </c>
      <c r="E45" s="110" t="s">
        <v>133</v>
      </c>
      <c r="F45" s="88" t="s">
        <v>134</v>
      </c>
      <c r="G45" s="88" t="s">
        <v>78</v>
      </c>
      <c r="H45" s="109" t="s">
        <v>65</v>
      </c>
      <c r="I45" s="109" t="s">
        <v>135</v>
      </c>
      <c r="J45" s="926" t="s">
        <v>136</v>
      </c>
      <c r="K45" s="926"/>
      <c r="L45" s="926"/>
      <c r="M45" s="986"/>
    </row>
    <row r="46" spans="1:19">
      <c r="B46" s="626">
        <f t="shared" ref="B46:B52" si="0">B47-1</f>
        <v>2014</v>
      </c>
      <c r="C46" s="108" cm="1">
        <f t="array" ref="C46:C54">_xlfn.SORTBY(TRANSPOSE(_xlfn.XLOOKUP(C$45,'Fin. Data'!$A:$A,'Fin. Data'!$B:$J,,0)),$B$46:$B$54,-1)</f>
        <v>5374</v>
      </c>
      <c r="D46" s="82" cm="1">
        <f t="array" ref="D46:D54">_xlfn.SORTBY(TRANSPOSE(_xlfn.XLOOKUP(D$45,'Fin. Data'!$A:$A,'Fin. Data'!$B:$J,,0)),$B$46:$B$54,-1)</f>
        <v>-2.7167845180498699E-2</v>
      </c>
      <c r="E46" s="108" cm="1">
        <f t="array" ref="E46:E54">_xlfn.SORTBY(TRANSPOSE(_xlfn.XLOOKUP(E$45,'Fin. Data'!$A:$A,'Fin. Data'!$B:$J,,0)),$B$46:$B$54,-1)</f>
        <v>0</v>
      </c>
      <c r="F46" s="107">
        <f>Inputs!J77</f>
        <v>126.40000000000012</v>
      </c>
      <c r="G46" s="82" cm="1">
        <f t="array" ref="G46:G54">_xlfn.SORTBY(TRANSPOSE(_xlfn.XLOOKUP(G$45,'Fin. Data'!$A:$A,'Fin. Data'!$B:$J,,0)),$B$46:$B$54,-1)</f>
        <v>0.20609470229723395</v>
      </c>
      <c r="H46" s="108" cm="1">
        <f t="array" ref="H46:H54">_xlfn.SORTBY(TRANSPOSE(_xlfn.XLOOKUP(H$45,'Fin. Data'!$A:$A,'Fin. Data'!$B:$J,,0)),$B$46:$B$54,-1)</f>
        <v>448.3</v>
      </c>
      <c r="I46" s="108" cm="1">
        <f t="array" ref="I46:I54">_xlfn.SORTBY(TRANSPOSE(_xlfn.XLOOKUP(I$45,'Fin. Data'!$A:$A,'Fin. Data'!$B:$J,,0)),$B$46:$B$54,-1)</f>
        <v>-290.5</v>
      </c>
      <c r="J46" s="370"/>
      <c r="K46" s="103"/>
      <c r="L46" s="83">
        <f>J20</f>
        <v>2022</v>
      </c>
      <c r="M46" s="372">
        <f>L46-1</f>
        <v>2021</v>
      </c>
    </row>
    <row r="47" spans="1:19">
      <c r="B47" s="626">
        <f t="shared" si="0"/>
        <v>2015</v>
      </c>
      <c r="C47" s="108">
        <v>6667</v>
      </c>
      <c r="D47" s="81">
        <v>1.664916754162292E-2</v>
      </c>
      <c r="E47" s="108">
        <v>0</v>
      </c>
      <c r="F47" s="107">
        <f>Inputs!I77</f>
        <v>250.29999999999981</v>
      </c>
      <c r="G47" s="82">
        <v>0.16046384078978296</v>
      </c>
      <c r="H47" s="108">
        <v>525.79999999999995</v>
      </c>
      <c r="I47" s="108">
        <v>-768.6</v>
      </c>
      <c r="J47" s="1069" t="s">
        <v>74</v>
      </c>
      <c r="K47" s="1070"/>
      <c r="L47" s="33">
        <f>_xlfn.XLOOKUP($J47,'Fin. Data'!$A:$A,'Fin. Data'!B:B,,0)</f>
        <v>208</v>
      </c>
      <c r="M47" s="428">
        <f>_xlfn.XLOOKUP($J47,'Fin. Data'!$A:$A,'Fin. Data'!C:C,,0)</f>
        <v>1444</v>
      </c>
      <c r="N47" s="21">
        <f t="shared" ref="N47:N55" si="1">(C47/C46)-1</f>
        <v>0.24060290286564934</v>
      </c>
      <c r="O47" s="21">
        <f t="shared" ref="O47:O55" si="2">(D47/D46)-1</f>
        <v>-1.6128262080046682</v>
      </c>
      <c r="P47" s="20"/>
      <c r="Q47" s="19"/>
      <c r="R47" s="19"/>
      <c r="S47" s="19"/>
    </row>
    <row r="48" spans="1:19">
      <c r="B48" s="626">
        <f t="shared" si="0"/>
        <v>2016</v>
      </c>
      <c r="C48" s="108">
        <v>8437</v>
      </c>
      <c r="D48" s="81">
        <v>2.5838568211449569E-2</v>
      </c>
      <c r="E48" s="108">
        <v>0</v>
      </c>
      <c r="F48" s="107">
        <f>Inputs!H77</f>
        <v>449</v>
      </c>
      <c r="G48" s="82">
        <v>0.15877168040943987</v>
      </c>
      <c r="H48" s="108">
        <v>632</v>
      </c>
      <c r="I48" s="108">
        <v>-3657</v>
      </c>
      <c r="J48" s="1069" t="s">
        <v>137</v>
      </c>
      <c r="K48" s="1070"/>
      <c r="L48" s="33">
        <f>_xlfn.XLOOKUP($J48,'Fin. Data'!$A:$A,'Fin. Data'!B:B,,0)</f>
        <v>7111</v>
      </c>
      <c r="M48" s="428">
        <f>_xlfn.XLOOKUP($J48,'Fin. Data'!$A:$A,'Fin. Data'!C:C,,0)</f>
        <v>6000</v>
      </c>
      <c r="N48" s="21">
        <f t="shared" si="1"/>
        <v>0.26548672566371678</v>
      </c>
      <c r="O48" s="21">
        <f t="shared" si="2"/>
        <v>0.55194355194355205</v>
      </c>
      <c r="P48" s="20"/>
      <c r="Q48" s="19">
        <f t="shared" ref="Q48:Q54" si="3">F48/F47-1</f>
        <v>0.79384738314023306</v>
      </c>
      <c r="R48" s="19">
        <f t="shared" ref="R48:S54" si="4">H48/H47-1</f>
        <v>0.20197793837961209</v>
      </c>
      <c r="S48" s="19">
        <f t="shared" si="4"/>
        <v>3.75800156128025</v>
      </c>
    </row>
    <row r="49" spans="2:19">
      <c r="B49" s="626">
        <f t="shared" si="0"/>
        <v>2017</v>
      </c>
      <c r="C49" s="108">
        <v>10540</v>
      </c>
      <c r="D49" s="81">
        <v>4.3074003795066415E-2</v>
      </c>
      <c r="E49" s="108">
        <v>0</v>
      </c>
      <c r="F49" s="107">
        <f>Inputs!G77</f>
        <v>936</v>
      </c>
      <c r="G49" s="82">
        <v>7.8238719068413398E-2</v>
      </c>
      <c r="H49" s="108">
        <v>753</v>
      </c>
      <c r="I49" s="108">
        <v>-559</v>
      </c>
      <c r="J49" s="1069" t="s">
        <v>138</v>
      </c>
      <c r="K49" s="1070"/>
      <c r="L49" s="33">
        <f>_xlfn.XLOOKUP($J49,'Fin. Data'!$A:$A,'Fin. Data'!B:B,,0)</f>
        <v>-1989</v>
      </c>
      <c r="M49" s="428">
        <f>_xlfn.XLOOKUP($J49,'Fin. Data'!$A:$A,'Fin. Data'!C:C,,0)</f>
        <v>-14536</v>
      </c>
      <c r="N49" s="21">
        <f t="shared" si="1"/>
        <v>0.24925921536091034</v>
      </c>
      <c r="O49" s="21">
        <f t="shared" si="2"/>
        <v>0.66704298173841892</v>
      </c>
      <c r="P49" s="20"/>
      <c r="Q49" s="19">
        <f t="shared" si="3"/>
        <v>1.084632516703786</v>
      </c>
      <c r="R49" s="19">
        <f t="shared" si="4"/>
        <v>0.19145569620253156</v>
      </c>
      <c r="S49" s="19">
        <f t="shared" si="4"/>
        <v>-0.84714246650259772</v>
      </c>
    </row>
    <row r="50" spans="2:19">
      <c r="B50" s="626">
        <f t="shared" si="0"/>
        <v>2018</v>
      </c>
      <c r="C50" s="108">
        <v>13282</v>
      </c>
      <c r="D50" s="81">
        <v>4.0280078301460624E-2</v>
      </c>
      <c r="E50" s="108">
        <v>0</v>
      </c>
      <c r="F50" s="107">
        <f>Inputs!F77</f>
        <v>126</v>
      </c>
      <c r="G50" s="82">
        <v>0.11861925366821746</v>
      </c>
      <c r="H50" s="108">
        <v>962</v>
      </c>
      <c r="I50" s="108">
        <v>-5710</v>
      </c>
      <c r="J50" s="1071" t="s">
        <v>139</v>
      </c>
      <c r="K50" s="1072"/>
      <c r="L50" s="33">
        <f>_xlfn.XLOOKUP($J50,'Fin. Data'!$A:$A,'Fin. Data'!B:B,,0)</f>
        <v>-798</v>
      </c>
      <c r="M50" s="428">
        <f>_xlfn.XLOOKUP($J50,'Fin. Data'!$A:$A,'Fin. Data'!C:C,,0)</f>
        <v>-717</v>
      </c>
      <c r="N50" s="21">
        <f t="shared" si="1"/>
        <v>0.26015180265654658</v>
      </c>
      <c r="O50" s="21">
        <f t="shared" si="2"/>
        <v>-6.4863380402213733E-2</v>
      </c>
      <c r="P50" s="20"/>
      <c r="Q50" s="19">
        <f t="shared" si="3"/>
        <v>-0.86538461538461542</v>
      </c>
      <c r="R50" s="19">
        <f t="shared" si="4"/>
        <v>0.27755644090305442</v>
      </c>
      <c r="S50" s="19">
        <f t="shared" si="4"/>
        <v>9.2146690518783547</v>
      </c>
    </row>
    <row r="51" spans="2:19">
      <c r="B51" s="626">
        <f t="shared" si="0"/>
        <v>2019</v>
      </c>
      <c r="C51" s="108">
        <v>17098</v>
      </c>
      <c r="D51" s="81">
        <v>1.7370452684524505E-2</v>
      </c>
      <c r="E51" s="108">
        <v>0</v>
      </c>
      <c r="F51" s="107">
        <f>Inputs!E77</f>
        <v>1476</v>
      </c>
      <c r="G51" s="82">
        <v>5.547291659108225E-2</v>
      </c>
      <c r="H51" s="108">
        <v>2135</v>
      </c>
      <c r="I51" s="108">
        <v>-1012</v>
      </c>
      <c r="J51" s="1071" t="s">
        <v>140</v>
      </c>
      <c r="K51" s="1072"/>
      <c r="L51" s="33">
        <f>_xlfn.XLOOKUP($J51,'Fin. Data'!$A:$A,'Fin. Data'!B:B,,0)</f>
        <v>-439</v>
      </c>
      <c r="M51" s="428">
        <f>_xlfn.XLOOKUP($J51,'Fin. Data'!$A:$A,'Fin. Data'!C:C,,0)</f>
        <v>-14876</v>
      </c>
      <c r="N51" s="21">
        <f t="shared" si="1"/>
        <v>0.28730612859509108</v>
      </c>
      <c r="O51" s="21">
        <f t="shared" si="2"/>
        <v>-0.56875821952176731</v>
      </c>
      <c r="P51" s="20"/>
      <c r="Q51" s="19">
        <f t="shared" si="3"/>
        <v>10.714285714285714</v>
      </c>
      <c r="R51" s="19">
        <f t="shared" si="4"/>
        <v>1.2193347193347193</v>
      </c>
      <c r="S51" s="19">
        <f t="shared" si="4"/>
        <v>-0.82276707530647986</v>
      </c>
    </row>
    <row r="52" spans="2:19">
      <c r="B52" s="626">
        <f t="shared" si="0"/>
        <v>2020</v>
      </c>
      <c r="C52" s="108">
        <v>21252</v>
      </c>
      <c r="D52" s="81">
        <v>2.1409749670619236E-2</v>
      </c>
      <c r="E52" s="108">
        <v>0</v>
      </c>
      <c r="F52" s="107">
        <f>Inputs!D77</f>
        <v>2050</v>
      </c>
      <c r="G52" s="82">
        <v>4.2246723277175303E-2</v>
      </c>
      <c r="H52" s="108">
        <v>2846</v>
      </c>
      <c r="I52" s="108">
        <v>-1991</v>
      </c>
      <c r="J52" s="1069" t="s">
        <v>141</v>
      </c>
      <c r="K52" s="1070"/>
      <c r="L52" s="33">
        <f>_xlfn.XLOOKUP($J52,'Fin. Data'!$A:$A,'Fin. Data'!B:B,,0)</f>
        <v>-3562</v>
      </c>
      <c r="M52" s="428">
        <f>_xlfn.XLOOKUP($J52,'Fin. Data'!$A:$A,'Fin. Data'!C:C,,0)</f>
        <v>7838</v>
      </c>
      <c r="N52" s="21">
        <f t="shared" si="1"/>
        <v>0.24295239209264241</v>
      </c>
      <c r="O52" s="21">
        <f t="shared" si="2"/>
        <v>0.2325383833947734</v>
      </c>
      <c r="P52" s="20"/>
      <c r="Q52" s="19">
        <f t="shared" si="3"/>
        <v>0.38888888888888884</v>
      </c>
      <c r="R52" s="19">
        <f t="shared" si="4"/>
        <v>0.33302107728337238</v>
      </c>
      <c r="S52" s="19">
        <f t="shared" si="4"/>
        <v>0.96739130434782616</v>
      </c>
    </row>
    <row r="53" spans="2:19">
      <c r="B53" s="626">
        <f>B54-1</f>
        <v>2021</v>
      </c>
      <c r="C53" s="108">
        <v>26492</v>
      </c>
      <c r="D53" s="81">
        <v>2.0685489959232976E-2</v>
      </c>
      <c r="E53" s="108">
        <v>0</v>
      </c>
      <c r="F53" s="107">
        <f>Inputs!C$77</f>
        <v>-731</v>
      </c>
      <c r="G53" s="82">
        <v>0.11529372223214192</v>
      </c>
      <c r="H53" s="108">
        <v>3298</v>
      </c>
      <c r="I53" s="108">
        <v>-15593</v>
      </c>
      <c r="J53" s="1071" t="s">
        <v>142</v>
      </c>
      <c r="K53" s="1072"/>
      <c r="L53" s="33">
        <f>_xlfn.XLOOKUP($J53,'Fin. Data'!$A:$A,'Fin. Data'!B:B,,0)</f>
        <v>0</v>
      </c>
      <c r="M53" s="428">
        <f>_xlfn.XLOOKUP($J53,'Fin. Data'!$A:$A,'Fin. Data'!C:C,,0)</f>
        <v>0</v>
      </c>
      <c r="N53" s="21">
        <f t="shared" si="1"/>
        <v>0.24656502917372491</v>
      </c>
      <c r="O53" s="21">
        <f t="shared" si="2"/>
        <v>-3.3828499750287455E-2</v>
      </c>
      <c r="P53" s="20"/>
      <c r="Q53" s="19">
        <f t="shared" si="3"/>
        <v>-1.3565853658536584</v>
      </c>
      <c r="R53" s="19">
        <f t="shared" si="4"/>
        <v>0.15881939564300773</v>
      </c>
      <c r="S53" s="19">
        <f t="shared" si="4"/>
        <v>6.8317428427925666</v>
      </c>
    </row>
    <row r="54" spans="2:19">
      <c r="B54" s="626">
        <f>J20</f>
        <v>2022</v>
      </c>
      <c r="C54" s="108">
        <v>31352</v>
      </c>
      <c r="D54" s="81">
        <v>3.2852768563409032E-2</v>
      </c>
      <c r="E54" s="108">
        <v>-4000</v>
      </c>
      <c r="F54" s="107">
        <f>Inputs!B77</f>
        <v>1552</v>
      </c>
      <c r="G54" s="82">
        <v>0.11524648706613116</v>
      </c>
      <c r="H54" s="108">
        <v>3786</v>
      </c>
      <c r="I54" s="108">
        <v>-1237</v>
      </c>
      <c r="J54" s="1071" t="s">
        <v>143</v>
      </c>
      <c r="K54" s="1072"/>
      <c r="L54" s="33">
        <f>_xlfn.XLOOKUP($J54,'Fin. Data'!$A:$A,'Fin. Data'!B:B,,0)</f>
        <v>-4000</v>
      </c>
      <c r="M54" s="428">
        <f>_xlfn.XLOOKUP($J54,'Fin. Data'!$A:$A,'Fin. Data'!C:C,,0)</f>
        <v>0</v>
      </c>
      <c r="N54" s="21">
        <f t="shared" si="1"/>
        <v>0.18345160803261362</v>
      </c>
      <c r="O54" s="21">
        <f t="shared" si="2"/>
        <v>0.58820354887195636</v>
      </c>
      <c r="P54" s="20"/>
      <c r="Q54" s="19">
        <f t="shared" si="3"/>
        <v>-3.1231190150478798</v>
      </c>
      <c r="R54" s="19">
        <f t="shared" si="4"/>
        <v>0.14796846573681011</v>
      </c>
      <c r="S54" s="19">
        <f t="shared" si="4"/>
        <v>-0.92066953119989736</v>
      </c>
    </row>
    <row r="55" spans="2:19">
      <c r="B55" s="627" t="s">
        <v>144</v>
      </c>
      <c r="C55" s="84">
        <f>IFERROR((C54/C46)^(1/8)-1,"")</f>
        <v>0.24665403934327634</v>
      </c>
      <c r="D55" s="84" t="str">
        <f>IFERROR((D54/D46)^(1/8),"")</f>
        <v/>
      </c>
      <c r="E55" s="102"/>
      <c r="F55" s="84">
        <f>IFERROR((F54/F46)^(1/8)-1,"")</f>
        <v>0.36817950456408477</v>
      </c>
      <c r="G55" s="102"/>
      <c r="H55" s="84">
        <f>IFERROR((H54/H46)^(1/8)-1,"")</f>
        <v>0.30564913045429276</v>
      </c>
      <c r="I55" s="102"/>
      <c r="J55" s="1069" t="s">
        <v>145</v>
      </c>
      <c r="K55" s="1070"/>
      <c r="L55" s="33">
        <f>_xlfn.XLOOKUP($J55,'Fin. Data'!$A:$A,'Fin. Data'!B:B,,0)</f>
        <v>-8</v>
      </c>
      <c r="M55" s="428">
        <f>_xlfn.XLOOKUP($J55,'Fin. Data'!$A:$A,'Fin. Data'!C:C,,0)</f>
        <v>-33</v>
      </c>
      <c r="N55" s="21">
        <f t="shared" si="1"/>
        <v>-0.99999213274944687</v>
      </c>
      <c r="O55" s="21" t="e">
        <f t="shared" si="2"/>
        <v>#VALUE!</v>
      </c>
      <c r="P55" s="20"/>
      <c r="Q55" s="19"/>
      <c r="R55" s="19"/>
      <c r="S55" s="19"/>
    </row>
    <row r="56" spans="2:19">
      <c r="B56" s="627" t="s">
        <v>146</v>
      </c>
      <c r="C56" s="84">
        <f>IFERROR(AVERAGE(N47:N54),"")</f>
        <v>0.24697197555511188</v>
      </c>
      <c r="D56" s="84">
        <f>IFERROR(AVERAGE(O47:O54),"")</f>
        <v>-3.0068480216279517E-2</v>
      </c>
      <c r="E56" s="102"/>
      <c r="F56" s="84">
        <f>IFERROR(AVERAGE(Q47:Q54),"")</f>
        <v>1.0909379295332096</v>
      </c>
      <c r="G56" s="102"/>
      <c r="H56" s="84">
        <f>IFERROR(AVERAGE(S47:S54),"")</f>
        <v>2.5973179553271462</v>
      </c>
      <c r="I56" s="102"/>
      <c r="J56" s="1073" t="s">
        <v>147</v>
      </c>
      <c r="K56" s="1074"/>
      <c r="L56" s="111">
        <f>L48-L49+L52-L53-L54</f>
        <v>9538</v>
      </c>
      <c r="M56" s="373">
        <f>M48-M49+M52-M53-M54</f>
        <v>28374</v>
      </c>
    </row>
    <row r="57" spans="2:19">
      <c r="B57" s="627" t="s">
        <v>148</v>
      </c>
      <c r="C57" s="84">
        <f>IFERROR(STDEV(C47:C54)/AVERAGE(C47:C54),"")</f>
        <v>0.52467768813317073</v>
      </c>
      <c r="D57" s="84">
        <f>IFERROR(STDEV(D46:D54)/AVERAGE(D46:D54),"")</f>
        <v>0.96786601052138355</v>
      </c>
      <c r="E57" s="102"/>
      <c r="F57" s="84">
        <f>IFERROR(STDEV(F46:F54)/AVERAGE(F46:F54),"")</f>
        <v>1.2684719085233553</v>
      </c>
      <c r="G57" s="102"/>
      <c r="H57" s="84">
        <f>IFERROR(STDEV(H46:H54)/AVERAGE(H46:H54),"")</f>
        <v>0.77198956828630094</v>
      </c>
      <c r="I57" s="102"/>
      <c r="J57" s="1075" t="s">
        <v>149</v>
      </c>
      <c r="K57" s="1076"/>
      <c r="L57" s="368">
        <f>IFERROR(SUM(I51:I54)/(C54-C50),"")</f>
        <v>-1.0975650249031543</v>
      </c>
      <c r="M57" s="427">
        <f>IFERROR((SUM(I51:I54)-SUM(H51:H54))/(C54-C50),"")</f>
        <v>-1.7652462645268401</v>
      </c>
    </row>
    <row r="58" spans="2:19">
      <c r="B58" s="627" t="s">
        <v>150</v>
      </c>
      <c r="C58" s="84">
        <f>IFERROR(C54/C53-1,"")</f>
        <v>0.18345160803261362</v>
      </c>
      <c r="D58" s="84">
        <f>IFERROR(D54/D53-1,"")</f>
        <v>0.58820354887195636</v>
      </c>
      <c r="E58" s="102"/>
      <c r="F58" s="84">
        <f>IFERROR(1-(F54/F53),"")</f>
        <v>3.1231190150478798</v>
      </c>
      <c r="G58" s="102"/>
      <c r="H58" s="84">
        <f>IFERROR(1-(H54/H53),"")</f>
        <v>-0.14796846573681011</v>
      </c>
      <c r="I58" s="102"/>
      <c r="J58" s="1077" t="s">
        <v>151</v>
      </c>
      <c r="K58" s="1078"/>
      <c r="L58" s="369">
        <f>IFERROR(L57/E27,"")</f>
        <v>-8.0285751917945323</v>
      </c>
      <c r="M58" s="374">
        <f>IFERROR(M57/E27,"")</f>
        <v>-12.912594739467655</v>
      </c>
    </row>
    <row r="59" spans="2:19" ht="18">
      <c r="B59" s="980" t="s">
        <v>152</v>
      </c>
      <c r="C59" s="981"/>
      <c r="D59" s="981"/>
      <c r="E59" s="981"/>
      <c r="F59" s="981"/>
      <c r="G59" s="981"/>
      <c r="H59" s="981"/>
      <c r="I59" s="981"/>
      <c r="J59" s="981"/>
      <c r="K59" s="981"/>
      <c r="L59" s="981"/>
      <c r="M59" s="982"/>
    </row>
    <row r="60" spans="2:19" ht="16">
      <c r="B60" s="955" t="s">
        <v>153</v>
      </c>
      <c r="C60" s="907"/>
      <c r="D60" s="907"/>
      <c r="E60" s="907"/>
      <c r="F60" s="907"/>
      <c r="G60" s="907"/>
      <c r="H60" s="907"/>
      <c r="I60" s="907"/>
      <c r="J60" s="907" t="s">
        <v>154</v>
      </c>
      <c r="K60" s="907"/>
      <c r="L60" s="907"/>
      <c r="M60" s="908"/>
    </row>
    <row r="61" spans="2:19">
      <c r="B61" s="1016" t="s">
        <v>155</v>
      </c>
      <c r="C61" s="926"/>
      <c r="D61" s="926"/>
      <c r="E61" s="926" t="s">
        <v>156</v>
      </c>
      <c r="F61" s="926"/>
      <c r="G61" s="926"/>
      <c r="H61" s="926"/>
      <c r="I61" s="926"/>
      <c r="J61" s="926" t="s">
        <v>6</v>
      </c>
      <c r="K61" s="926"/>
      <c r="L61" s="926"/>
      <c r="M61" s="371" t="s">
        <v>157</v>
      </c>
    </row>
    <row r="62" spans="2:19" ht="15" customHeight="1">
      <c r="B62" s="1017" t="s">
        <v>158</v>
      </c>
      <c r="C62" s="1018"/>
      <c r="D62" s="1019"/>
      <c r="E62" s="909" t="s">
        <v>159</v>
      </c>
      <c r="F62" s="918"/>
      <c r="G62" s="918"/>
      <c r="H62" s="918"/>
      <c r="I62" s="919"/>
      <c r="J62" s="936" t="s">
        <v>160</v>
      </c>
      <c r="K62" s="937"/>
      <c r="L62" s="937"/>
      <c r="M62" s="714">
        <v>8.5058999999999996E-2</v>
      </c>
      <c r="N62" s="713"/>
      <c r="O62" s="713"/>
    </row>
    <row r="63" spans="2:19" ht="15" customHeight="1">
      <c r="B63" s="1020"/>
      <c r="C63" s="1021"/>
      <c r="D63" s="1022"/>
      <c r="E63" s="920"/>
      <c r="F63" s="921"/>
      <c r="G63" s="921"/>
      <c r="H63" s="921"/>
      <c r="I63" s="922"/>
      <c r="J63" s="936" t="s">
        <v>161</v>
      </c>
      <c r="K63" s="937"/>
      <c r="L63" s="937"/>
      <c r="M63" s="714">
        <v>4.7586999999999997E-2</v>
      </c>
      <c r="N63" s="713"/>
      <c r="O63" s="713"/>
    </row>
    <row r="64" spans="2:19" ht="15" customHeight="1">
      <c r="B64" s="1020"/>
      <c r="C64" s="1021"/>
      <c r="D64" s="1022"/>
      <c r="E64" s="920"/>
      <c r="F64" s="921"/>
      <c r="G64" s="921"/>
      <c r="H64" s="921"/>
      <c r="I64" s="922"/>
      <c r="J64" s="936" t="s">
        <v>162</v>
      </c>
      <c r="K64" s="937"/>
      <c r="L64" s="937"/>
      <c r="M64" s="714">
        <v>4.6920000000000003E-2</v>
      </c>
      <c r="N64" s="713"/>
      <c r="O64" s="713"/>
    </row>
    <row r="65" spans="2:15" ht="15" customHeight="1">
      <c r="B65" s="1020"/>
      <c r="C65" s="1021"/>
      <c r="D65" s="1022"/>
      <c r="E65" s="920"/>
      <c r="F65" s="921"/>
      <c r="G65" s="921"/>
      <c r="H65" s="921"/>
      <c r="I65" s="922"/>
      <c r="J65" s="936" t="s">
        <v>163</v>
      </c>
      <c r="K65" s="937"/>
      <c r="L65" s="937"/>
      <c r="M65" s="714">
        <v>3.7540999999999998E-2</v>
      </c>
      <c r="N65" s="713"/>
      <c r="O65" s="713"/>
    </row>
    <row r="66" spans="2:15">
      <c r="B66" s="1020"/>
      <c r="C66" s="1021"/>
      <c r="D66" s="1022"/>
      <c r="E66" s="920"/>
      <c r="F66" s="921"/>
      <c r="G66" s="921"/>
      <c r="H66" s="921"/>
      <c r="I66" s="922"/>
      <c r="J66" s="936" t="s">
        <v>164</v>
      </c>
      <c r="K66" s="937"/>
      <c r="L66" s="937"/>
      <c r="M66" s="714">
        <v>2.6624999999999999E-2</v>
      </c>
      <c r="N66" s="713"/>
      <c r="O66" s="713"/>
    </row>
    <row r="67" spans="2:15">
      <c r="B67" s="1020"/>
      <c r="C67" s="1021"/>
      <c r="D67" s="1022"/>
      <c r="E67" s="920"/>
      <c r="F67" s="921"/>
      <c r="G67" s="921"/>
      <c r="H67" s="921"/>
      <c r="I67" s="922"/>
      <c r="J67" s="936" t="s">
        <v>165</v>
      </c>
      <c r="K67" s="937"/>
      <c r="L67" s="937"/>
      <c r="M67" s="714">
        <v>1.9775999999999998E-2</v>
      </c>
      <c r="N67" s="713"/>
      <c r="O67" s="713"/>
    </row>
    <row r="68" spans="2:15">
      <c r="B68" s="1020"/>
      <c r="C68" s="1021"/>
      <c r="D68" s="1022"/>
      <c r="E68" s="920"/>
      <c r="F68" s="921"/>
      <c r="G68" s="921"/>
      <c r="H68" s="921"/>
      <c r="I68" s="922"/>
      <c r="J68" s="936" t="s">
        <v>166</v>
      </c>
      <c r="K68" s="937"/>
      <c r="L68" s="937"/>
      <c r="M68" s="714">
        <v>1.8280000000000001E-2</v>
      </c>
      <c r="N68" s="713"/>
      <c r="O68" s="713"/>
    </row>
    <row r="69" spans="2:15">
      <c r="B69" s="1020"/>
      <c r="C69" s="1021"/>
      <c r="D69" s="1022"/>
      <c r="E69" s="920"/>
      <c r="F69" s="921"/>
      <c r="G69" s="921"/>
      <c r="H69" s="921"/>
      <c r="I69" s="922"/>
      <c r="J69" s="936" t="s">
        <v>167</v>
      </c>
      <c r="K69" s="937"/>
      <c r="L69" s="937"/>
      <c r="M69" s="714">
        <v>1.4277E-2</v>
      </c>
      <c r="N69" s="713"/>
      <c r="O69" s="713"/>
    </row>
    <row r="70" spans="2:15">
      <c r="B70" s="1020"/>
      <c r="C70" s="1021"/>
      <c r="D70" s="1022"/>
      <c r="E70" s="920"/>
      <c r="F70" s="921"/>
      <c r="G70" s="921"/>
      <c r="H70" s="921"/>
      <c r="I70" s="922"/>
      <c r="J70" s="936" t="s">
        <v>168</v>
      </c>
      <c r="K70" s="937"/>
      <c r="L70" s="937"/>
      <c r="M70" s="714">
        <v>1.4232E-2</v>
      </c>
      <c r="N70" s="713"/>
      <c r="O70" s="713"/>
    </row>
    <row r="71" spans="2:15">
      <c r="B71" s="1023"/>
      <c r="C71" s="1024"/>
      <c r="D71" s="1025"/>
      <c r="E71" s="923"/>
      <c r="F71" s="924"/>
      <c r="G71" s="924"/>
      <c r="H71" s="924"/>
      <c r="I71" s="925"/>
      <c r="J71" s="936" t="s">
        <v>169</v>
      </c>
      <c r="K71" s="937"/>
      <c r="L71" s="937"/>
      <c r="M71" s="714">
        <v>1.2795000000000001E-2</v>
      </c>
      <c r="N71" s="713"/>
      <c r="O71" s="713"/>
    </row>
    <row r="72" spans="2:15">
      <c r="B72" s="1016" t="s">
        <v>170</v>
      </c>
      <c r="C72" s="926"/>
      <c r="D72" s="926"/>
      <c r="E72" s="926" t="s">
        <v>171</v>
      </c>
      <c r="F72" s="926"/>
      <c r="G72" s="926"/>
      <c r="H72" s="926"/>
      <c r="I72" s="926"/>
      <c r="J72" s="936" t="s">
        <v>172</v>
      </c>
      <c r="K72" s="937"/>
      <c r="L72" s="937"/>
      <c r="M72" s="714">
        <v>1.162E-2</v>
      </c>
      <c r="N72" s="713"/>
      <c r="O72" s="713"/>
    </row>
    <row r="73" spans="2:15" ht="15" customHeight="1">
      <c r="B73" s="927" t="s">
        <v>173</v>
      </c>
      <c r="C73" s="928"/>
      <c r="D73" s="929"/>
      <c r="E73" s="909" t="s">
        <v>174</v>
      </c>
      <c r="F73" s="910"/>
      <c r="G73" s="910"/>
      <c r="H73" s="910"/>
      <c r="I73" s="911"/>
      <c r="J73" s="936" t="s">
        <v>175</v>
      </c>
      <c r="K73" s="937"/>
      <c r="L73" s="937"/>
      <c r="M73" s="714">
        <v>1.1010000000000001E-2</v>
      </c>
      <c r="N73" s="713"/>
      <c r="O73" s="713"/>
    </row>
    <row r="74" spans="2:15" ht="15" customHeight="1">
      <c r="B74" s="930"/>
      <c r="C74" s="931"/>
      <c r="D74" s="932"/>
      <c r="E74" s="912"/>
      <c r="F74" s="913"/>
      <c r="G74" s="913"/>
      <c r="H74" s="913"/>
      <c r="I74" s="914"/>
      <c r="J74" s="936" t="s">
        <v>176</v>
      </c>
      <c r="K74" s="937"/>
      <c r="L74" s="937"/>
      <c r="M74" s="714">
        <v>9.8150000000000008E-3</v>
      </c>
      <c r="N74" s="713"/>
      <c r="O74" s="713"/>
    </row>
    <row r="75" spans="2:15" ht="15" customHeight="1">
      <c r="B75" s="930"/>
      <c r="C75" s="931"/>
      <c r="D75" s="932"/>
      <c r="E75" s="912"/>
      <c r="F75" s="913"/>
      <c r="G75" s="913"/>
      <c r="H75" s="913"/>
      <c r="I75" s="914"/>
      <c r="J75" s="936" t="s">
        <v>177</v>
      </c>
      <c r="K75" s="937"/>
      <c r="L75" s="937"/>
      <c r="M75" s="714">
        <v>9.3390000000000001E-3</v>
      </c>
      <c r="N75" s="713"/>
      <c r="O75" s="713"/>
    </row>
    <row r="76" spans="2:15" ht="15" customHeight="1">
      <c r="B76" s="930"/>
      <c r="C76" s="931"/>
      <c r="D76" s="932"/>
      <c r="E76" s="912"/>
      <c r="F76" s="913"/>
      <c r="G76" s="913"/>
      <c r="H76" s="913"/>
      <c r="I76" s="914"/>
      <c r="J76" s="936" t="s">
        <v>178</v>
      </c>
      <c r="K76" s="937"/>
      <c r="L76" s="937"/>
      <c r="M76" s="714">
        <v>9.3179999999999999E-3</v>
      </c>
      <c r="N76" s="713"/>
      <c r="O76" s="713"/>
    </row>
    <row r="77" spans="2:15">
      <c r="B77" s="930"/>
      <c r="C77" s="931"/>
      <c r="D77" s="932"/>
      <c r="E77" s="912"/>
      <c r="F77" s="913"/>
      <c r="G77" s="913"/>
      <c r="H77" s="913"/>
      <c r="I77" s="914"/>
      <c r="J77" s="936" t="s">
        <v>179</v>
      </c>
      <c r="K77" s="937"/>
      <c r="L77" s="937"/>
      <c r="M77" s="714">
        <v>8.1320000000000003E-3</v>
      </c>
      <c r="N77" s="713"/>
      <c r="O77" s="713"/>
    </row>
    <row r="78" spans="2:15">
      <c r="B78" s="930"/>
      <c r="C78" s="931"/>
      <c r="D78" s="932"/>
      <c r="E78" s="912"/>
      <c r="F78" s="913"/>
      <c r="G78" s="913"/>
      <c r="H78" s="913"/>
      <c r="I78" s="914"/>
      <c r="J78" s="936" t="s">
        <v>180</v>
      </c>
      <c r="K78" s="937"/>
      <c r="L78" s="937"/>
      <c r="M78" s="714">
        <v>8.005E-3</v>
      </c>
      <c r="N78" s="713"/>
      <c r="O78" s="713"/>
    </row>
    <row r="79" spans="2:15">
      <c r="B79" s="930"/>
      <c r="C79" s="931"/>
      <c r="D79" s="932"/>
      <c r="E79" s="912"/>
      <c r="F79" s="913"/>
      <c r="G79" s="913"/>
      <c r="H79" s="913"/>
      <c r="I79" s="914"/>
      <c r="J79" s="936" t="s">
        <v>181</v>
      </c>
      <c r="K79" s="937"/>
      <c r="L79" s="937"/>
      <c r="M79" s="714">
        <v>7.9869999999999993E-3</v>
      </c>
      <c r="N79" s="713"/>
      <c r="O79" s="713"/>
    </row>
    <row r="80" spans="2:15">
      <c r="B80" s="930"/>
      <c r="C80" s="931"/>
      <c r="D80" s="932"/>
      <c r="E80" s="912"/>
      <c r="F80" s="913"/>
      <c r="G80" s="913"/>
      <c r="H80" s="913"/>
      <c r="I80" s="914"/>
      <c r="J80" s="938" t="s">
        <v>182</v>
      </c>
      <c r="K80" s="939"/>
      <c r="L80" s="939"/>
      <c r="M80" s="714">
        <v>7.3150000000000003E-3</v>
      </c>
      <c r="N80" s="713"/>
      <c r="O80" s="713"/>
    </row>
    <row r="81" spans="2:15">
      <c r="B81" s="933"/>
      <c r="C81" s="934"/>
      <c r="D81" s="935"/>
      <c r="E81" s="915"/>
      <c r="F81" s="916"/>
      <c r="G81" s="916"/>
      <c r="H81" s="916"/>
      <c r="I81" s="917"/>
      <c r="J81" s="938" t="s">
        <v>183</v>
      </c>
      <c r="K81" s="939"/>
      <c r="L81" s="939"/>
      <c r="M81" s="714">
        <v>6.7749999999999998E-3</v>
      </c>
      <c r="N81" s="713"/>
      <c r="O81" s="713"/>
    </row>
    <row r="82" spans="2:15" ht="16">
      <c r="B82" s="1056" t="s">
        <v>184</v>
      </c>
      <c r="C82" s="1057"/>
      <c r="D82" s="1057"/>
      <c r="E82" s="1057"/>
      <c r="F82" s="1057"/>
      <c r="G82" s="907" t="s">
        <v>185</v>
      </c>
      <c r="H82" s="907"/>
      <c r="I82" s="907"/>
      <c r="J82" s="907"/>
      <c r="K82" s="907"/>
      <c r="L82" s="907"/>
      <c r="M82" s="908"/>
    </row>
    <row r="83" spans="2:15" s="10" customFormat="1">
      <c r="B83" s="940"/>
      <c r="C83" s="941"/>
      <c r="D83" s="941"/>
      <c r="E83" s="941"/>
      <c r="F83" s="942"/>
      <c r="G83"/>
      <c r="H83"/>
      <c r="I83"/>
      <c r="J83"/>
      <c r="K83"/>
      <c r="L83"/>
      <c r="M83" s="31"/>
    </row>
    <row r="84" spans="2:15">
      <c r="B84" s="943"/>
      <c r="C84" s="944"/>
      <c r="D84" s="944"/>
      <c r="E84" s="944"/>
      <c r="F84" s="945"/>
      <c r="M84" s="31"/>
    </row>
    <row r="85" spans="2:15">
      <c r="B85" s="943"/>
      <c r="C85" s="944"/>
      <c r="D85" s="944"/>
      <c r="E85" s="944"/>
      <c r="F85" s="945"/>
      <c r="M85" s="31"/>
    </row>
    <row r="86" spans="2:15">
      <c r="B86" s="943"/>
      <c r="C86" s="944"/>
      <c r="D86" s="944"/>
      <c r="E86" s="944"/>
      <c r="F86" s="945"/>
      <c r="M86" s="31"/>
    </row>
    <row r="87" spans="2:15">
      <c r="B87" s="943"/>
      <c r="C87" s="944"/>
      <c r="D87" s="944"/>
      <c r="E87" s="944"/>
      <c r="F87" s="945"/>
      <c r="M87" s="31"/>
    </row>
    <row r="88" spans="2:15">
      <c r="B88" s="943"/>
      <c r="C88" s="944"/>
      <c r="D88" s="944"/>
      <c r="E88" s="944"/>
      <c r="F88" s="945"/>
      <c r="M88" s="31"/>
    </row>
    <row r="89" spans="2:15">
      <c r="B89" s="943"/>
      <c r="C89" s="944"/>
      <c r="D89" s="944"/>
      <c r="E89" s="944"/>
      <c r="F89" s="945"/>
      <c r="M89" s="31"/>
    </row>
    <row r="90" spans="2:15">
      <c r="B90" s="943"/>
      <c r="C90" s="944"/>
      <c r="D90" s="944"/>
      <c r="E90" s="944"/>
      <c r="F90" s="945"/>
      <c r="M90" s="31"/>
    </row>
    <row r="91" spans="2:15">
      <c r="B91" s="943"/>
      <c r="C91" s="944"/>
      <c r="D91" s="944"/>
      <c r="E91" s="944"/>
      <c r="F91" s="945"/>
      <c r="M91" s="31"/>
    </row>
    <row r="92" spans="2:15">
      <c r="B92" s="943"/>
      <c r="C92" s="944"/>
      <c r="D92" s="944"/>
      <c r="E92" s="944"/>
      <c r="F92" s="945"/>
      <c r="M92" s="31"/>
    </row>
    <row r="93" spans="2:15">
      <c r="B93" s="943"/>
      <c r="C93" s="944"/>
      <c r="D93" s="944"/>
      <c r="E93" s="944"/>
      <c r="F93" s="945"/>
      <c r="M93" s="31"/>
    </row>
    <row r="94" spans="2:15">
      <c r="B94" s="943"/>
      <c r="C94" s="944"/>
      <c r="D94" s="944"/>
      <c r="E94" s="944"/>
      <c r="F94" s="945"/>
      <c r="M94" s="31"/>
    </row>
    <row r="95" spans="2:15">
      <c r="B95" s="943"/>
      <c r="C95" s="944"/>
      <c r="D95" s="944"/>
      <c r="E95" s="944"/>
      <c r="F95" s="945"/>
      <c r="M95" s="31"/>
    </row>
    <row r="96" spans="2:15">
      <c r="B96" s="943"/>
      <c r="C96" s="944"/>
      <c r="D96" s="944"/>
      <c r="E96" s="944"/>
      <c r="F96" s="945"/>
      <c r="M96" s="31"/>
    </row>
    <row r="97" spans="2:13">
      <c r="B97" s="943"/>
      <c r="C97" s="944"/>
      <c r="D97" s="944"/>
      <c r="E97" s="944"/>
      <c r="F97" s="945"/>
      <c r="M97" s="31"/>
    </row>
    <row r="98" spans="2:13">
      <c r="B98" s="943"/>
      <c r="C98" s="944"/>
      <c r="D98" s="944"/>
      <c r="E98" s="944"/>
      <c r="F98" s="945"/>
      <c r="M98" s="31"/>
    </row>
    <row r="99" spans="2:13">
      <c r="B99" s="943"/>
      <c r="C99" s="944"/>
      <c r="D99" s="944"/>
      <c r="E99" s="944"/>
      <c r="F99" s="945"/>
      <c r="M99" s="31"/>
    </row>
    <row r="100" spans="2:13">
      <c r="B100" s="943"/>
      <c r="C100" s="944"/>
      <c r="D100" s="944"/>
      <c r="E100" s="944"/>
      <c r="F100" s="945"/>
      <c r="M100" s="31"/>
    </row>
    <row r="101" spans="2:13">
      <c r="B101" s="943"/>
      <c r="C101" s="944"/>
      <c r="D101" s="944"/>
      <c r="E101" s="944"/>
      <c r="F101" s="945"/>
      <c r="M101" s="31"/>
    </row>
    <row r="102" spans="2:13">
      <c r="B102" s="943"/>
      <c r="C102" s="944"/>
      <c r="D102" s="944"/>
      <c r="E102" s="944"/>
      <c r="F102" s="945"/>
      <c r="M102" s="31"/>
    </row>
    <row r="103" spans="2:13">
      <c r="B103" s="943"/>
      <c r="C103" s="944"/>
      <c r="D103" s="944"/>
      <c r="E103" s="944"/>
      <c r="F103" s="945"/>
      <c r="M103" s="31"/>
    </row>
    <row r="104" spans="2:13">
      <c r="B104" s="943"/>
      <c r="C104" s="944"/>
      <c r="D104" s="944"/>
      <c r="E104" s="944"/>
      <c r="F104" s="945"/>
      <c r="M104" s="31"/>
    </row>
    <row r="105" spans="2:13">
      <c r="B105" s="943"/>
      <c r="C105" s="944"/>
      <c r="D105" s="944"/>
      <c r="E105" s="944"/>
      <c r="F105" s="945"/>
      <c r="M105" s="31"/>
    </row>
    <row r="106" spans="2:13" ht="219" customHeight="1" thickBot="1">
      <c r="B106" s="943"/>
      <c r="C106" s="944"/>
      <c r="D106" s="944"/>
      <c r="E106" s="944"/>
      <c r="F106" s="945"/>
      <c r="M106" s="31"/>
    </row>
    <row r="107" spans="2:13" ht="21" customHeight="1" thickBot="1">
      <c r="B107" s="946"/>
      <c r="C107" s="947"/>
      <c r="D107" s="947"/>
      <c r="E107" s="947"/>
      <c r="F107" s="948"/>
      <c r="G107" s="906" t="s">
        <v>186</v>
      </c>
      <c r="H107" s="906"/>
      <c r="I107" s="628" t="s">
        <v>187</v>
      </c>
      <c r="J107" s="1042" t="s">
        <v>188</v>
      </c>
      <c r="K107" s="1043"/>
      <c r="L107" s="893" t="s">
        <v>189</v>
      </c>
      <c r="M107" s="629" t="s">
        <v>190</v>
      </c>
    </row>
  </sheetData>
  <mergeCells count="110">
    <mergeCell ref="J107:K107"/>
    <mergeCell ref="L40:M41"/>
    <mergeCell ref="I40:K41"/>
    <mergeCell ref="I42:K43"/>
    <mergeCell ref="B82:F82"/>
    <mergeCell ref="I35:M38"/>
    <mergeCell ref="I39:M39"/>
    <mergeCell ref="J47:K47"/>
    <mergeCell ref="J48:K48"/>
    <mergeCell ref="J49:K49"/>
    <mergeCell ref="J50:K50"/>
    <mergeCell ref="J51:K51"/>
    <mergeCell ref="J52:K52"/>
    <mergeCell ref="J53:K53"/>
    <mergeCell ref="J54:K54"/>
    <mergeCell ref="J55:K55"/>
    <mergeCell ref="J56:K56"/>
    <mergeCell ref="J57:K57"/>
    <mergeCell ref="J58:K58"/>
    <mergeCell ref="J76:L76"/>
    <mergeCell ref="J71:L71"/>
    <mergeCell ref="J72:L72"/>
    <mergeCell ref="J73:L73"/>
    <mergeCell ref="J74:L74"/>
    <mergeCell ref="B61:D61"/>
    <mergeCell ref="B72:D72"/>
    <mergeCell ref="B62:D71"/>
    <mergeCell ref="J60:M60"/>
    <mergeCell ref="E2:K2"/>
    <mergeCell ref="F20:G20"/>
    <mergeCell ref="F28:G28"/>
    <mergeCell ref="F26:G26"/>
    <mergeCell ref="J21:K21"/>
    <mergeCell ref="I22:J22"/>
    <mergeCell ref="I23:J23"/>
    <mergeCell ref="I24:J24"/>
    <mergeCell ref="I25:J25"/>
    <mergeCell ref="I26:J26"/>
    <mergeCell ref="I27:J27"/>
    <mergeCell ref="I28:J28"/>
    <mergeCell ref="F27:G27"/>
    <mergeCell ref="D4:G17"/>
    <mergeCell ref="D3:G3"/>
    <mergeCell ref="H3:M3"/>
    <mergeCell ref="F19:H19"/>
    <mergeCell ref="F22:G22"/>
    <mergeCell ref="F23:G23"/>
    <mergeCell ref="F24:G24"/>
    <mergeCell ref="F30:G30"/>
    <mergeCell ref="H35:H38"/>
    <mergeCell ref="C37:G37"/>
    <mergeCell ref="C38:G38"/>
    <mergeCell ref="C41:G41"/>
    <mergeCell ref="F25:G25"/>
    <mergeCell ref="F21:G21"/>
    <mergeCell ref="B17:C17"/>
    <mergeCell ref="L19:M19"/>
    <mergeCell ref="B19:C19"/>
    <mergeCell ref="B29:C29"/>
    <mergeCell ref="D19:E19"/>
    <mergeCell ref="B18:M18"/>
    <mergeCell ref="B33:M33"/>
    <mergeCell ref="B3:C3"/>
    <mergeCell ref="B4:C16"/>
    <mergeCell ref="B60:I60"/>
    <mergeCell ref="B34:G34"/>
    <mergeCell ref="I19:K19"/>
    <mergeCell ref="C43:G43"/>
    <mergeCell ref="C42:G42"/>
    <mergeCell ref="I29:J29"/>
    <mergeCell ref="I30:J30"/>
    <mergeCell ref="I31:J31"/>
    <mergeCell ref="I34:M34"/>
    <mergeCell ref="B39:G39"/>
    <mergeCell ref="C40:G40"/>
    <mergeCell ref="C35:G35"/>
    <mergeCell ref="B59:M59"/>
    <mergeCell ref="C36:G36"/>
    <mergeCell ref="J45:M45"/>
    <mergeCell ref="B44:M44"/>
    <mergeCell ref="L42:M43"/>
    <mergeCell ref="H40:H43"/>
    <mergeCell ref="J20:K20"/>
    <mergeCell ref="F32:G32"/>
    <mergeCell ref="F31:G31"/>
    <mergeCell ref="F29:G29"/>
    <mergeCell ref="G107:H107"/>
    <mergeCell ref="G82:M82"/>
    <mergeCell ref="E73:I81"/>
    <mergeCell ref="E62:I71"/>
    <mergeCell ref="J61:L61"/>
    <mergeCell ref="E72:I72"/>
    <mergeCell ref="B73:D81"/>
    <mergeCell ref="J64:L64"/>
    <mergeCell ref="J65:L65"/>
    <mergeCell ref="J66:L66"/>
    <mergeCell ref="J67:L67"/>
    <mergeCell ref="J68:L68"/>
    <mergeCell ref="J69:L69"/>
    <mergeCell ref="J70:L70"/>
    <mergeCell ref="J62:L62"/>
    <mergeCell ref="J63:L63"/>
    <mergeCell ref="E61:I61"/>
    <mergeCell ref="J75:L75"/>
    <mergeCell ref="J77:L77"/>
    <mergeCell ref="J78:L78"/>
    <mergeCell ref="J79:L79"/>
    <mergeCell ref="J81:L81"/>
    <mergeCell ref="J80:L80"/>
    <mergeCell ref="B83:F107"/>
  </mergeCells>
  <phoneticPr fontId="0" type="noConversion"/>
  <conditionalFormatting sqref="C46:C54 D46:E46">
    <cfRule type="dataBar" priority="11">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6:D54">
    <cfRule type="dataBar" priority="10">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7:D54">
    <cfRule type="dataBar" priority="17">
      <dataBar>
        <cfvo type="min"/>
        <cfvo type="max"/>
        <color rgb="FF638EC6"/>
      </dataBar>
      <extLst>
        <ext xmlns:x14="http://schemas.microsoft.com/office/spreadsheetml/2009/9/main" uri="{B025F937-C7B1-47D3-B67F-A62EFF666E3E}">
          <x14:id>{8F05AC94-FB75-41DC-A030-BD50695363B2}</x14:id>
        </ext>
      </extLst>
    </cfRule>
    <cfRule type="dataBar" priority="19">
      <dataBar>
        <cfvo type="min"/>
        <cfvo type="max"/>
        <color rgb="FF63C384"/>
      </dataBar>
      <extLst>
        <ext xmlns:x14="http://schemas.microsoft.com/office/spreadsheetml/2009/9/main" uri="{B025F937-C7B1-47D3-B67F-A62EFF666E3E}">
          <x14:id>{16E131EF-4CFA-4C45-B407-C7FA5F1CCD58}</x14:id>
        </ext>
      </extLst>
    </cfRule>
  </conditionalFormatting>
  <conditionalFormatting sqref="E46:E54">
    <cfRule type="dataBar" priority="9">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7:E54">
    <cfRule type="dataBar" priority="12">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5:E58 G55:G58 I55:I58">
    <cfRule type="dataBar" priority="14">
      <dataBar>
        <cfvo type="min"/>
        <cfvo type="max"/>
        <color rgb="FF638EC6"/>
      </dataBar>
      <extLst>
        <ext xmlns:x14="http://schemas.microsoft.com/office/spreadsheetml/2009/9/main" uri="{B025F937-C7B1-47D3-B67F-A62EFF666E3E}">
          <x14:id>{4382A5A4-8938-4754-913D-04C8EB3E9944}</x14:id>
        </ext>
      </extLst>
    </cfRule>
    <cfRule type="dataBar" priority="15">
      <dataBar>
        <cfvo type="min"/>
        <cfvo type="max"/>
        <color rgb="FF63C384"/>
      </dataBar>
      <extLst>
        <ext xmlns:x14="http://schemas.microsoft.com/office/spreadsheetml/2009/9/main" uri="{B025F937-C7B1-47D3-B67F-A62EFF666E3E}">
          <x14:id>{CA48BEF9-536B-483E-93D1-1D70FAC05115}</x14:id>
        </ext>
      </extLst>
    </cfRule>
  </conditionalFormatting>
  <conditionalFormatting sqref="F46:F54">
    <cfRule type="dataBar" priority="16">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6:G54">
    <cfRule type="dataBar" priority="18">
      <dataBar>
        <cfvo type="min"/>
        <cfvo type="max"/>
        <color rgb="FF63C384"/>
      </dataBar>
      <extLst>
        <ext xmlns:x14="http://schemas.microsoft.com/office/spreadsheetml/2009/9/main" uri="{B025F937-C7B1-47D3-B67F-A62EFF666E3E}">
          <x14:id>{ADD19CCF-E818-42F8-BF99-60EF2D3A801A}</x14:id>
        </ext>
      </extLst>
    </cfRule>
  </conditionalFormatting>
  <conditionalFormatting sqref="H21:H25">
    <cfRule type="dataBar" priority="8">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7:H31">
    <cfRule type="dataBar" priority="7">
      <dataBar>
        <cfvo type="min"/>
        <cfvo type="max"/>
        <color rgb="FF638EC6"/>
      </dataBar>
      <extLst>
        <ext xmlns:x14="http://schemas.microsoft.com/office/spreadsheetml/2009/9/main" uri="{B025F937-C7B1-47D3-B67F-A62EFF666E3E}">
          <x14:id>{6EB89896-7685-489D-A212-BEDCDA6C1614}</x14:id>
        </ext>
      </extLst>
    </cfRule>
  </conditionalFormatting>
  <conditionalFormatting sqref="H46:H54">
    <cfRule type="dataBar" priority="21">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6:I54">
    <cfRule type="dataBar" priority="13">
      <dataBar>
        <cfvo type="min"/>
        <cfvo type="max"/>
        <color rgb="FF63C384"/>
      </dataBar>
      <extLst>
        <ext xmlns:x14="http://schemas.microsoft.com/office/spreadsheetml/2009/9/main" uri="{B025F937-C7B1-47D3-B67F-A62EFF666E3E}">
          <x14:id>{60823727-C433-4BFE-A422-F2DB16A0B39B}</x14:id>
        </ext>
      </extLst>
    </cfRule>
  </conditionalFormatting>
  <conditionalFormatting sqref="L42:M43">
    <cfRule type="cellIs" dxfId="30" priority="2" operator="greaterThan">
      <formula>0</formula>
    </cfRule>
    <cfRule type="cellIs" dxfId="29" priority="1" operator="lessThan">
      <formula>0</formula>
    </cfRule>
  </conditionalFormatting>
  <printOptions horizontalCentered="1" verticalCentered="1"/>
  <pageMargins left="0" right="0" top="0.19685039370078741" bottom="0.19685039370078741" header="0" footer="0"/>
  <pageSetup paperSize="134" scale="64" orientation="landscape" r:id="rId1"/>
  <headerFooter alignWithMargins="0"/>
  <ignoredErrors>
    <ignoredError sqref="N47:S57"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C46:C54 D46:E46</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D46:D54</xm:sqref>
        </x14:conditionalFormatting>
        <x14:conditionalFormatting xmlns:xm="http://schemas.microsoft.com/office/excel/2006/main">
          <x14:cfRule type="dataBar" id="{8F05AC94-FB75-41DC-A030-BD50695363B2}">
            <x14:dataBar minLength="0" maxLength="100" gradient="0">
              <x14:cfvo type="autoMin"/>
              <x14:cfvo type="autoMax"/>
              <x14:negativeFillColor rgb="FFFF0000"/>
              <x14:axisColor rgb="FF000000"/>
            </x14:dataBar>
          </x14:cfRule>
          <x14:cfRule type="dataBar" id="{16E131EF-4CFA-4C45-B407-C7FA5F1CCD58}">
            <x14:dataBar minLength="0" maxLength="100" gradient="0">
              <x14:cfvo type="autoMin"/>
              <x14:cfvo type="autoMax"/>
              <x14:negativeFillColor rgb="FFFF0000"/>
              <x14:axisColor rgb="FF000000"/>
            </x14:dataBar>
          </x14:cfRule>
          <xm:sqref>D47:D54</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E46:E54</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E47:E54</xm:sqref>
        </x14:conditionalFormatting>
        <x14:conditionalFormatting xmlns:xm="http://schemas.microsoft.com/office/excel/2006/main">
          <x14:cfRule type="dataBar" id="{4382A5A4-8938-4754-913D-04C8EB3E9944}">
            <x14:dataBar minLength="0" maxLength="100" gradient="0">
              <x14:cfvo type="autoMin"/>
              <x14:cfvo type="autoMax"/>
              <x14:negativeFillColor rgb="FFFF0000"/>
              <x14:axisColor rgb="FF000000"/>
            </x14:dataBar>
          </x14:cfRule>
          <x14:cfRule type="dataBar" id="{CA48BEF9-536B-483E-93D1-1D70FAC05115}">
            <x14:dataBar minLength="0" maxLength="100" gradient="0">
              <x14:cfvo type="autoMin"/>
              <x14:cfvo type="autoMax"/>
              <x14:negativeFillColor rgb="FFFF0000"/>
              <x14:axisColor rgb="FF000000"/>
            </x14:dataBar>
          </x14:cfRule>
          <xm:sqref>E55:E58 G55:G58 I55:I58</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F46:F54</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G46:G54</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H21:H25</xm:sqref>
        </x14:conditionalFormatting>
        <x14:conditionalFormatting xmlns:xm="http://schemas.microsoft.com/office/excel/2006/main">
          <x14:cfRule type="dataBar" id="{6EB89896-7685-489D-A212-BEDCDA6C1614}">
            <x14:dataBar minLength="0" maxLength="100" border="1" negativeBarBorderColorSameAsPositive="0">
              <x14:cfvo type="autoMin"/>
              <x14:cfvo type="autoMax"/>
              <x14:borderColor rgb="FF638EC6"/>
              <x14:negativeFillColor rgb="FFFF0000"/>
              <x14:negativeBorderColor rgb="FFFF0000"/>
              <x14:axisColor rgb="FF000000"/>
            </x14:dataBar>
          </x14:cfRule>
          <xm:sqref>H27:H31</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H46:H54</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I46:I54</xm:sqref>
        </x14:conditionalFormatting>
      </x14:conditionalFormattings>
    </ext>
    <ext xmlns:x15="http://schemas.microsoft.com/office/spreadsheetml/2010/11/main" uri="{F7C9EE02-42E1-4005-9D12-6889AFFD525C}">
      <x15:webExtensions xmlns:xm="http://schemas.microsoft.com/office/excel/2006/main">
        <x15:webExtension appRef="{CFD0DCD1-6B3D-764F-9AB9-B56E7D576543}">
          <xm:f>OP!1:1048576</xm:f>
        </x15:webExtension>
        <x15:webExtension appRef="{4EE913DB-8A18-2047-BC32-1C7F291D37F0}">
          <xm:f>OP!XFD1048550:XFD1048575</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B1:Y65"/>
  <sheetViews>
    <sheetView showGridLines="0" topLeftCell="A27" zoomScale="119" workbookViewId="0">
      <selection activeCell="B34" sqref="B34:I34"/>
    </sheetView>
  </sheetViews>
  <sheetFormatPr baseColWidth="10" defaultColWidth="11.5" defaultRowHeight="13"/>
  <cols>
    <col min="1" max="1" width="2.1640625" customWidth="1"/>
    <col min="2" max="2" width="11.1640625" customWidth="1"/>
    <col min="3" max="3" width="42.83203125" customWidth="1"/>
    <col min="4" max="4" width="15.5" style="2" customWidth="1"/>
    <col min="5" max="9" width="15.5" customWidth="1"/>
    <col min="10" max="11" width="11.5" bestFit="1" customWidth="1"/>
    <col min="17" max="17" width="23.5" customWidth="1"/>
  </cols>
  <sheetData>
    <row r="1" spans="2:25" ht="7.5" customHeight="1"/>
    <row r="2" spans="2:25" ht="20">
      <c r="B2" s="1128" t="str">
        <f>"Regions "&amp;"("&amp;OP!$J$20&amp;")"</f>
        <v>Regions (2022)</v>
      </c>
      <c r="C2" s="1129"/>
      <c r="D2" s="1129"/>
      <c r="E2" s="1129"/>
      <c r="F2" s="1129"/>
      <c r="G2" s="1129"/>
      <c r="H2" s="1129"/>
      <c r="I2" s="1129"/>
      <c r="J2" s="1129"/>
      <c r="K2" s="1129"/>
      <c r="L2" s="1129"/>
      <c r="M2" s="1129"/>
      <c r="N2" s="1129"/>
      <c r="O2" s="1129"/>
      <c r="P2" s="1129"/>
      <c r="Q2" s="1124" t="s">
        <v>191</v>
      </c>
      <c r="R2" s="1125"/>
      <c r="S2" s="1125"/>
      <c r="T2" s="1125"/>
      <c r="U2" s="1125"/>
      <c r="V2" s="1125"/>
      <c r="W2" s="1125"/>
      <c r="X2" s="1125"/>
      <c r="Y2" s="1126"/>
    </row>
    <row r="3" spans="2:25" ht="19" thickBot="1">
      <c r="B3" s="148"/>
      <c r="C3" s="149"/>
      <c r="D3" s="1138" t="s">
        <v>192</v>
      </c>
      <c r="E3" s="1138"/>
      <c r="F3" s="1138"/>
      <c r="G3" s="1138"/>
      <c r="H3" s="1138"/>
      <c r="I3" s="1139"/>
      <c r="J3" s="124"/>
      <c r="K3" s="1127" t="s">
        <v>193</v>
      </c>
      <c r="L3" s="1127"/>
      <c r="M3" s="1127"/>
      <c r="N3" s="1127"/>
      <c r="O3" s="1127"/>
      <c r="P3" s="1127"/>
      <c r="Q3" s="113"/>
      <c r="Y3" s="142"/>
    </row>
    <row r="4" spans="2:25" ht="14" thickBot="1">
      <c r="B4" s="131" t="s">
        <v>194</v>
      </c>
      <c r="C4" s="132" t="s">
        <v>195</v>
      </c>
      <c r="D4" s="133">
        <f>OP!J20</f>
        <v>2022</v>
      </c>
      <c r="E4" s="133">
        <f>D4-1</f>
        <v>2021</v>
      </c>
      <c r="F4" s="133">
        <f>E4-1</f>
        <v>2020</v>
      </c>
      <c r="G4" s="133">
        <f>F4-1</f>
        <v>2019</v>
      </c>
      <c r="H4" s="133">
        <f>G4-1</f>
        <v>2018</v>
      </c>
      <c r="I4" s="133">
        <f>H4-1</f>
        <v>2017</v>
      </c>
      <c r="J4" s="125"/>
      <c r="K4" s="133">
        <f>OP!J20</f>
        <v>2022</v>
      </c>
      <c r="L4" s="133">
        <f t="shared" ref="L4:P4" si="0">K4-1</f>
        <v>2021</v>
      </c>
      <c r="M4" s="133">
        <f t="shared" si="0"/>
        <v>2020</v>
      </c>
      <c r="N4" s="133">
        <f t="shared" si="0"/>
        <v>2019</v>
      </c>
      <c r="O4" s="133">
        <f t="shared" si="0"/>
        <v>2018</v>
      </c>
      <c r="P4" s="150">
        <f t="shared" si="0"/>
        <v>2017</v>
      </c>
      <c r="Q4" s="113"/>
      <c r="Y4" s="142"/>
    </row>
    <row r="5" spans="2:25">
      <c r="B5" s="129">
        <f>IFERROR(D5/$D$10,"")</f>
        <v>0.67880869696512158</v>
      </c>
      <c r="C5" s="130" t="s">
        <v>196</v>
      </c>
      <c r="D5" s="134">
        <v>17983</v>
      </c>
      <c r="E5" s="134">
        <v>14736</v>
      </c>
      <c r="F5" s="134">
        <v>12051</v>
      </c>
      <c r="G5" s="134">
        <v>9445</v>
      </c>
      <c r="H5" s="134">
        <v>7621</v>
      </c>
      <c r="I5" s="134">
        <v>6259</v>
      </c>
      <c r="J5" s="126"/>
      <c r="K5" s="279">
        <f t="shared" ref="K5:O7" si="1">(D5-E5)/E5</f>
        <v>0.22034473398479912</v>
      </c>
      <c r="L5" s="279">
        <f t="shared" si="1"/>
        <v>0.22280308688075678</v>
      </c>
      <c r="M5" s="279">
        <f t="shared" si="1"/>
        <v>0.27591318157755423</v>
      </c>
      <c r="N5" s="279">
        <f t="shared" si="1"/>
        <v>0.23933866946594934</v>
      </c>
      <c r="O5" s="279">
        <f t="shared" si="1"/>
        <v>0.21760664642914204</v>
      </c>
      <c r="P5" s="279" t="s">
        <v>77</v>
      </c>
      <c r="Q5" s="113"/>
      <c r="Y5" s="142"/>
    </row>
    <row r="6" spans="2:25">
      <c r="B6" s="129">
        <f>IFERROR(D6/$D$10,"")</f>
        <v>0.22708742261814888</v>
      </c>
      <c r="C6" s="130" t="s">
        <v>197</v>
      </c>
      <c r="D6" s="134">
        <v>6016</v>
      </c>
      <c r="E6" s="134">
        <v>4501</v>
      </c>
      <c r="F6" s="134">
        <v>3430</v>
      </c>
      <c r="G6" s="134">
        <v>2553</v>
      </c>
      <c r="H6" s="134">
        <v>1916</v>
      </c>
      <c r="I6" s="134">
        <v>1383</v>
      </c>
      <c r="J6" s="126"/>
      <c r="K6" s="279">
        <f t="shared" si="1"/>
        <v>0.33659186847367251</v>
      </c>
      <c r="L6" s="279">
        <f t="shared" si="1"/>
        <v>0.3122448979591837</v>
      </c>
      <c r="M6" s="279">
        <f t="shared" si="1"/>
        <v>0.34351743047395222</v>
      </c>
      <c r="N6" s="279">
        <f t="shared" si="1"/>
        <v>0.33246346555323592</v>
      </c>
      <c r="O6" s="279">
        <f t="shared" si="1"/>
        <v>0.3853940708604483</v>
      </c>
      <c r="P6" s="279" t="s">
        <v>77</v>
      </c>
      <c r="Q6" s="113"/>
      <c r="Y6" s="142"/>
    </row>
    <row r="7" spans="2:25" ht="14" thickBot="1">
      <c r="B7" s="129">
        <f>IFERROR(D7/$D$10,"")</f>
        <v>9.4103880416729582E-2</v>
      </c>
      <c r="C7" s="130" t="s">
        <v>198</v>
      </c>
      <c r="D7" s="134">
        <v>2493</v>
      </c>
      <c r="E7" s="134">
        <v>2015</v>
      </c>
      <c r="F7" s="134">
        <v>1617</v>
      </c>
      <c r="G7" s="134">
        <v>1284</v>
      </c>
      <c r="H7" s="134">
        <v>1003</v>
      </c>
      <c r="I7" s="134">
        <v>795</v>
      </c>
      <c r="J7" s="126"/>
      <c r="K7" s="279">
        <f t="shared" si="1"/>
        <v>0.23722084367245658</v>
      </c>
      <c r="L7" s="279">
        <f t="shared" si="1"/>
        <v>0.24613481756338898</v>
      </c>
      <c r="M7" s="279">
        <f t="shared" si="1"/>
        <v>0.25934579439252337</v>
      </c>
      <c r="N7" s="279">
        <f t="shared" si="1"/>
        <v>0.28015952143569295</v>
      </c>
      <c r="O7" s="279">
        <f t="shared" si="1"/>
        <v>0.26163522012578616</v>
      </c>
      <c r="P7" s="279" t="s">
        <v>77</v>
      </c>
      <c r="Q7" s="113"/>
      <c r="Y7" s="142"/>
    </row>
    <row r="8" spans="2:25" hidden="1">
      <c r="B8" s="118">
        <f>IFERROR(D8/$D$10,"")</f>
        <v>0</v>
      </c>
      <c r="C8" s="116"/>
      <c r="D8" s="122"/>
      <c r="E8" s="122"/>
      <c r="F8" s="122"/>
      <c r="G8" s="122"/>
      <c r="H8" s="122"/>
      <c r="I8" s="122"/>
      <c r="J8" s="126"/>
      <c r="K8" s="122"/>
      <c r="L8" s="122"/>
      <c r="M8" s="122"/>
      <c r="N8" s="122"/>
      <c r="O8" s="122"/>
      <c r="P8" s="151"/>
      <c r="Q8" s="113"/>
      <c r="Y8" s="142"/>
    </row>
    <row r="9" spans="2:25" hidden="1">
      <c r="B9" s="119">
        <f>IFERROR(D9/$D$10,"")</f>
        <v>0</v>
      </c>
      <c r="C9" s="135"/>
      <c r="D9" s="123"/>
      <c r="E9" s="123"/>
      <c r="F9" s="123"/>
      <c r="G9" s="123"/>
      <c r="H9" s="123"/>
      <c r="I9" s="123"/>
      <c r="J9" s="126"/>
      <c r="K9" s="123"/>
      <c r="L9" s="123"/>
      <c r="M9" s="123"/>
      <c r="N9" s="123"/>
      <c r="O9" s="123"/>
      <c r="P9" s="152"/>
      <c r="Q9" s="113"/>
      <c r="Y9" s="142"/>
    </row>
    <row r="10" spans="2:25" ht="14" thickBot="1">
      <c r="B10" s="121">
        <f>SUM(B5:B9)</f>
        <v>1</v>
      </c>
      <c r="C10" s="136" t="s">
        <v>199</v>
      </c>
      <c r="D10" s="117">
        <f t="shared" ref="D10:I10" si="2">SUM(D5:D9)</f>
        <v>26492</v>
      </c>
      <c r="E10" s="117">
        <f t="shared" si="2"/>
        <v>21252</v>
      </c>
      <c r="F10" s="117">
        <f t="shared" si="2"/>
        <v>17098</v>
      </c>
      <c r="G10" s="117">
        <f t="shared" si="2"/>
        <v>13282</v>
      </c>
      <c r="H10" s="117">
        <f t="shared" si="2"/>
        <v>10540</v>
      </c>
      <c r="I10" s="117">
        <f t="shared" si="2"/>
        <v>8437</v>
      </c>
      <c r="J10" s="127"/>
      <c r="K10" s="281">
        <f>(D10-E10)/E10</f>
        <v>0.24656502917372483</v>
      </c>
      <c r="L10" s="281">
        <f>(E10-F10)/F10</f>
        <v>0.24295239209264241</v>
      </c>
      <c r="M10" s="281">
        <f>(F10-G10)/G10</f>
        <v>0.28730612859509108</v>
      </c>
      <c r="N10" s="281">
        <f t="shared" ref="N10:O10" si="3">(G10-H10)/H10</f>
        <v>0.26015180265654647</v>
      </c>
      <c r="O10" s="281">
        <f t="shared" si="3"/>
        <v>0.24925921536091028</v>
      </c>
      <c r="P10" s="281" t="s">
        <v>77</v>
      </c>
      <c r="Q10" s="113"/>
      <c r="Y10" s="142"/>
    </row>
    <row r="11" spans="2:25">
      <c r="B11" s="146"/>
      <c r="C11" s="6"/>
      <c r="D11" s="14"/>
      <c r="E11" s="14"/>
      <c r="F11" s="14"/>
      <c r="G11" s="14"/>
      <c r="H11" s="14"/>
      <c r="I11" s="14"/>
      <c r="J11" s="14"/>
      <c r="K11" s="14"/>
      <c r="L11" s="14"/>
      <c r="M11" s="14"/>
      <c r="N11" s="14"/>
      <c r="O11" s="14"/>
      <c r="P11" s="14"/>
      <c r="Q11" s="113"/>
      <c r="Y11" s="142"/>
    </row>
    <row r="12" spans="2:25" ht="21" thickBot="1">
      <c r="B12" s="1128" t="str">
        <f>"Categories "&amp;"("&amp;OP!$J$20&amp;")"</f>
        <v>Categories (2022)</v>
      </c>
      <c r="C12" s="1129"/>
      <c r="D12" s="1129"/>
      <c r="E12" s="1129"/>
      <c r="F12" s="1129"/>
      <c r="G12" s="1129"/>
      <c r="H12" s="1129"/>
      <c r="I12" s="1129"/>
      <c r="J12" s="1129"/>
      <c r="K12" s="1129"/>
      <c r="L12" s="1129"/>
      <c r="M12" s="1129"/>
      <c r="N12" s="1129"/>
      <c r="O12" s="1129"/>
      <c r="P12" s="1129"/>
      <c r="Q12" s="113"/>
      <c r="S12" s="283"/>
      <c r="Y12" s="142"/>
    </row>
    <row r="13" spans="2:25" ht="21" thickBot="1">
      <c r="B13" s="148"/>
      <c r="C13" s="149"/>
      <c r="D13" s="1101" t="s">
        <v>192</v>
      </c>
      <c r="E13" s="1102"/>
      <c r="F13" s="1102"/>
      <c r="G13" s="1102"/>
      <c r="H13" s="1102"/>
      <c r="I13" s="1103"/>
      <c r="J13" s="124"/>
      <c r="K13" s="1130" t="s">
        <v>193</v>
      </c>
      <c r="L13" s="1131"/>
      <c r="M13" s="1131"/>
      <c r="N13" s="1131"/>
      <c r="O13" s="1131"/>
      <c r="P13" s="1131"/>
      <c r="Q13" s="113"/>
      <c r="Y13" s="142"/>
    </row>
    <row r="14" spans="2:25">
      <c r="B14" s="147" t="s">
        <v>194</v>
      </c>
      <c r="C14" s="112" t="s">
        <v>200</v>
      </c>
      <c r="D14" s="120">
        <f>OP!J20</f>
        <v>2022</v>
      </c>
      <c r="E14" s="120">
        <f>D14-1</f>
        <v>2021</v>
      </c>
      <c r="F14" s="120">
        <f>E14-1</f>
        <v>2020</v>
      </c>
      <c r="G14" s="120">
        <f>F14-1</f>
        <v>2019</v>
      </c>
      <c r="H14" s="120">
        <f>G14-1</f>
        <v>2018</v>
      </c>
      <c r="I14" s="120">
        <f>H14-1</f>
        <v>2017</v>
      </c>
      <c r="J14" s="125"/>
      <c r="K14" s="128">
        <f>OP!J20</f>
        <v>2022</v>
      </c>
      <c r="L14" s="128">
        <f t="shared" ref="L14:P14" si="4">K14-1</f>
        <v>2021</v>
      </c>
      <c r="M14" s="128">
        <f t="shared" si="4"/>
        <v>2020</v>
      </c>
      <c r="N14" s="128">
        <f t="shared" si="4"/>
        <v>2019</v>
      </c>
      <c r="O14" s="128">
        <f t="shared" si="4"/>
        <v>2018</v>
      </c>
      <c r="P14" s="153">
        <f t="shared" si="4"/>
        <v>2017</v>
      </c>
      <c r="Q14" s="113"/>
      <c r="Y14" s="142"/>
    </row>
    <row r="15" spans="2:25">
      <c r="B15" s="129">
        <f>IFERROR(D15/$D$17,"")</f>
        <v>6.9266193567869547E-2</v>
      </c>
      <c r="C15" s="115" t="s">
        <v>201</v>
      </c>
      <c r="D15" s="134">
        <v>1835</v>
      </c>
      <c r="E15" s="134">
        <v>1276</v>
      </c>
      <c r="F15" s="892">
        <v>1055</v>
      </c>
      <c r="G15" s="134">
        <v>869</v>
      </c>
      <c r="H15" s="134">
        <v>774</v>
      </c>
      <c r="I15" s="134">
        <v>638</v>
      </c>
      <c r="J15" s="126"/>
      <c r="K15" s="282">
        <f>(D15-E15)/E15</f>
        <v>0.43808777429467083</v>
      </c>
      <c r="L15" s="282">
        <f>(E15-G15)/G15</f>
        <v>0.46835443037974683</v>
      </c>
      <c r="M15" s="282" t="e">
        <f>(G15-#REF!)/#REF!</f>
        <v>#REF!</v>
      </c>
      <c r="N15" s="282" t="e">
        <f>(#REF!-H15)/H15</f>
        <v>#REF!</v>
      </c>
      <c r="O15" s="282">
        <f t="shared" ref="L15:O17" si="5">(H15-I15)/I15</f>
        <v>0.21316614420062696</v>
      </c>
      <c r="P15" s="282" t="s">
        <v>77</v>
      </c>
      <c r="Q15" s="113"/>
      <c r="Y15" s="142"/>
    </row>
    <row r="16" spans="2:25">
      <c r="B16" s="129">
        <f>IFERROR(D16/$D$17,"")</f>
        <v>0.93073380643213044</v>
      </c>
      <c r="C16" s="543" t="s">
        <v>202</v>
      </c>
      <c r="D16" s="134">
        <v>24657</v>
      </c>
      <c r="E16" s="134">
        <v>19976</v>
      </c>
      <c r="F16" s="134">
        <v>16043</v>
      </c>
      <c r="G16" s="134">
        <v>12413</v>
      </c>
      <c r="H16" s="134">
        <v>9766</v>
      </c>
      <c r="I16" s="134">
        <v>7799</v>
      </c>
      <c r="J16" s="126"/>
      <c r="K16" s="282">
        <f>(D16-E16)/E16</f>
        <v>0.23433119743692432</v>
      </c>
      <c r="L16" s="282">
        <f t="shared" ref="L16" si="6">(E16-F16)/F16</f>
        <v>0.24515364956678926</v>
      </c>
      <c r="M16" s="282">
        <f t="shared" ref="M16" si="7">(F16-G16)/G16</f>
        <v>0.29243535003625232</v>
      </c>
      <c r="N16" s="282">
        <f t="shared" ref="N16" si="8">(G16-H16)/H16</f>
        <v>0.27104239197214824</v>
      </c>
      <c r="O16" s="282">
        <f t="shared" ref="O16" si="9">(H16-I16)/I16</f>
        <v>0.2522118220284652</v>
      </c>
      <c r="P16" s="544" t="s">
        <v>77</v>
      </c>
      <c r="Q16" s="113"/>
      <c r="Y16" s="142"/>
    </row>
    <row r="17" spans="2:25">
      <c r="B17" s="121">
        <f>SUM(B15:B16)</f>
        <v>1</v>
      </c>
      <c r="C17" s="136" t="s">
        <v>199</v>
      </c>
      <c r="D17" s="117">
        <f t="shared" ref="D17:I17" si="10">SUM(D15:D16)</f>
        <v>26492</v>
      </c>
      <c r="E17" s="117">
        <f t="shared" si="10"/>
        <v>21252</v>
      </c>
      <c r="F17" s="117">
        <f t="shared" si="10"/>
        <v>17098</v>
      </c>
      <c r="G17" s="117">
        <f t="shared" si="10"/>
        <v>13282</v>
      </c>
      <c r="H17" s="117">
        <f t="shared" si="10"/>
        <v>10540</v>
      </c>
      <c r="I17" s="117">
        <f t="shared" si="10"/>
        <v>8437</v>
      </c>
      <c r="J17" s="127"/>
      <c r="K17" s="280">
        <f>(D17-E17)/E17</f>
        <v>0.24656502917372483</v>
      </c>
      <c r="L17" s="281">
        <f t="shared" si="5"/>
        <v>0.24295239209264241</v>
      </c>
      <c r="M17" s="281">
        <f t="shared" ref="M17" si="11">(F17-G17)/G17</f>
        <v>0.28730612859509108</v>
      </c>
      <c r="N17" s="281">
        <f t="shared" ref="N17" si="12">(G17-H17)/H17</f>
        <v>0.26015180265654647</v>
      </c>
      <c r="O17" s="281">
        <f t="shared" ref="O17" si="13">(H17-I17)/I17</f>
        <v>0.24925921536091028</v>
      </c>
      <c r="P17" s="281" t="s">
        <v>77</v>
      </c>
      <c r="Q17" s="113"/>
      <c r="Y17" s="142"/>
    </row>
    <row r="18" spans="2:25" ht="14" thickBot="1">
      <c r="C18" s="13"/>
      <c r="D18" s="14"/>
      <c r="E18" s="15"/>
      <c r="F18" s="14"/>
      <c r="G18" s="15"/>
      <c r="H18" s="14"/>
      <c r="I18" s="15"/>
      <c r="J18" s="24"/>
      <c r="Q18" s="113"/>
      <c r="Y18" s="142"/>
    </row>
    <row r="19" spans="2:25" ht="20">
      <c r="B19" s="1101" t="s">
        <v>79</v>
      </c>
      <c r="C19" s="1103"/>
      <c r="D19" s="1101" t="s">
        <v>203</v>
      </c>
      <c r="E19" s="1102"/>
      <c r="F19" s="1102"/>
      <c r="G19" s="1102"/>
      <c r="H19" s="1102"/>
      <c r="I19" s="1136" t="s">
        <v>204</v>
      </c>
      <c r="J19" s="1137"/>
      <c r="K19" s="1137"/>
      <c r="L19" s="1137"/>
      <c r="M19" s="1137"/>
      <c r="N19" s="1137"/>
      <c r="O19" s="1137"/>
      <c r="P19" s="1137"/>
      <c r="Q19" s="113"/>
      <c r="Y19" s="142"/>
    </row>
    <row r="20" spans="2:25" ht="47.25" customHeight="1">
      <c r="B20" s="1115" t="s">
        <v>201</v>
      </c>
      <c r="C20" s="1116"/>
      <c r="D20" s="1132" t="s">
        <v>205</v>
      </c>
      <c r="E20" s="1133"/>
      <c r="F20" s="1133"/>
      <c r="G20" s="1133"/>
      <c r="H20" s="1133"/>
      <c r="I20" s="113"/>
      <c r="Q20" s="113"/>
      <c r="Y20" s="142"/>
    </row>
    <row r="21" spans="2:25" ht="97.5" customHeight="1" thickBot="1">
      <c r="B21" s="1115" t="s">
        <v>202</v>
      </c>
      <c r="C21" s="1116"/>
      <c r="D21" s="1132" t="s">
        <v>206</v>
      </c>
      <c r="E21" s="1133"/>
      <c r="F21" s="1133"/>
      <c r="G21" s="1133"/>
      <c r="H21" s="1133"/>
      <c r="I21" s="113"/>
      <c r="Q21" s="113"/>
      <c r="Y21" s="142"/>
    </row>
    <row r="22" spans="2:25" ht="28.25" hidden="1" customHeight="1">
      <c r="B22" s="1115"/>
      <c r="C22" s="1116"/>
      <c r="D22" s="1134"/>
      <c r="E22" s="1135"/>
      <c r="F22" s="1135"/>
      <c r="G22" s="1135"/>
      <c r="H22" s="1135"/>
      <c r="I22" s="113"/>
      <c r="Q22" s="113"/>
      <c r="Y22" s="142"/>
    </row>
    <row r="23" spans="2:25" ht="56.25" customHeight="1" thickBot="1">
      <c r="I23" s="114"/>
      <c r="J23" s="143"/>
      <c r="K23" s="143"/>
      <c r="L23" s="143"/>
      <c r="M23" s="143"/>
      <c r="N23" s="143"/>
      <c r="O23" s="143"/>
      <c r="P23" s="143"/>
      <c r="Q23" s="114"/>
      <c r="R23" s="143"/>
      <c r="S23" s="143"/>
      <c r="T23" s="143"/>
      <c r="U23" s="143"/>
      <c r="V23" s="143"/>
      <c r="W23" s="143"/>
      <c r="X23" s="143"/>
      <c r="Y23" s="145"/>
    </row>
    <row r="24" spans="2:25" ht="21" thickBot="1">
      <c r="B24" s="1101" t="s">
        <v>207</v>
      </c>
      <c r="C24" s="1102"/>
      <c r="D24" s="1102"/>
      <c r="E24" s="1102"/>
      <c r="F24" s="1102"/>
      <c r="G24" s="1102"/>
      <c r="H24" s="1102"/>
      <c r="I24" s="1103"/>
      <c r="J24" s="1085" t="s">
        <v>208</v>
      </c>
      <c r="K24" s="1086"/>
      <c r="L24" s="1086"/>
      <c r="M24" s="1086"/>
      <c r="N24" s="1086"/>
      <c r="O24" s="1086"/>
      <c r="P24" s="1086"/>
      <c r="Q24" s="1087"/>
    </row>
    <row r="25" spans="2:25">
      <c r="B25" s="1104" t="s">
        <v>209</v>
      </c>
      <c r="C25" s="1105"/>
      <c r="D25" s="1104" t="s">
        <v>203</v>
      </c>
      <c r="E25" s="1108"/>
      <c r="F25" s="1108"/>
      <c r="G25" s="1108"/>
      <c r="H25" s="1108"/>
      <c r="I25" s="1105"/>
      <c r="J25" s="137"/>
      <c r="K25" s="140"/>
      <c r="L25" s="140"/>
      <c r="M25" s="140"/>
      <c r="N25" s="140"/>
      <c r="O25" s="140"/>
      <c r="P25" s="140"/>
      <c r="Q25" s="141"/>
    </row>
    <row r="26" spans="2:25" ht="141.75" customHeight="1">
      <c r="B26" s="1106" t="s">
        <v>210</v>
      </c>
      <c r="C26" s="1107"/>
      <c r="D26" s="1121" t="s">
        <v>211</v>
      </c>
      <c r="E26" s="1122"/>
      <c r="F26" s="1122"/>
      <c r="G26" s="1122"/>
      <c r="H26" s="1122"/>
      <c r="I26" s="1123"/>
      <c r="J26" s="113"/>
      <c r="Q26" s="142"/>
    </row>
    <row r="27" spans="2:25" s="642" customFormat="1" ht="213" customHeight="1">
      <c r="B27" s="1117" t="s">
        <v>212</v>
      </c>
      <c r="C27" s="1118"/>
      <c r="D27" s="1121" t="s">
        <v>213</v>
      </c>
      <c r="E27" s="1122"/>
      <c r="F27" s="1122"/>
      <c r="G27" s="1122"/>
      <c r="H27" s="1122"/>
      <c r="I27" s="1123"/>
      <c r="J27" s="710"/>
      <c r="Q27" s="711"/>
    </row>
    <row r="28" spans="2:25" s="642" customFormat="1">
      <c r="B28" s="1094" t="s">
        <v>214</v>
      </c>
      <c r="C28" s="1095"/>
      <c r="D28" s="1095"/>
      <c r="E28" s="1095"/>
      <c r="F28" s="1095"/>
      <c r="G28" s="1095"/>
      <c r="H28" s="1095"/>
      <c r="I28" s="1096"/>
      <c r="J28" s="710"/>
      <c r="Q28" s="711"/>
    </row>
    <row r="29" spans="2:25" ht="13.5" customHeight="1">
      <c r="B29" s="1097" t="s">
        <v>215</v>
      </c>
      <c r="C29" s="1098"/>
      <c r="D29" s="1109" t="s">
        <v>216</v>
      </c>
      <c r="E29" s="1110"/>
      <c r="F29" s="1111"/>
      <c r="G29" s="1109" t="s">
        <v>217</v>
      </c>
      <c r="H29" s="1110"/>
      <c r="I29" s="1111"/>
      <c r="J29" s="113"/>
      <c r="Q29" s="142"/>
      <c r="T29" s="10"/>
      <c r="U29" s="10"/>
    </row>
    <row r="30" spans="2:25">
      <c r="B30" s="1099" t="s">
        <v>218</v>
      </c>
      <c r="C30" s="1100"/>
      <c r="D30" s="1091">
        <v>6.2E-2</v>
      </c>
      <c r="E30" s="1092"/>
      <c r="F30" s="1093"/>
      <c r="G30" s="1088" t="s">
        <v>219</v>
      </c>
      <c r="H30" s="1089"/>
      <c r="I30" s="1090"/>
      <c r="J30" s="113"/>
      <c r="Q30" s="142"/>
      <c r="T30" s="10"/>
      <c r="U30" s="10"/>
    </row>
    <row r="31" spans="2:25">
      <c r="B31" s="1099" t="s">
        <v>220</v>
      </c>
      <c r="C31" s="1100"/>
      <c r="D31" s="1091">
        <v>0.151</v>
      </c>
      <c r="E31" s="1092"/>
      <c r="F31" s="1093"/>
      <c r="G31" s="1088" t="s">
        <v>221</v>
      </c>
      <c r="H31" s="1089"/>
      <c r="I31" s="1090"/>
      <c r="J31" s="113"/>
      <c r="Q31" s="142"/>
      <c r="T31" s="10"/>
      <c r="U31" s="10"/>
    </row>
    <row r="32" spans="2:25">
      <c r="B32" s="1099" t="s">
        <v>222</v>
      </c>
      <c r="C32" s="1100"/>
      <c r="D32" s="1091">
        <v>8.6999999999999994E-2</v>
      </c>
      <c r="E32" s="1092"/>
      <c r="F32" s="1093"/>
      <c r="G32" s="1088" t="s">
        <v>221</v>
      </c>
      <c r="H32" s="1089"/>
      <c r="I32" s="1090"/>
      <c r="J32" s="113"/>
      <c r="Q32" s="142"/>
      <c r="T32" s="10"/>
      <c r="U32" s="10"/>
    </row>
    <row r="33" spans="2:21">
      <c r="B33" s="1119"/>
      <c r="C33" s="1120"/>
      <c r="D33" s="1112">
        <v>0.1</v>
      </c>
      <c r="E33" s="1113"/>
      <c r="F33" s="1114"/>
      <c r="G33" s="1082"/>
      <c r="H33" s="1083"/>
      <c r="I33" s="1084"/>
      <c r="J33" s="113"/>
      <c r="Q33" s="142"/>
      <c r="T33" s="10"/>
      <c r="U33" s="10"/>
    </row>
    <row r="34" spans="2:21" ht="20">
      <c r="B34" s="1101" t="s">
        <v>223</v>
      </c>
      <c r="C34" s="1102"/>
      <c r="D34" s="1102"/>
      <c r="E34" s="1102"/>
      <c r="F34" s="1102"/>
      <c r="G34" s="1102"/>
      <c r="H34" s="1102"/>
      <c r="I34" s="1103"/>
      <c r="J34" s="113"/>
      <c r="Q34" s="142"/>
      <c r="T34" s="10"/>
      <c r="U34" s="10"/>
    </row>
    <row r="35" spans="2:21">
      <c r="B35" s="284"/>
      <c r="C35" s="138"/>
      <c r="D35" s="139"/>
      <c r="E35" s="140"/>
      <c r="F35" s="140"/>
      <c r="G35" s="140"/>
      <c r="H35" s="140"/>
      <c r="I35" s="141"/>
      <c r="J35" s="113"/>
      <c r="Q35" s="142"/>
      <c r="T35" s="10"/>
      <c r="U35" s="10"/>
    </row>
    <row r="36" spans="2:21">
      <c r="B36" s="113"/>
      <c r="I36" s="142"/>
      <c r="J36" s="113"/>
      <c r="Q36" s="142"/>
      <c r="T36" s="10"/>
      <c r="U36" s="10"/>
    </row>
    <row r="37" spans="2:21" ht="12.75" customHeight="1">
      <c r="B37" s="1079"/>
      <c r="C37" s="1080"/>
      <c r="D37" s="1080"/>
      <c r="E37" s="1080"/>
      <c r="F37" s="1080"/>
      <c r="G37" s="1080"/>
      <c r="H37" s="1080"/>
      <c r="I37" s="1081"/>
      <c r="J37" s="113"/>
      <c r="Q37" s="142"/>
      <c r="T37" s="10"/>
      <c r="U37" s="10"/>
    </row>
    <row r="38" spans="2:21">
      <c r="B38" s="1079"/>
      <c r="C38" s="1080"/>
      <c r="D38" s="1080"/>
      <c r="E38" s="1080"/>
      <c r="F38" s="1080"/>
      <c r="G38" s="1080"/>
      <c r="H38" s="1080"/>
      <c r="I38" s="1081"/>
      <c r="J38" s="113"/>
      <c r="Q38" s="142"/>
      <c r="T38" s="10"/>
      <c r="U38" s="10"/>
    </row>
    <row r="39" spans="2:21">
      <c r="B39" s="1079"/>
      <c r="C39" s="1080"/>
      <c r="D39" s="1080"/>
      <c r="E39" s="1080"/>
      <c r="F39" s="1080"/>
      <c r="G39" s="1080"/>
      <c r="H39" s="1080"/>
      <c r="I39" s="1081"/>
      <c r="J39" s="113"/>
      <c r="Q39" s="142"/>
      <c r="T39" s="10"/>
      <c r="U39" s="10"/>
    </row>
    <row r="40" spans="2:21">
      <c r="B40" s="1079"/>
      <c r="C40" s="1080"/>
      <c r="D40" s="1080"/>
      <c r="E40" s="1080"/>
      <c r="F40" s="1080"/>
      <c r="G40" s="1080"/>
      <c r="H40" s="1080"/>
      <c r="I40" s="1081"/>
      <c r="J40" s="113"/>
      <c r="Q40" s="142"/>
      <c r="T40" s="10"/>
      <c r="U40" s="10"/>
    </row>
    <row r="41" spans="2:21">
      <c r="B41" s="1079"/>
      <c r="C41" s="1080"/>
      <c r="D41" s="1080"/>
      <c r="E41" s="1080"/>
      <c r="F41" s="1080"/>
      <c r="G41" s="1080"/>
      <c r="H41" s="1080"/>
      <c r="I41" s="1081"/>
      <c r="J41" s="113"/>
      <c r="Q41" s="142"/>
      <c r="T41" s="10"/>
      <c r="U41" s="10"/>
    </row>
    <row r="42" spans="2:21">
      <c r="B42" s="1079"/>
      <c r="C42" s="1080"/>
      <c r="D42" s="1080"/>
      <c r="E42" s="1080"/>
      <c r="F42" s="1080"/>
      <c r="G42" s="1080"/>
      <c r="H42" s="1080"/>
      <c r="I42" s="1081"/>
      <c r="J42" s="113"/>
      <c r="Q42" s="142"/>
      <c r="T42" s="10"/>
      <c r="U42" s="10"/>
    </row>
    <row r="43" spans="2:21">
      <c r="B43" s="1079"/>
      <c r="C43" s="1080"/>
      <c r="D43" s="1080"/>
      <c r="E43" s="1080"/>
      <c r="F43" s="1080"/>
      <c r="G43" s="1080"/>
      <c r="H43" s="1080"/>
      <c r="I43" s="1081"/>
      <c r="J43" s="113"/>
      <c r="Q43" s="142"/>
      <c r="T43" s="10"/>
      <c r="U43" s="10"/>
    </row>
    <row r="44" spans="2:21">
      <c r="B44" s="1079"/>
      <c r="C44" s="1080"/>
      <c r="D44" s="1080"/>
      <c r="E44" s="1080"/>
      <c r="F44" s="1080"/>
      <c r="G44" s="1080"/>
      <c r="H44" s="1080"/>
      <c r="I44" s="1081"/>
      <c r="J44" s="113"/>
      <c r="Q44" s="142"/>
      <c r="T44" s="10"/>
      <c r="U44" s="10"/>
    </row>
    <row r="45" spans="2:21">
      <c r="B45" s="1079"/>
      <c r="C45" s="1080"/>
      <c r="D45" s="1080"/>
      <c r="E45" s="1080"/>
      <c r="F45" s="1080"/>
      <c r="G45" s="1080"/>
      <c r="H45" s="1080"/>
      <c r="I45" s="1081"/>
      <c r="J45" s="113"/>
      <c r="Q45" s="142"/>
      <c r="T45" s="10"/>
      <c r="U45" s="10"/>
    </row>
    <row r="46" spans="2:21">
      <c r="B46" s="113"/>
      <c r="I46" s="142"/>
      <c r="J46" s="113"/>
      <c r="Q46" s="142"/>
      <c r="T46" s="10"/>
      <c r="U46" s="10"/>
    </row>
    <row r="47" spans="2:21">
      <c r="B47" s="113"/>
      <c r="I47" s="142"/>
      <c r="J47" s="113"/>
      <c r="Q47" s="142"/>
      <c r="T47" s="10"/>
      <c r="U47" s="10"/>
    </row>
    <row r="48" spans="2:21">
      <c r="B48" s="113"/>
      <c r="I48" s="142"/>
      <c r="J48" s="113"/>
      <c r="Q48" s="142"/>
      <c r="T48" s="10"/>
      <c r="U48" s="10"/>
    </row>
    <row r="49" spans="2:21">
      <c r="B49" s="113"/>
      <c r="I49" s="142"/>
      <c r="J49" s="113"/>
      <c r="Q49" s="142"/>
      <c r="T49" s="10"/>
      <c r="U49" s="10"/>
    </row>
    <row r="50" spans="2:21">
      <c r="B50" s="113"/>
      <c r="I50" s="142"/>
      <c r="J50" s="113"/>
      <c r="Q50" s="142"/>
      <c r="T50" s="10"/>
      <c r="U50" s="10"/>
    </row>
    <row r="51" spans="2:21" ht="14" thickBot="1">
      <c r="B51" s="114"/>
      <c r="C51" s="143"/>
      <c r="D51" s="144"/>
      <c r="E51" s="143"/>
      <c r="F51" s="143"/>
      <c r="G51" s="143"/>
      <c r="H51" s="143"/>
      <c r="I51" s="145"/>
      <c r="J51" s="114"/>
      <c r="K51" s="143"/>
      <c r="L51" s="143"/>
      <c r="M51" s="143"/>
      <c r="N51" s="143"/>
      <c r="O51" s="143"/>
      <c r="P51" s="143"/>
      <c r="Q51" s="145"/>
      <c r="T51" s="10"/>
      <c r="U51" s="10"/>
    </row>
    <row r="52" spans="2:21">
      <c r="T52" s="10"/>
      <c r="U52" s="10"/>
    </row>
    <row r="53" spans="2:21">
      <c r="T53" s="10"/>
      <c r="U53" s="10"/>
    </row>
    <row r="54" spans="2:21">
      <c r="T54" s="10"/>
      <c r="U54" s="10"/>
    </row>
    <row r="55" spans="2:21">
      <c r="T55" s="10"/>
      <c r="U55" s="10"/>
    </row>
    <row r="56" spans="2:21">
      <c r="O56" s="285"/>
      <c r="T56" s="10"/>
      <c r="U56" s="10"/>
    </row>
    <row r="57" spans="2:21">
      <c r="O57" s="285"/>
      <c r="T57" s="10"/>
      <c r="U57" s="10"/>
    </row>
    <row r="58" spans="2:21">
      <c r="O58" s="285"/>
      <c r="T58" s="10"/>
      <c r="U58" s="10"/>
    </row>
    <row r="59" spans="2:21">
      <c r="T59" s="10"/>
      <c r="U59" s="10"/>
    </row>
    <row r="60" spans="2:21">
      <c r="T60" s="10"/>
      <c r="U60" s="10"/>
    </row>
    <row r="61" spans="2:21">
      <c r="T61" s="10"/>
      <c r="U61" s="10"/>
    </row>
    <row r="62" spans="2:21">
      <c r="T62" s="10"/>
      <c r="U62" s="10"/>
    </row>
    <row r="63" spans="2:21">
      <c r="T63" s="10"/>
      <c r="U63" s="10"/>
    </row>
    <row r="64" spans="2:21">
      <c r="T64" s="10"/>
      <c r="U64" s="10"/>
    </row>
    <row r="65" spans="20:21">
      <c r="T65" s="10"/>
      <c r="U65" s="10"/>
    </row>
  </sheetData>
  <mergeCells count="42">
    <mergeCell ref="Q2:Y2"/>
    <mergeCell ref="K3:P3"/>
    <mergeCell ref="B2:P2"/>
    <mergeCell ref="K13:P13"/>
    <mergeCell ref="B22:C22"/>
    <mergeCell ref="B12:P12"/>
    <mergeCell ref="D13:I13"/>
    <mergeCell ref="D19:H19"/>
    <mergeCell ref="D20:H20"/>
    <mergeCell ref="D21:H21"/>
    <mergeCell ref="D22:H22"/>
    <mergeCell ref="I19:P19"/>
    <mergeCell ref="D3:I3"/>
    <mergeCell ref="B20:C20"/>
    <mergeCell ref="B19:C19"/>
    <mergeCell ref="D25:I25"/>
    <mergeCell ref="D29:F29"/>
    <mergeCell ref="G29:I29"/>
    <mergeCell ref="D33:F33"/>
    <mergeCell ref="B21:C21"/>
    <mergeCell ref="B27:C27"/>
    <mergeCell ref="B31:C31"/>
    <mergeCell ref="B32:C32"/>
    <mergeCell ref="B33:C33"/>
    <mergeCell ref="D26:I26"/>
    <mergeCell ref="D27:I27"/>
    <mergeCell ref="B37:I45"/>
    <mergeCell ref="G33:I33"/>
    <mergeCell ref="J24:Q24"/>
    <mergeCell ref="G31:I31"/>
    <mergeCell ref="G32:I32"/>
    <mergeCell ref="D30:F30"/>
    <mergeCell ref="D31:F31"/>
    <mergeCell ref="D32:F32"/>
    <mergeCell ref="B28:I28"/>
    <mergeCell ref="B29:C29"/>
    <mergeCell ref="B30:C30"/>
    <mergeCell ref="G30:I30"/>
    <mergeCell ref="B24:I24"/>
    <mergeCell ref="B34:I34"/>
    <mergeCell ref="B25:C25"/>
    <mergeCell ref="B26:C26"/>
  </mergeCells>
  <phoneticPr fontId="0" type="noConversion"/>
  <conditionalFormatting sqref="B5:B9">
    <cfRule type="dataBar" priority="67">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5:B16">
    <cfRule type="dataBar" priority="114">
      <dataBar>
        <cfvo type="min"/>
        <cfvo type="max"/>
        <color rgb="FF638EC6"/>
      </dataBar>
      <extLst>
        <ext xmlns:x14="http://schemas.microsoft.com/office/spreadsheetml/2009/9/main" uri="{B025F937-C7B1-47D3-B67F-A62EFF666E3E}">
          <x14:id>{070902CC-8EB6-43DB-B9AD-5811F17D394B}</x14:id>
        </ext>
      </extLst>
    </cfRule>
  </conditionalFormatting>
  <conditionalFormatting sqref="D5:D9">
    <cfRule type="dataBar" priority="69">
      <dataBar>
        <cfvo type="min"/>
        <cfvo type="max"/>
        <color rgb="FF63C384"/>
      </dataBar>
      <extLst>
        <ext xmlns:x14="http://schemas.microsoft.com/office/spreadsheetml/2009/9/main" uri="{B025F937-C7B1-47D3-B67F-A62EFF666E3E}">
          <x14:id>{767D33FE-8570-4B26-81B7-5505E2A08A62}</x14:id>
        </ext>
      </extLst>
    </cfRule>
  </conditionalFormatting>
  <conditionalFormatting sqref="D15:D16">
    <cfRule type="dataBar" priority="115">
      <dataBar>
        <cfvo type="min"/>
        <cfvo type="max"/>
        <color rgb="FF63C384"/>
      </dataBar>
      <extLst>
        <ext xmlns:x14="http://schemas.microsoft.com/office/spreadsheetml/2009/9/main" uri="{B025F937-C7B1-47D3-B67F-A62EFF666E3E}">
          <x14:id>{3F107DCC-63A1-497B-B919-528218A545C1}</x14:id>
        </ext>
      </extLst>
    </cfRule>
  </conditionalFormatting>
  <conditionalFormatting sqref="D5:I7">
    <cfRule type="dataBar" priority="71">
      <dataBar>
        <cfvo type="min"/>
        <cfvo type="max"/>
        <color rgb="FF63C384"/>
      </dataBar>
      <extLst>
        <ext xmlns:x14="http://schemas.microsoft.com/office/spreadsheetml/2009/9/main" uri="{B025F937-C7B1-47D3-B67F-A62EFF666E3E}">
          <x14:id>{83BDDF4E-0A7D-4B3E-A60B-AD52AC0FFA68}</x14:id>
        </ext>
      </extLst>
    </cfRule>
  </conditionalFormatting>
  <conditionalFormatting sqref="D16:I16 D15:E15 G15:I15">
    <cfRule type="dataBar" priority="116">
      <dataBar>
        <cfvo type="min"/>
        <cfvo type="max"/>
        <color rgb="FF63C384"/>
      </dataBar>
      <extLst>
        <ext xmlns:x14="http://schemas.microsoft.com/office/spreadsheetml/2009/9/main" uri="{B025F937-C7B1-47D3-B67F-A62EFF666E3E}">
          <x14:id>{5BBC426E-7FA9-4F5C-AC78-B3996BA8F931}</x14:id>
        </ext>
      </extLst>
    </cfRule>
  </conditionalFormatting>
  <conditionalFormatting sqref="E5:E9">
    <cfRule type="dataBar" priority="72">
      <dataBar>
        <cfvo type="min"/>
        <cfvo type="max"/>
        <color rgb="FF63C384"/>
      </dataBar>
      <extLst>
        <ext xmlns:x14="http://schemas.microsoft.com/office/spreadsheetml/2009/9/main" uri="{B025F937-C7B1-47D3-B67F-A62EFF666E3E}">
          <x14:id>{740A2B96-C6E5-4177-AC04-9573B81E30EC}</x14:id>
        </ext>
      </extLst>
    </cfRule>
  </conditionalFormatting>
  <conditionalFormatting sqref="E15:E16">
    <cfRule type="dataBar" priority="119">
      <dataBar>
        <cfvo type="min"/>
        <cfvo type="max"/>
        <color rgb="FF63C384"/>
      </dataBar>
      <extLst>
        <ext xmlns:x14="http://schemas.microsoft.com/office/spreadsheetml/2009/9/main" uri="{B025F937-C7B1-47D3-B67F-A62EFF666E3E}">
          <x14:id>{5AA7A103-2149-42E1-9BBB-48A01258D43D}</x14:id>
        </ext>
      </extLst>
    </cfRule>
  </conditionalFormatting>
  <conditionalFormatting sqref="F5:F9">
    <cfRule type="dataBar" priority="74">
      <dataBar>
        <cfvo type="min"/>
        <cfvo type="max"/>
        <color rgb="FF63C384"/>
      </dataBar>
      <extLst>
        <ext xmlns:x14="http://schemas.microsoft.com/office/spreadsheetml/2009/9/main" uri="{B025F937-C7B1-47D3-B67F-A62EFF666E3E}">
          <x14:id>{5EFE30C4-0901-404E-9108-731E3BE4821E}</x14:id>
        </ext>
      </extLst>
    </cfRule>
  </conditionalFormatting>
  <conditionalFormatting sqref="G5:G9">
    <cfRule type="dataBar" priority="76">
      <dataBar>
        <cfvo type="min"/>
        <cfvo type="max"/>
        <color rgb="FF63C384"/>
      </dataBar>
      <extLst>
        <ext xmlns:x14="http://schemas.microsoft.com/office/spreadsheetml/2009/9/main" uri="{B025F937-C7B1-47D3-B67F-A62EFF666E3E}">
          <x14:id>{A1F44ECC-EF2B-4606-87E9-B7F443AC18BF}</x14:id>
        </ext>
      </extLst>
    </cfRule>
  </conditionalFormatting>
  <conditionalFormatting sqref="G15 F16">
    <cfRule type="dataBar" priority="120">
      <dataBar>
        <cfvo type="min"/>
        <cfvo type="max"/>
        <color rgb="FF63C384"/>
      </dataBar>
      <extLst>
        <ext xmlns:x14="http://schemas.microsoft.com/office/spreadsheetml/2009/9/main" uri="{B025F937-C7B1-47D3-B67F-A62EFF666E3E}">
          <x14:id>{5EE1521A-2483-44CA-9CCA-E5FC63E6246F}</x14:id>
        </ext>
      </extLst>
    </cfRule>
  </conditionalFormatting>
  <conditionalFormatting sqref="G16">
    <cfRule type="dataBar" priority="122">
      <dataBar>
        <cfvo type="min"/>
        <cfvo type="max"/>
        <color rgb="FF63C384"/>
      </dataBar>
      <extLst>
        <ext xmlns:x14="http://schemas.microsoft.com/office/spreadsheetml/2009/9/main" uri="{B025F937-C7B1-47D3-B67F-A62EFF666E3E}">
          <x14:id>{00DC50B7-1706-4DFB-A90F-9F95CB19CA6D}</x14:id>
        </ext>
      </extLst>
    </cfRule>
  </conditionalFormatting>
  <conditionalFormatting sqref="H5:H9">
    <cfRule type="dataBar" priority="78">
      <dataBar>
        <cfvo type="min"/>
        <cfvo type="max"/>
        <color rgb="FF63C384"/>
      </dataBar>
      <extLst>
        <ext xmlns:x14="http://schemas.microsoft.com/office/spreadsheetml/2009/9/main" uri="{B025F937-C7B1-47D3-B67F-A62EFF666E3E}">
          <x14:id>{4320827E-AAAF-46DA-9F47-1F13F9C2B2E6}</x14:id>
        </ext>
      </extLst>
    </cfRule>
  </conditionalFormatting>
  <conditionalFormatting sqref="H15:H16">
    <cfRule type="dataBar" priority="123">
      <dataBar>
        <cfvo type="min"/>
        <cfvo type="max"/>
        <color rgb="FF63C384"/>
      </dataBar>
      <extLst>
        <ext xmlns:x14="http://schemas.microsoft.com/office/spreadsheetml/2009/9/main" uri="{B025F937-C7B1-47D3-B67F-A62EFF666E3E}">
          <x14:id>{EED505F4-1AE5-4E85-A25F-1DAC1EADC97D}</x14:id>
        </ext>
      </extLst>
    </cfRule>
  </conditionalFormatting>
  <conditionalFormatting sqref="I5:I9">
    <cfRule type="dataBar" priority="80">
      <dataBar>
        <cfvo type="min"/>
        <cfvo type="max"/>
        <color rgb="FF63C384"/>
      </dataBar>
      <extLst>
        <ext xmlns:x14="http://schemas.microsoft.com/office/spreadsheetml/2009/9/main" uri="{B025F937-C7B1-47D3-B67F-A62EFF666E3E}">
          <x14:id>{5091493A-8CC0-4646-874A-93DEE51CD4AB}</x14:id>
        </ext>
      </extLst>
    </cfRule>
  </conditionalFormatting>
  <conditionalFormatting sqref="I15:I16">
    <cfRule type="dataBar" priority="124">
      <dataBar>
        <cfvo type="min"/>
        <cfvo type="max"/>
        <color rgb="FF63C384"/>
      </dataBar>
      <extLst>
        <ext xmlns:x14="http://schemas.microsoft.com/office/spreadsheetml/2009/9/main" uri="{B025F937-C7B1-47D3-B67F-A62EFF666E3E}">
          <x14:id>{A192D211-7CF8-4DE2-A7D7-7E84CEAE76AC}</x14:id>
        </ext>
      </extLst>
    </cfRule>
  </conditionalFormatting>
  <conditionalFormatting sqref="K5:K9">
    <cfRule type="dataBar" priority="82">
      <dataBar>
        <cfvo type="min"/>
        <cfvo type="max"/>
        <color rgb="FF63C384"/>
      </dataBar>
      <extLst>
        <ext xmlns:x14="http://schemas.microsoft.com/office/spreadsheetml/2009/9/main" uri="{B025F937-C7B1-47D3-B67F-A62EFF666E3E}">
          <x14:id>{5A27FB5F-AC6D-40FD-B152-7630C251B9C8}</x14:id>
        </ext>
      </extLst>
    </cfRule>
  </conditionalFormatting>
  <conditionalFormatting sqref="K15:K16">
    <cfRule type="dataBar" priority="125">
      <dataBar>
        <cfvo type="min"/>
        <cfvo type="max"/>
        <color rgb="FF63C384"/>
      </dataBar>
      <extLst>
        <ext xmlns:x14="http://schemas.microsoft.com/office/spreadsheetml/2009/9/main" uri="{B025F937-C7B1-47D3-B67F-A62EFF666E3E}">
          <x14:id>{60785AC6-7D44-400D-A2D8-9BBBDC5C548B}</x14:id>
        </ext>
      </extLst>
    </cfRule>
  </conditionalFormatting>
  <conditionalFormatting sqref="K15:O16">
    <cfRule type="dataBar" priority="126">
      <dataBar>
        <cfvo type="min"/>
        <cfvo type="max"/>
        <color rgb="FF63C384"/>
      </dataBar>
      <extLst>
        <ext xmlns:x14="http://schemas.microsoft.com/office/spreadsheetml/2009/9/main" uri="{B025F937-C7B1-47D3-B67F-A62EFF666E3E}">
          <x14:id>{BE9D279A-ADD8-46F4-B26E-577DEFFA037B}</x14:id>
        </ext>
      </extLst>
    </cfRule>
    <cfRule type="dataBar" priority="127">
      <dataBar>
        <cfvo type="min"/>
        <cfvo type="max"/>
        <color rgb="FF63C384"/>
      </dataBar>
      <extLst>
        <ext xmlns:x14="http://schemas.microsoft.com/office/spreadsheetml/2009/9/main" uri="{B025F937-C7B1-47D3-B67F-A62EFF666E3E}">
          <x14:id>{CBC457F7-3DB8-46A0-988B-11CCF8FF31E5}</x14:id>
        </ext>
      </extLst>
    </cfRule>
    <cfRule type="dataBar" priority="128">
      <dataBar>
        <cfvo type="min"/>
        <cfvo type="max"/>
        <color rgb="FF63C384"/>
      </dataBar>
      <extLst>
        <ext xmlns:x14="http://schemas.microsoft.com/office/spreadsheetml/2009/9/main" uri="{B025F937-C7B1-47D3-B67F-A62EFF666E3E}">
          <x14:id>{589E11FE-E342-4D21-9EB3-CB0F15AE87A6}</x14:id>
        </ext>
      </extLst>
    </cfRule>
  </conditionalFormatting>
  <conditionalFormatting sqref="K5:P7">
    <cfRule type="dataBar" priority="84">
      <dataBar>
        <cfvo type="min"/>
        <cfvo type="max"/>
        <color rgb="FF63C384"/>
      </dataBar>
      <extLst>
        <ext xmlns:x14="http://schemas.microsoft.com/office/spreadsheetml/2009/9/main" uri="{B025F937-C7B1-47D3-B67F-A62EFF666E3E}">
          <x14:id>{1642E512-5328-4DB9-81F4-5A67EFFA2D7A}</x14:id>
        </ext>
      </extLst>
    </cfRule>
    <cfRule type="dataBar" priority="85">
      <dataBar>
        <cfvo type="min"/>
        <cfvo type="max"/>
        <color rgb="FF63C384"/>
      </dataBar>
      <extLst>
        <ext xmlns:x14="http://schemas.microsoft.com/office/spreadsheetml/2009/9/main" uri="{B025F937-C7B1-47D3-B67F-A62EFF666E3E}">
          <x14:id>{5832A442-CC22-41FC-AD17-86122538435B}</x14:id>
        </ext>
      </extLst>
    </cfRule>
  </conditionalFormatting>
  <conditionalFormatting sqref="K15:P16">
    <cfRule type="dataBar" priority="132">
      <dataBar>
        <cfvo type="min"/>
        <cfvo type="max"/>
        <color rgb="FF63C384"/>
      </dataBar>
      <extLst>
        <ext xmlns:x14="http://schemas.microsoft.com/office/spreadsheetml/2009/9/main" uri="{B025F937-C7B1-47D3-B67F-A62EFF666E3E}">
          <x14:id>{00030478-9DDE-4C48-B970-8BFEEA7887D7}</x14:id>
        </ext>
      </extLst>
    </cfRule>
    <cfRule type="dataBar" priority="133">
      <dataBar>
        <cfvo type="min"/>
        <cfvo type="max"/>
        <color rgb="FF63C384"/>
      </dataBar>
      <extLst>
        <ext xmlns:x14="http://schemas.microsoft.com/office/spreadsheetml/2009/9/main" uri="{B025F937-C7B1-47D3-B67F-A62EFF666E3E}">
          <x14:id>{EC7F1560-4E75-4756-AE37-09B82982D1AB}</x14:id>
        </ext>
      </extLst>
    </cfRule>
    <cfRule type="dataBar" priority="130">
      <dataBar>
        <cfvo type="min"/>
        <cfvo type="max"/>
        <color rgb="FF63C384"/>
      </dataBar>
      <extLst>
        <ext xmlns:x14="http://schemas.microsoft.com/office/spreadsheetml/2009/9/main" uri="{B025F937-C7B1-47D3-B67F-A62EFF666E3E}">
          <x14:id>{4CBCF4A4-EFBB-41F0-984E-0C4EF2D8C81C}</x14:id>
        </ext>
      </extLst>
    </cfRule>
    <cfRule type="dataBar" priority="129">
      <dataBar>
        <cfvo type="min"/>
        <cfvo type="max"/>
        <color rgb="FF63C384"/>
      </dataBar>
      <extLst>
        <ext xmlns:x14="http://schemas.microsoft.com/office/spreadsheetml/2009/9/main" uri="{B025F937-C7B1-47D3-B67F-A62EFF666E3E}">
          <x14:id>{A85696C3-3FD4-4347-BBC8-6CEF041D9BC2}</x14:id>
        </ext>
      </extLst>
    </cfRule>
    <cfRule type="dataBar" priority="131">
      <dataBar>
        <cfvo type="min"/>
        <cfvo type="max"/>
        <color rgb="FF63C384"/>
      </dataBar>
      <extLst>
        <ext xmlns:x14="http://schemas.microsoft.com/office/spreadsheetml/2009/9/main" uri="{B025F937-C7B1-47D3-B67F-A62EFF666E3E}">
          <x14:id>{9095667E-69EE-4811-BEDE-AFA010708C3B}</x14:id>
        </ext>
      </extLst>
    </cfRule>
  </conditionalFormatting>
  <conditionalFormatting sqref="L5:L9">
    <cfRule type="dataBar" priority="86">
      <dataBar>
        <cfvo type="min"/>
        <cfvo type="max"/>
        <color rgb="FF63C384"/>
      </dataBar>
      <extLst>
        <ext xmlns:x14="http://schemas.microsoft.com/office/spreadsheetml/2009/9/main" uri="{B025F937-C7B1-47D3-B67F-A62EFF666E3E}">
          <x14:id>{086E2BE5-AF7D-45A1-A497-EB3FB49CEB4D}</x14:id>
        </ext>
      </extLst>
    </cfRule>
  </conditionalFormatting>
  <conditionalFormatting sqref="L15:L16">
    <cfRule type="dataBar" priority="134">
      <dataBar>
        <cfvo type="min"/>
        <cfvo type="max"/>
        <color rgb="FF63C384"/>
      </dataBar>
      <extLst>
        <ext xmlns:x14="http://schemas.microsoft.com/office/spreadsheetml/2009/9/main" uri="{B025F937-C7B1-47D3-B67F-A62EFF666E3E}">
          <x14:id>{4BEF7755-0998-42F9-BE2B-3DDE71DD6879}</x14:id>
        </ext>
      </extLst>
    </cfRule>
  </conditionalFormatting>
  <conditionalFormatting sqref="M8:M9">
    <cfRule type="dataBar" priority="53">
      <dataBar>
        <cfvo type="min"/>
        <cfvo type="max"/>
        <color rgb="FF63C384"/>
      </dataBar>
      <extLst>
        <ext xmlns:x14="http://schemas.microsoft.com/office/spreadsheetml/2009/9/main" uri="{B025F937-C7B1-47D3-B67F-A62EFF666E3E}">
          <x14:id>{CF921376-951B-44A1-A35C-F489AA25CABD}</x14:id>
        </ext>
      </extLst>
    </cfRule>
  </conditionalFormatting>
  <conditionalFormatting sqref="M5:P7">
    <cfRule type="dataBar" priority="88">
      <dataBar>
        <cfvo type="min"/>
        <cfvo type="max"/>
        <color rgb="FF63C384"/>
      </dataBar>
      <extLst>
        <ext xmlns:x14="http://schemas.microsoft.com/office/spreadsheetml/2009/9/main" uri="{B025F937-C7B1-47D3-B67F-A62EFF666E3E}">
          <x14:id>{418255D3-2B96-41A9-9582-87939D7FAE81}</x14:id>
        </ext>
      </extLst>
    </cfRule>
  </conditionalFormatting>
  <conditionalFormatting sqref="N8:N9">
    <cfRule type="dataBar" priority="52">
      <dataBar>
        <cfvo type="min"/>
        <cfvo type="max"/>
        <color rgb="FF63C384"/>
      </dataBar>
      <extLst>
        <ext xmlns:x14="http://schemas.microsoft.com/office/spreadsheetml/2009/9/main" uri="{B025F937-C7B1-47D3-B67F-A62EFF666E3E}">
          <x14:id>{13101FF6-2EA7-4030-B4D6-DA0DA1C2F6A6}</x14:id>
        </ext>
      </extLst>
    </cfRule>
  </conditionalFormatting>
  <conditionalFormatting sqref="N15:N16">
    <cfRule type="dataBar" priority="135">
      <dataBar>
        <cfvo type="min"/>
        <cfvo type="max"/>
        <color rgb="FF63C384"/>
      </dataBar>
      <extLst>
        <ext xmlns:x14="http://schemas.microsoft.com/office/spreadsheetml/2009/9/main" uri="{B025F937-C7B1-47D3-B67F-A62EFF666E3E}">
          <x14:id>{E359D2BF-B4C7-4D3A-9103-4CBEE70A31B4}</x14:id>
        </ext>
      </extLst>
    </cfRule>
  </conditionalFormatting>
  <conditionalFormatting sqref="O8:O9">
    <cfRule type="dataBar" priority="51">
      <dataBar>
        <cfvo type="min"/>
        <cfvo type="max"/>
        <color rgb="FF63C384"/>
      </dataBar>
      <extLst>
        <ext xmlns:x14="http://schemas.microsoft.com/office/spreadsheetml/2009/9/main" uri="{B025F937-C7B1-47D3-B67F-A62EFF666E3E}">
          <x14:id>{1F18C40A-A33A-4D0B-B57F-47D9D6CF0D64}</x14:id>
        </ext>
      </extLst>
    </cfRule>
  </conditionalFormatting>
  <conditionalFormatting sqref="O15:O16">
    <cfRule type="dataBar" priority="136">
      <dataBar>
        <cfvo type="min"/>
        <cfvo type="max"/>
        <color rgb="FF63C384"/>
      </dataBar>
      <extLst>
        <ext xmlns:x14="http://schemas.microsoft.com/office/spreadsheetml/2009/9/main" uri="{B025F937-C7B1-47D3-B67F-A62EFF666E3E}">
          <x14:id>{26AC0999-7FF4-4431-B91F-7A7C0E85B670}</x14:id>
        </ext>
      </extLst>
    </cfRule>
  </conditionalFormatting>
  <conditionalFormatting sqref="P8:P9">
    <cfRule type="dataBar" priority="50">
      <dataBar>
        <cfvo type="min"/>
        <cfvo type="max"/>
        <color rgb="FF63C384"/>
      </dataBar>
      <extLst>
        <ext xmlns:x14="http://schemas.microsoft.com/office/spreadsheetml/2009/9/main" uri="{B025F937-C7B1-47D3-B67F-A62EFF666E3E}">
          <x14:id>{BA11135A-0895-4A01-87D0-A486C9D5843C}</x14:id>
        </ext>
      </extLst>
    </cfRule>
  </conditionalFormatting>
  <conditionalFormatting sqref="P15:P16">
    <cfRule type="dataBar" priority="137">
      <dataBar>
        <cfvo type="min"/>
        <cfvo type="max"/>
        <color rgb="FF63C384"/>
      </dataBar>
      <extLst>
        <ext xmlns:x14="http://schemas.microsoft.com/office/spreadsheetml/2009/9/main" uri="{B025F937-C7B1-47D3-B67F-A62EFF666E3E}">
          <x14:id>{00154FAC-2C70-4EF2-A308-BA8404420986}</x14:id>
        </ext>
      </extLst>
    </cfRule>
  </conditionalFormatting>
  <hyperlinks>
    <hyperlink ref="B31:C31" r:id="rId1" display="https://www.grandviewresearch.com/industry-analysis/software-market-report" xr:uid="{3E4A314B-ED8D-48CF-BA2A-33197FC6E39D}"/>
    <hyperlink ref="B32:C32" r:id="rId2" display="https://www.grandviewresearch.com/industry-analysis/sales-force-automation-software-market" xr:uid="{E8D2908E-9AE2-429E-AD8D-84BE6816CCE5}"/>
    <hyperlink ref="B30:C30" r:id="rId3" display="https://www.statista.com/outlook/tmo/software/europe" xr:uid="{AFDA3459-69E5-4EB1-88F2-13EC0936E20D}"/>
  </hyperlinks>
  <pageMargins left="0.75" right="0.75" top="1" bottom="1" header="0" footer="0"/>
  <pageSetup orientation="landscape" r:id="rId4"/>
  <headerFooter alignWithMargins="0"/>
  <ignoredErrors>
    <ignoredError sqref="E33:F33" evalError="1"/>
  </ignoredErrors>
  <drawing r:id="rId5"/>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B5:B9</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B15:B16</xm:sqref>
        </x14:conditionalFormatting>
        <x14:conditionalFormatting xmlns:xm="http://schemas.microsoft.com/office/excel/2006/main">
          <x14:cfRule type="dataBar" id="{767D33FE-8570-4B26-81B7-5505E2A08A62}">
            <x14:dataBar minLength="0" maxLength="100" gradient="0">
              <x14:cfvo type="autoMin"/>
              <x14:cfvo type="autoMax"/>
              <x14:negativeFillColor rgb="FFFF0000"/>
              <x14:axisColor rgb="FF000000"/>
            </x14:dataBar>
          </x14:cfRule>
          <xm:sqref>D5:D9</xm:sqref>
        </x14:conditionalFormatting>
        <x14:conditionalFormatting xmlns:xm="http://schemas.microsoft.com/office/excel/2006/main">
          <x14:cfRule type="dataBar" id="{3F107DCC-63A1-497B-B919-528218A545C1}">
            <x14:dataBar minLength="0" maxLength="100" gradient="0">
              <x14:cfvo type="autoMin"/>
              <x14:cfvo type="autoMax"/>
              <x14:negativeFillColor rgb="FFFF0000"/>
              <x14:axisColor rgb="FF000000"/>
            </x14:dataBar>
          </x14:cfRule>
          <xm:sqref>D15:D16</xm:sqref>
        </x14:conditionalFormatting>
        <x14:conditionalFormatting xmlns:xm="http://schemas.microsoft.com/office/excel/2006/main">
          <x14:cfRule type="dataBar" id="{83BDDF4E-0A7D-4B3E-A60B-AD52AC0FFA68}">
            <x14:dataBar minLength="0" maxLength="100" gradient="0">
              <x14:cfvo type="autoMin"/>
              <x14:cfvo type="autoMax"/>
              <x14:negativeFillColor rgb="FFFF0000"/>
              <x14:axisColor rgb="FF000000"/>
            </x14:dataBar>
          </x14:cfRule>
          <xm:sqref>D5:I7</xm:sqref>
        </x14:conditionalFormatting>
        <x14:conditionalFormatting xmlns:xm="http://schemas.microsoft.com/office/excel/2006/main">
          <x14:cfRule type="dataBar" id="{5BBC426E-7FA9-4F5C-AC78-B3996BA8F931}">
            <x14:dataBar minLength="0" maxLength="100" gradient="0">
              <x14:cfvo type="autoMin"/>
              <x14:cfvo type="autoMax"/>
              <x14:negativeFillColor rgb="FFFF0000"/>
              <x14:axisColor rgb="FF000000"/>
            </x14:dataBar>
          </x14:cfRule>
          <xm:sqref>D16:I16 D15:E15 G15:I15</xm:sqref>
        </x14:conditionalFormatting>
        <x14:conditionalFormatting xmlns:xm="http://schemas.microsoft.com/office/excel/2006/main">
          <x14:cfRule type="dataBar" id="{740A2B96-C6E5-4177-AC04-9573B81E30EC}">
            <x14:dataBar minLength="0" maxLength="100" gradient="0">
              <x14:cfvo type="autoMin"/>
              <x14:cfvo type="autoMax"/>
              <x14:negativeFillColor rgb="FFFF0000"/>
              <x14:axisColor rgb="FF000000"/>
            </x14:dataBar>
          </x14:cfRule>
          <xm:sqref>E5:E9</xm:sqref>
        </x14:conditionalFormatting>
        <x14:conditionalFormatting xmlns:xm="http://schemas.microsoft.com/office/excel/2006/main">
          <x14:cfRule type="dataBar" id="{5AA7A103-2149-42E1-9BBB-48A01258D43D}">
            <x14:dataBar minLength="0" maxLength="100" gradient="0">
              <x14:cfvo type="autoMin"/>
              <x14:cfvo type="autoMax"/>
              <x14:negativeFillColor rgb="FFFF0000"/>
              <x14:axisColor rgb="FF000000"/>
            </x14:dataBar>
          </x14:cfRule>
          <xm:sqref>E15:E16</xm:sqref>
        </x14:conditionalFormatting>
        <x14:conditionalFormatting xmlns:xm="http://schemas.microsoft.com/office/excel/2006/main">
          <x14:cfRule type="dataBar" id="{5EFE30C4-0901-404E-9108-731E3BE4821E}">
            <x14:dataBar minLength="0" maxLength="100" gradient="0">
              <x14:cfvo type="autoMin"/>
              <x14:cfvo type="autoMax"/>
              <x14:negativeFillColor rgb="FFFF0000"/>
              <x14:axisColor rgb="FF000000"/>
            </x14:dataBar>
          </x14:cfRule>
          <xm:sqref>F5:F9</xm:sqref>
        </x14:conditionalFormatting>
        <x14:conditionalFormatting xmlns:xm="http://schemas.microsoft.com/office/excel/2006/main">
          <x14:cfRule type="dataBar" id="{A1F44ECC-EF2B-4606-87E9-B7F443AC18BF}">
            <x14:dataBar minLength="0" maxLength="100" gradient="0">
              <x14:cfvo type="autoMin"/>
              <x14:cfvo type="autoMax"/>
              <x14:negativeFillColor rgb="FFFF0000"/>
              <x14:axisColor rgb="FF000000"/>
            </x14:dataBar>
          </x14:cfRule>
          <xm:sqref>G5:G9</xm:sqref>
        </x14:conditionalFormatting>
        <x14:conditionalFormatting xmlns:xm="http://schemas.microsoft.com/office/excel/2006/main">
          <x14:cfRule type="dataBar" id="{5EE1521A-2483-44CA-9CCA-E5FC63E6246F}">
            <x14:dataBar minLength="0" maxLength="100" gradient="0">
              <x14:cfvo type="autoMin"/>
              <x14:cfvo type="autoMax"/>
              <x14:negativeFillColor rgb="FFFF0000"/>
              <x14:axisColor rgb="FF000000"/>
            </x14:dataBar>
          </x14:cfRule>
          <xm:sqref>G15 F16</xm:sqref>
        </x14:conditionalFormatting>
        <x14:conditionalFormatting xmlns:xm="http://schemas.microsoft.com/office/excel/2006/main">
          <x14:cfRule type="dataBar" id="{00DC50B7-1706-4DFB-A90F-9F95CB19CA6D}">
            <x14:dataBar minLength="0" maxLength="100" gradient="0">
              <x14:cfvo type="autoMin"/>
              <x14:cfvo type="autoMax"/>
              <x14:negativeFillColor rgb="FFFF0000"/>
              <x14:axisColor rgb="FF000000"/>
            </x14:dataBar>
          </x14:cfRule>
          <xm:sqref>G16</xm:sqref>
        </x14:conditionalFormatting>
        <x14:conditionalFormatting xmlns:xm="http://schemas.microsoft.com/office/excel/2006/main">
          <x14:cfRule type="dataBar" id="{4320827E-AAAF-46DA-9F47-1F13F9C2B2E6}">
            <x14:dataBar minLength="0" maxLength="100" gradient="0">
              <x14:cfvo type="autoMin"/>
              <x14:cfvo type="autoMax"/>
              <x14:negativeFillColor rgb="FFFF0000"/>
              <x14:axisColor rgb="FF000000"/>
            </x14:dataBar>
          </x14:cfRule>
          <xm:sqref>H5:H9</xm:sqref>
        </x14:conditionalFormatting>
        <x14:conditionalFormatting xmlns:xm="http://schemas.microsoft.com/office/excel/2006/main">
          <x14:cfRule type="dataBar" id="{EED505F4-1AE5-4E85-A25F-1DAC1EADC97D}">
            <x14:dataBar minLength="0" maxLength="100" gradient="0">
              <x14:cfvo type="autoMin"/>
              <x14:cfvo type="autoMax"/>
              <x14:negativeFillColor rgb="FFFF0000"/>
              <x14:axisColor rgb="FF000000"/>
            </x14:dataBar>
          </x14:cfRule>
          <xm:sqref>H15:H16</xm:sqref>
        </x14:conditionalFormatting>
        <x14:conditionalFormatting xmlns:xm="http://schemas.microsoft.com/office/excel/2006/main">
          <x14:cfRule type="dataBar" id="{5091493A-8CC0-4646-874A-93DEE51CD4AB}">
            <x14:dataBar minLength="0" maxLength="100" gradient="0">
              <x14:cfvo type="autoMin"/>
              <x14:cfvo type="autoMax"/>
              <x14:negativeFillColor rgb="FFFF0000"/>
              <x14:axisColor rgb="FF000000"/>
            </x14:dataBar>
          </x14:cfRule>
          <xm:sqref>I5:I9</xm:sqref>
        </x14:conditionalFormatting>
        <x14:conditionalFormatting xmlns:xm="http://schemas.microsoft.com/office/excel/2006/main">
          <x14:cfRule type="dataBar" id="{A192D211-7CF8-4DE2-A7D7-7E84CEAE76AC}">
            <x14:dataBar minLength="0" maxLength="100" gradient="0">
              <x14:cfvo type="autoMin"/>
              <x14:cfvo type="autoMax"/>
              <x14:negativeFillColor rgb="FFFF0000"/>
              <x14:axisColor rgb="FF000000"/>
            </x14:dataBar>
          </x14:cfRule>
          <xm:sqref>I15:I16</xm:sqref>
        </x14:conditionalFormatting>
        <x14:conditionalFormatting xmlns:xm="http://schemas.microsoft.com/office/excel/2006/main">
          <x14:cfRule type="dataBar" id="{5A27FB5F-AC6D-40FD-B152-7630C251B9C8}">
            <x14:dataBar minLength="0" maxLength="100" gradient="0">
              <x14:cfvo type="autoMin"/>
              <x14:cfvo type="autoMax"/>
              <x14:negativeFillColor rgb="FFFF0000"/>
              <x14:axisColor rgb="FF000000"/>
            </x14:dataBar>
          </x14:cfRule>
          <xm:sqref>K5:K9</xm:sqref>
        </x14:conditionalFormatting>
        <x14:conditionalFormatting xmlns:xm="http://schemas.microsoft.com/office/excel/2006/main">
          <x14:cfRule type="dataBar" id="{60785AC6-7D44-400D-A2D8-9BBBDC5C548B}">
            <x14:dataBar minLength="0" maxLength="100" gradient="0">
              <x14:cfvo type="autoMin"/>
              <x14:cfvo type="autoMax"/>
              <x14:negativeFillColor rgb="FFFF0000"/>
              <x14:axisColor rgb="FF000000"/>
            </x14:dataBar>
          </x14:cfRule>
          <xm:sqref>K15:K16</xm:sqref>
        </x14:conditionalFormatting>
        <x14:conditionalFormatting xmlns:xm="http://schemas.microsoft.com/office/excel/2006/main">
          <x14:cfRule type="dataBar" id="{BE9D279A-ADD8-46F4-B26E-577DEFFA037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BC457F7-3DB8-46A0-988B-11CCF8FF31E5}">
            <x14:dataBar minLength="0" maxLength="100" gradient="0">
              <x14:cfvo type="autoMin"/>
              <x14:cfvo type="autoMax"/>
              <x14:negativeFillColor rgb="FFFF0000"/>
              <x14:axisColor rgb="FF000000"/>
            </x14:dataBar>
          </x14:cfRule>
          <x14:cfRule type="dataBar" id="{589E11FE-E342-4D21-9EB3-CB0F15AE87A6}">
            <x14:dataBar minLength="0" maxLength="100" gradient="0">
              <x14:cfvo type="autoMin"/>
              <x14:cfvo type="autoMax"/>
              <x14:negativeFillColor rgb="FFFF0000"/>
              <x14:axisColor rgb="FF000000"/>
            </x14:dataBar>
          </x14:cfRule>
          <xm:sqref>K15:O16</xm:sqref>
        </x14:conditionalFormatting>
        <x14:conditionalFormatting xmlns:xm="http://schemas.microsoft.com/office/excel/2006/main">
          <x14:cfRule type="dataBar" id="{1642E512-5328-4DB9-81F4-5A67EFFA2D7A}">
            <x14:dataBar minLength="0" maxLength="100" gradient="0">
              <x14:cfvo type="autoMin"/>
              <x14:cfvo type="autoMax"/>
              <x14:negativeFillColor rgb="FFFF0000"/>
              <x14:axisColor rgb="FF000000"/>
            </x14:dataBar>
          </x14:cfRule>
          <x14:cfRule type="dataBar" id="{5832A442-CC22-41FC-AD17-86122538435B}">
            <x14:dataBar minLength="0" maxLength="100" border="1" negativeBarBorderColorSameAsPositive="0">
              <x14:cfvo type="autoMin"/>
              <x14:cfvo type="autoMax"/>
              <x14:borderColor rgb="FF63C384"/>
              <x14:negativeFillColor rgb="FFFF0000"/>
              <x14:negativeBorderColor rgb="FFFF0000"/>
              <x14:axisColor rgb="FF000000"/>
            </x14:dataBar>
          </x14:cfRule>
          <xm:sqref>K5:P7</xm:sqref>
        </x14:conditionalFormatting>
        <x14:conditionalFormatting xmlns:xm="http://schemas.microsoft.com/office/excel/2006/main">
          <x14:cfRule type="dataBar" id="{00030478-9DDE-4C48-B970-8BFEEA7887D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C7F1560-4E75-4756-AE37-09B82982D1AB}">
            <x14:dataBar minLength="0" maxLength="100" gradient="0">
              <x14:cfvo type="autoMin"/>
              <x14:cfvo type="autoMax"/>
              <x14:negativeFillColor rgb="FFFF0000"/>
              <x14:axisColor rgb="FF000000"/>
            </x14:dataBar>
          </x14:cfRule>
          <x14:cfRule type="dataBar" id="{4CBCF4A4-EFBB-41F0-984E-0C4EF2D8C81C}">
            <x14:dataBar minLength="0" maxLength="100" gradient="0">
              <x14:cfvo type="autoMin"/>
              <x14:cfvo type="autoMax"/>
              <x14:negativeFillColor rgb="FFFF0000"/>
              <x14:axisColor rgb="FF000000"/>
            </x14:dataBar>
          </x14:cfRule>
          <x14:cfRule type="dataBar" id="{A85696C3-3FD4-4347-BBC8-6CEF041D9BC2}">
            <x14:dataBar minLength="0" maxLength="100" gradient="0">
              <x14:cfvo type="autoMin"/>
              <x14:cfvo type="autoMax"/>
              <x14:negativeFillColor rgb="FFFF0000"/>
              <x14:axisColor rgb="FF000000"/>
            </x14:dataBar>
          </x14:cfRule>
          <x14:cfRule type="dataBar" id="{9095667E-69EE-4811-BEDE-AFA010708C3B}">
            <x14:dataBar minLength="0" maxLength="100" gradient="0">
              <x14:cfvo type="autoMin"/>
              <x14:cfvo type="autoMax"/>
              <x14:negativeFillColor rgb="FFFF0000"/>
              <x14:axisColor rgb="FF000000"/>
            </x14:dataBar>
          </x14:cfRule>
          <xm:sqref>K15:P16</xm:sqref>
        </x14:conditionalFormatting>
        <x14:conditionalFormatting xmlns:xm="http://schemas.microsoft.com/office/excel/2006/main">
          <x14:cfRule type="dataBar" id="{086E2BE5-AF7D-45A1-A497-EB3FB49CEB4D}">
            <x14:dataBar minLength="0" maxLength="100" gradient="0">
              <x14:cfvo type="autoMin"/>
              <x14:cfvo type="autoMax"/>
              <x14:negativeFillColor rgb="FFFF0000"/>
              <x14:axisColor rgb="FF000000"/>
            </x14:dataBar>
          </x14:cfRule>
          <xm:sqref>L5:L9</xm:sqref>
        </x14:conditionalFormatting>
        <x14:conditionalFormatting xmlns:xm="http://schemas.microsoft.com/office/excel/2006/main">
          <x14:cfRule type="dataBar" id="{4BEF7755-0998-42F9-BE2B-3DDE71DD6879}">
            <x14:dataBar minLength="0" maxLength="100" gradient="0">
              <x14:cfvo type="autoMin"/>
              <x14:cfvo type="autoMax"/>
              <x14:negativeFillColor rgb="FFFF0000"/>
              <x14:axisColor rgb="FF000000"/>
            </x14:dataBar>
          </x14:cfRule>
          <xm:sqref>L15:L16</xm:sqref>
        </x14:conditionalFormatting>
        <x14:conditionalFormatting xmlns:xm="http://schemas.microsoft.com/office/excel/2006/main">
          <x14:cfRule type="dataBar" id="{CF921376-951B-44A1-A35C-F489AA25CABD}">
            <x14:dataBar minLength="0" maxLength="100" gradient="0">
              <x14:cfvo type="autoMin"/>
              <x14:cfvo type="autoMax"/>
              <x14:negativeFillColor rgb="FFFF0000"/>
              <x14:axisColor rgb="FF000000"/>
            </x14:dataBar>
          </x14:cfRule>
          <xm:sqref>M8:M9</xm:sqref>
        </x14:conditionalFormatting>
        <x14:conditionalFormatting xmlns:xm="http://schemas.microsoft.com/office/excel/2006/main">
          <x14:cfRule type="dataBar" id="{418255D3-2B96-41A9-9582-87939D7FAE81}">
            <x14:dataBar minLength="0" maxLength="100" gradient="0">
              <x14:cfvo type="autoMin"/>
              <x14:cfvo type="autoMax"/>
              <x14:negativeFillColor rgb="FFFF0000"/>
              <x14:axisColor rgb="FF000000"/>
            </x14:dataBar>
          </x14:cfRule>
          <xm:sqref>M5:P7</xm:sqref>
        </x14:conditionalFormatting>
        <x14:conditionalFormatting xmlns:xm="http://schemas.microsoft.com/office/excel/2006/main">
          <x14:cfRule type="dataBar" id="{13101FF6-2EA7-4030-B4D6-DA0DA1C2F6A6}">
            <x14:dataBar minLength="0" maxLength="100" gradient="0">
              <x14:cfvo type="autoMin"/>
              <x14:cfvo type="autoMax"/>
              <x14:negativeFillColor rgb="FFFF0000"/>
              <x14:axisColor rgb="FF000000"/>
            </x14:dataBar>
          </x14:cfRule>
          <xm:sqref>N8:N9</xm:sqref>
        </x14:conditionalFormatting>
        <x14:conditionalFormatting xmlns:xm="http://schemas.microsoft.com/office/excel/2006/main">
          <x14:cfRule type="dataBar" id="{E359D2BF-B4C7-4D3A-9103-4CBEE70A31B4}">
            <x14:dataBar minLength="0" maxLength="100" gradient="0">
              <x14:cfvo type="autoMin"/>
              <x14:cfvo type="autoMax"/>
              <x14:negativeFillColor rgb="FFFF0000"/>
              <x14:axisColor rgb="FF000000"/>
            </x14:dataBar>
          </x14:cfRule>
          <xm:sqref>N15:N16</xm:sqref>
        </x14:conditionalFormatting>
        <x14:conditionalFormatting xmlns:xm="http://schemas.microsoft.com/office/excel/2006/main">
          <x14:cfRule type="dataBar" id="{1F18C40A-A33A-4D0B-B57F-47D9D6CF0D64}">
            <x14:dataBar minLength="0" maxLength="100" gradient="0">
              <x14:cfvo type="autoMin"/>
              <x14:cfvo type="autoMax"/>
              <x14:negativeFillColor rgb="FFFF0000"/>
              <x14:axisColor rgb="FF000000"/>
            </x14:dataBar>
          </x14:cfRule>
          <xm:sqref>O8:O9</xm:sqref>
        </x14:conditionalFormatting>
        <x14:conditionalFormatting xmlns:xm="http://schemas.microsoft.com/office/excel/2006/main">
          <x14:cfRule type="dataBar" id="{26AC0999-7FF4-4431-B91F-7A7C0E85B670}">
            <x14:dataBar minLength="0" maxLength="100" gradient="0">
              <x14:cfvo type="autoMin"/>
              <x14:cfvo type="autoMax"/>
              <x14:negativeFillColor rgb="FFFF0000"/>
              <x14:axisColor rgb="FF000000"/>
            </x14:dataBar>
          </x14:cfRule>
          <xm:sqref>O15:O16</xm:sqref>
        </x14:conditionalFormatting>
        <x14:conditionalFormatting xmlns:xm="http://schemas.microsoft.com/office/excel/2006/main">
          <x14:cfRule type="dataBar" id="{BA11135A-0895-4A01-87D0-A486C9D5843C}">
            <x14:dataBar minLength="0" maxLength="100" gradient="0">
              <x14:cfvo type="autoMin"/>
              <x14:cfvo type="autoMax"/>
              <x14:negativeFillColor rgb="FFFF0000"/>
              <x14:axisColor rgb="FF000000"/>
            </x14:dataBar>
          </x14:cfRule>
          <xm:sqref>P8:P9</xm:sqref>
        </x14:conditionalFormatting>
        <x14:conditionalFormatting xmlns:xm="http://schemas.microsoft.com/office/excel/2006/main">
          <x14:cfRule type="dataBar" id="{00154FAC-2C70-4EF2-A308-BA8404420986}">
            <x14:dataBar minLength="0" maxLength="100" gradient="0">
              <x14:cfvo type="autoMin"/>
              <x14:cfvo type="autoMax"/>
              <x14:negativeFillColor rgb="FFFF0000"/>
              <x14:axisColor rgb="FF000000"/>
            </x14:dataBar>
          </x14:cfRule>
          <xm:sqref>P15:P16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baseColWidth="10" defaultColWidth="11.5" defaultRowHeight="13"/>
  <cols>
    <col min="1" max="1" width="27.1640625" bestFit="1" customWidth="1"/>
  </cols>
  <sheetData>
    <row r="1" spans="1:1">
      <c r="A1" t="s">
        <v>224</v>
      </c>
    </row>
    <row r="2" spans="1:1">
      <c r="A2" t="s">
        <v>225</v>
      </c>
    </row>
    <row r="3" spans="1:1">
      <c r="A3" t="s">
        <v>226</v>
      </c>
    </row>
    <row r="4" spans="1:1">
      <c r="A4" t="s">
        <v>227</v>
      </c>
    </row>
    <row r="5" spans="1:1">
      <c r="A5" t="s">
        <v>228</v>
      </c>
    </row>
    <row r="6" spans="1:1">
      <c r="A6" s="10" t="s">
        <v>229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N74"/>
  <sheetViews>
    <sheetView showGridLines="0" topLeftCell="A14" zoomScale="110" zoomScaleNormal="110" workbookViewId="0">
      <selection activeCell="H33" sqref="H33"/>
    </sheetView>
  </sheetViews>
  <sheetFormatPr baseColWidth="10" defaultColWidth="11.5" defaultRowHeight="13"/>
  <cols>
    <col min="1" max="1" width="0.5" customWidth="1"/>
    <col min="2" max="2" width="31.6640625" bestFit="1" customWidth="1"/>
    <col min="3" max="4" width="32.1640625" customWidth="1"/>
    <col min="5" max="5" width="33.5" customWidth="1"/>
    <col min="6" max="6" width="33.83203125" customWidth="1"/>
    <col min="7" max="7" width="32.1640625" customWidth="1"/>
    <col min="8" max="8" width="33.1640625" customWidth="1"/>
    <col min="9" max="9" width="15.5" customWidth="1"/>
    <col min="10" max="10" width="10.6640625" customWidth="1"/>
  </cols>
  <sheetData>
    <row r="1" spans="2:14" ht="14">
      <c r="B1" s="179" t="s">
        <v>230</v>
      </c>
      <c r="C1" s="180" t="s">
        <v>231</v>
      </c>
      <c r="D1" s="1154" t="s">
        <v>203</v>
      </c>
      <c r="E1" s="1154"/>
      <c r="F1" s="1154"/>
      <c r="G1" s="1154"/>
      <c r="H1" s="1154"/>
    </row>
    <row r="2" spans="2:14" ht="106" customHeight="1">
      <c r="B2" s="181"/>
      <c r="C2" s="359" t="e" vm="5">
        <v>#VALUE!</v>
      </c>
      <c r="D2" s="1151" t="str" cm="1">
        <f t="array" ref="D2">_FV(C2,"Descrição")</f>
        <v>A MICROSOFT CORPORATION é uma empresa de tecnologia. A Empresa desenvolve, licencia e oferece suporte a uma gama de produtos de software, serviços e dispositivos. Seus segmentos são Produtividade e Processos de Negócio, Nuvem Inteligente e Outras Soluções de Computação Pessoal. Seus produtos incluem sistemas operacionais; aplicativos de produtividade de dispositivos cruzados; aplicativos de servidor; aplicativos de soluções de negócio; ferramentas de gerenciamento de desktop e servidor; ferramentas de desenvolvimento de software; videojogos, e treinamento e certificação de integradores e desenvolvedores de sistemas de computador. Ela também projeta, fabrica e vende dispositivos, incluindo computadores pessoais, tablets, consoles para jogos e entretenimento, telefones, outros dispositivos inteligentes e acessórios relacionados, que se integram com suas ofertas baseadas em nuvem. Ela oferece uma variedade de serviços, incluindo soluções baseadas em nuvem, que fornecem aos clientes software, serviços, plataformas e conteúdo, além de oferecer serviços de suporte e consultoria de soluções. Ela também oferece publicidade online.</v>
      </c>
      <c r="E2" s="1152"/>
      <c r="F2" s="1152"/>
      <c r="G2" s="1152"/>
      <c r="H2" s="1153"/>
    </row>
    <row r="3" spans="2:14" ht="91" customHeight="1">
      <c r="B3" s="181"/>
      <c r="C3" s="360" t="e" vm="6">
        <v>#VALUE!</v>
      </c>
      <c r="D3" s="1151" t="str" cm="1">
        <f t="array" ref="D3">_FV(C3,"Descrição")</f>
        <v>A SAP SE (SAP) é uma empresa sediada na Alemanha que oferece software de aplicativos corporativos. A Companhia opera em três segmentos: segmento de Aplicativos, Tecnologia e Serviços, que atua na venda de licenças de software, assinaturas de seus aplicativos na nuvem e serviços relacionados, principalmente serviços de suporte e vários serviços profissionais e serviços de suporte, além de serviços de implementação de seus produtos de software e serviços de educação sobre o uso de seus produtos; o segmento SAP Business Network, que inclui suas redes e serviços de negócios colaborativos baseados na nuvem relacionados ao SAP Business Network, incluindo aplicativos em nuvem, serviços profissionais e serviços educacionais, bem como o mercado da Empresa e vende as ofertas em nuvem desenvolvidas pela SAP Ariba, SAP Fieldglass e Concur e o segmento Customer Experience, que inclui produtos locais e baseados em nuvem que executam funções de front office em toda a experiência do cliente.</v>
      </c>
      <c r="E3" s="1152"/>
      <c r="F3" s="1152"/>
      <c r="G3" s="1152"/>
      <c r="H3" s="1153"/>
    </row>
    <row r="4" spans="2:14" ht="87" customHeight="1">
      <c r="B4" s="181"/>
      <c r="C4" s="361" t="e" vm="7">
        <v>#VALUE!</v>
      </c>
      <c r="D4" s="1151" t="str" cm="1">
        <f t="array" ref="D4">_FV(C4,"Descrição")</f>
        <v>A Oracle Corporation (Oracle) fornece produtos e serviços que atendem a ambientes de tecnologia da informação empresarial. Os negócios da Empresa incluem nuvem e licença, hardware e serviços. Seus produtos e serviços incluem aplicativos e ofertas de infraestrutura que são entregues por meio de uma variedade de modelos de implantação de TI. Seus clientes incluem agências governamentais, instituições educacionais e revendedores. Usando as tecnologias Oracle, seus clientes criam, implantam, executam, gerenciam e dão suporte a seus produtos, serviços e operações comerciais internos e externos. Suas ofertas de Oracle Cloud Services incluem Oracle Software as a Service (SaaS) e infraestrutura Oracle como serviço (IaaS), que fornece uma pilha de aplicativos e serviços de infraestrutura fornecidos por meio de modelos de implantação baseados em nuvem. O Oracle Cloud Services integra o software, hardware e serviços em nome do cliente em um ambiente de TI baseado em nuvem.</v>
      </c>
      <c r="E4" s="1152"/>
      <c r="F4" s="1152"/>
      <c r="G4" s="1152"/>
      <c r="H4" s="1153"/>
    </row>
    <row r="5" spans="2:14" ht="89" customHeight="1">
      <c r="B5" s="181"/>
      <c r="C5" s="362" t="e" vm="8">
        <v>#VALUE!</v>
      </c>
      <c r="D5" s="1151" t="str" cm="1">
        <f t="array" ref="D5">_FV(C5,"Descrição")</f>
        <v>A Adobe Systems Incorporated fornece software de design gráfico, publicação e imagem para impressão, Web e produção de vídeo. Seus clientes incluem profissionais criativos, como designers gráficos, web designers, cinegrafistas, fotógrafos e editores profissionais, usuários corporativos, como gerentes de tecnologia da informação (TI), a linha de gerentes e executivos de negócios e consumidores, como entusiastas e entusiastas de imagem digital e vídeo digital. A Abode categoriza seus produtos em quatro segmentos de negócios: Imagem e Vídeo Digital, Creative Professional, Documentos Inteligentes e Original Equipment Manufacturers (OEM) PostScript e Outros. Em 3 de dezembro de 2005, a Companhia concluiu a aquisição da Macromedia, Inc. Em 21 de abril de 2006, a empresa adquiriu a Trade and Technologies France. Em outubro de 2006, a Companhia adquiriu a Serious Magic Inc., fabricante de software de vídeo para os mercados de negócios, consumo e educação.</v>
      </c>
      <c r="E5" s="1152"/>
      <c r="F5" s="1152"/>
      <c r="G5" s="1152"/>
      <c r="H5" s="1153"/>
    </row>
    <row r="6" spans="2:14" ht="103" customHeight="1">
      <c r="B6" s="181"/>
      <c r="C6" s="363" t="e" vm="9">
        <v>#VALUE!</v>
      </c>
      <c r="D6" s="1151" t="str" cm="1">
        <f t="array" ref="D6">_FV(C6,"Descrição")</f>
        <v>A Zendesk, Inc. é uma empresa de desenvolvimento de software que fornece soluções de software como serviço (SaaS). A Companhia oferece uma variedade de soluções de produtos, que incluem os Zendesk Support, Zendesk Chat, Zendesk Talk, Zendesk Guide, Zendesk Gather, Zendesk Explore, Zendesk Sell e Zendesk Apps. O Zendesk Support é um sistema para rastrear, priorizar e resolver tíquetes de suporte ao cliente em vários canais. O Zendesk Chat é um software de chat e mensagens ao vivo. O Zendesk Talk é um software de call center baseado em nuvem. O Zendesk Guide é uma base de conhecimento que potencializa o autoatendimento do cliente e a produtividade do agente de suporte. O Zendesk Gather é um software de fórum da comunidade. O Zendesk Explore fornece análises para que organizações avaliem e melhorem toda a experiência do cliente. O Zendesk Sell é uma solução de produto de gerenciamento de relacionamento com o cliente (GRC) de vendas. As plataformas da Companhia incluem as Zendesk Sunshine, Sunshine Conversations, Zendesk Sunshine Developer Tools, Zendesk Apps, Zendesk API e outros.</v>
      </c>
      <c r="E6" s="1152"/>
      <c r="F6" s="1152"/>
      <c r="G6" s="1152"/>
      <c r="H6" s="1153"/>
      <c r="L6" s="2"/>
    </row>
    <row r="7" spans="2:14" ht="14" thickBot="1">
      <c r="B7" s="10"/>
    </row>
    <row r="8" spans="2:14" ht="36" customHeight="1" thickBot="1">
      <c r="B8" s="178" t="s">
        <v>232</v>
      </c>
      <c r="C8" s="353" t="str">
        <f>OP!E2</f>
        <v>SALESFORCE, INC. (XNYS:CRM)</v>
      </c>
      <c r="D8" s="354" t="e" vm="5">
        <f>C2</f>
        <v>#VALUE!</v>
      </c>
      <c r="E8" s="355" t="e" vm="6">
        <f>C3</f>
        <v>#VALUE!</v>
      </c>
      <c r="F8" s="356" t="e" vm="7">
        <f>C4</f>
        <v>#VALUE!</v>
      </c>
      <c r="G8" s="640" t="e" vm="8">
        <f>C5</f>
        <v>#VALUE!</v>
      </c>
      <c r="H8" s="358" t="e" vm="9">
        <f>C6</f>
        <v>#VALUE!</v>
      </c>
      <c r="I8" s="174" t="s">
        <v>233</v>
      </c>
      <c r="J8" s="603" t="s">
        <v>234</v>
      </c>
    </row>
    <row r="9" spans="2:14" ht="16.5" customHeight="1" thickBot="1">
      <c r="B9" s="172" t="s">
        <v>235</v>
      </c>
      <c r="C9" s="156"/>
      <c r="D9" s="157"/>
      <c r="E9" s="157"/>
      <c r="F9" s="157"/>
      <c r="G9" s="157"/>
      <c r="H9" s="158"/>
      <c r="I9" s="159" t="str">
        <f>IFERROR(AVERAGE(C9:H9),"")</f>
        <v/>
      </c>
      <c r="J9" s="581"/>
      <c r="L9" s="1143" t="s">
        <v>236</v>
      </c>
      <c r="M9" s="1144"/>
      <c r="N9" s="1145"/>
    </row>
    <row r="10" spans="2:14" ht="13.5" customHeight="1" thickBot="1">
      <c r="B10" s="171" t="s">
        <v>237</v>
      </c>
      <c r="C10" s="154" t="e" vm="4">
        <f>OP!C22</f>
        <v>#VALUE!</v>
      </c>
      <c r="D10" s="154">
        <v>2350000</v>
      </c>
      <c r="E10" s="154">
        <v>150000</v>
      </c>
      <c r="F10" s="154">
        <v>295000</v>
      </c>
      <c r="G10" s="154">
        <v>234000</v>
      </c>
      <c r="H10" s="154">
        <v>9625</v>
      </c>
      <c r="I10" s="527" t="str">
        <f>IFERROR(AVERAGE(C10:H10),"")</f>
        <v/>
      </c>
      <c r="J10" s="582" t="e" vm="4">
        <f>SQRT((C10-I10)^2)</f>
        <v>#VALUE!</v>
      </c>
      <c r="L10" s="1146"/>
      <c r="M10" s="1141" t="s">
        <v>238</v>
      </c>
      <c r="N10" s="1142"/>
    </row>
    <row r="11" spans="2:14" ht="14" thickBot="1">
      <c r="B11" s="495" t="s">
        <v>239</v>
      </c>
      <c r="C11" s="496">
        <f>C56</f>
        <v>31352</v>
      </c>
      <c r="D11" s="496">
        <f t="shared" ref="D11:H11" si="0">D56</f>
        <v>198270</v>
      </c>
      <c r="E11" s="496">
        <f t="shared" si="0"/>
        <v>32974</v>
      </c>
      <c r="F11" s="496">
        <f t="shared" si="0"/>
        <v>42440</v>
      </c>
      <c r="G11" s="496">
        <f t="shared" si="0"/>
        <v>17430</v>
      </c>
      <c r="H11" s="496">
        <f t="shared" si="0"/>
        <v>1.587</v>
      </c>
      <c r="I11" s="528">
        <f t="shared" ref="I11:I40" si="1">IFERROR(AVERAGE(C11:H11),"")</f>
        <v>53744.597833333333</v>
      </c>
      <c r="J11" s="583">
        <f t="shared" ref="J11:J50" si="2">SQRT((C11-I11)^2)</f>
        <v>22392.597833333333</v>
      </c>
      <c r="L11" s="1146"/>
      <c r="M11" s="1141"/>
      <c r="N11" s="1142"/>
    </row>
    <row r="12" spans="2:14" ht="16.5" customHeight="1" thickBot="1">
      <c r="B12" s="172" t="s">
        <v>240</v>
      </c>
      <c r="C12" s="177"/>
      <c r="D12" s="177"/>
      <c r="E12" s="177"/>
      <c r="F12" s="177"/>
      <c r="G12" s="177"/>
      <c r="H12" s="177"/>
      <c r="I12" s="529" t="str">
        <f t="shared" si="1"/>
        <v/>
      </c>
      <c r="J12" s="584"/>
      <c r="L12" s="1140"/>
      <c r="M12" s="1141" t="s">
        <v>241</v>
      </c>
      <c r="N12" s="1142"/>
    </row>
    <row r="13" spans="2:14" ht="14" thickBot="1">
      <c r="B13" s="171" t="s">
        <v>242</v>
      </c>
      <c r="C13" s="507">
        <f>C56/C55-1</f>
        <v>0.18345160803261362</v>
      </c>
      <c r="D13" s="507">
        <f t="shared" ref="D13:H13" si="3">D56/D55-1</f>
        <v>0.17956070629670173</v>
      </c>
      <c r="E13" s="507">
        <f t="shared" si="3"/>
        <v>4.1437685553660453E-2</v>
      </c>
      <c r="F13" s="507">
        <f t="shared" si="3"/>
        <v>4.8444872650015958E-2</v>
      </c>
      <c r="G13" s="507">
        <f t="shared" si="3"/>
        <v>0.10316455696202542</v>
      </c>
      <c r="H13" s="507">
        <f t="shared" si="3"/>
        <v>0.19323308270676676</v>
      </c>
      <c r="I13" s="530">
        <f t="shared" si="1"/>
        <v>0.12488208536696399</v>
      </c>
      <c r="J13" s="585">
        <f t="shared" si="2"/>
        <v>5.8569522665649631E-2</v>
      </c>
      <c r="L13" s="1140"/>
      <c r="M13" s="1141"/>
      <c r="N13" s="1142"/>
    </row>
    <row r="14" spans="2:14" ht="14" thickBot="1">
      <c r="B14" s="497" t="s">
        <v>243</v>
      </c>
      <c r="C14" s="498">
        <f>C56/C54-1</f>
        <v>0.833664756111826</v>
      </c>
      <c r="D14" s="498">
        <f t="shared" ref="D14:H14" si="4">D56/D54-1</f>
        <v>0.38635807432786762</v>
      </c>
      <c r="E14" s="498">
        <f t="shared" si="4"/>
        <v>-1.4230194319880374E-2</v>
      </c>
      <c r="F14" s="498">
        <f t="shared" si="4"/>
        <v>8.6311047404525443E-2</v>
      </c>
      <c r="G14" s="498">
        <f t="shared" si="4"/>
        <v>0.35431235431235431</v>
      </c>
      <c r="H14" s="498">
        <f t="shared" si="4"/>
        <v>0.54227405247813421</v>
      </c>
      <c r="I14" s="531">
        <f t="shared" si="1"/>
        <v>0.36478168171913783</v>
      </c>
      <c r="J14" s="586">
        <f t="shared" si="2"/>
        <v>0.46888307439268817</v>
      </c>
      <c r="L14" s="1147"/>
      <c r="M14" s="1141" t="s">
        <v>244</v>
      </c>
      <c r="N14" s="1142"/>
    </row>
    <row r="15" spans="2:14" ht="14" thickBot="1">
      <c r="B15" s="508" t="s">
        <v>132</v>
      </c>
      <c r="C15" s="509">
        <f>C59/C56</f>
        <v>3.2852768563409032E-2</v>
      </c>
      <c r="D15" s="509">
        <f t="shared" ref="D15:H15" si="5">D59/D56</f>
        <v>0.4205527815604983</v>
      </c>
      <c r="E15" s="509">
        <f t="shared" si="5"/>
        <v>0.15114939042882272</v>
      </c>
      <c r="F15" s="509">
        <f t="shared" si="5"/>
        <v>0.3085061262959472</v>
      </c>
      <c r="G15" s="509">
        <f t="shared" si="5"/>
        <v>0.33964429145152036</v>
      </c>
      <c r="H15" s="509">
        <f t="shared" si="5"/>
        <v>-0.16131064902331443</v>
      </c>
      <c r="I15" s="531">
        <f>IFERROR(AVERAGE(C15:H15),"")</f>
        <v>0.18189911821281388</v>
      </c>
      <c r="J15" s="587">
        <f t="shared" si="2"/>
        <v>0.14904634964940483</v>
      </c>
      <c r="L15" s="1148"/>
      <c r="M15" s="1149"/>
      <c r="N15" s="1150"/>
    </row>
    <row r="16" spans="2:14" ht="14" thickBot="1">
      <c r="B16" s="497" t="s">
        <v>245</v>
      </c>
      <c r="C16" s="498">
        <f>C62/C56</f>
        <v>6.6343454963000764E-3</v>
      </c>
      <c r="D16" s="498">
        <f t="shared" ref="D16:H16" si="6">D62/D56</f>
        <v>0.36686336813436221</v>
      </c>
      <c r="E16" s="498">
        <f t="shared" si="6"/>
        <v>5.5285982895614726E-2</v>
      </c>
      <c r="F16" s="498">
        <f t="shared" si="6"/>
        <v>0.20035344015080114</v>
      </c>
      <c r="G16" s="498">
        <f t="shared" si="6"/>
        <v>0.27613310384394724</v>
      </c>
      <c r="H16" s="498">
        <f t="shared" si="6"/>
        <v>-0.17769376181474478</v>
      </c>
      <c r="I16" s="531">
        <f t="shared" si="1"/>
        <v>0.12126274645104677</v>
      </c>
      <c r="J16" s="586">
        <f t="shared" si="2"/>
        <v>0.1146284009547467</v>
      </c>
    </row>
    <row r="17" spans="1:10" ht="14" thickBot="1">
      <c r="B17" s="508" t="s">
        <v>246</v>
      </c>
      <c r="C17" s="509">
        <f>C62/C74</f>
        <v>3.564146061447249E-3</v>
      </c>
      <c r="D17" s="509">
        <f t="shared" ref="D17:H17" si="7">D62/D74</f>
        <v>0.43675469250999749</v>
      </c>
      <c r="E17" s="509">
        <f t="shared" si="7"/>
        <v>4.2505071230385411E-2</v>
      </c>
      <c r="F17" s="509">
        <f t="shared" si="7"/>
        <v>7.924510717614166</v>
      </c>
      <c r="G17" s="509">
        <f t="shared" si="7"/>
        <v>0.34253789765852966</v>
      </c>
      <c r="H17" s="509">
        <f t="shared" si="7"/>
        <v>-0.58506224066390033</v>
      </c>
      <c r="I17" s="531">
        <f t="shared" si="1"/>
        <v>1.3608017140684374</v>
      </c>
      <c r="J17" s="587">
        <f t="shared" si="2"/>
        <v>1.3572375680069901</v>
      </c>
    </row>
    <row r="18" spans="1:10" ht="14" thickBot="1">
      <c r="B18" s="495" t="s">
        <v>247</v>
      </c>
      <c r="C18" s="499">
        <f>(C62+C61)/(C73+C74)</f>
        <v>9.4622299321873524E-3</v>
      </c>
      <c r="D18" s="500">
        <f t="shared" ref="D18:H18" si="8">(D62+D61)/(D73+D74)</f>
        <v>0.22945948909110844</v>
      </c>
      <c r="E18" s="500">
        <f t="shared" si="8"/>
        <v>4.2824494883914196E-2</v>
      </c>
      <c r="F18" s="500">
        <f t="shared" si="8"/>
        <v>6.791037556833826E-2</v>
      </c>
      <c r="G18" s="500">
        <f t="shared" si="8"/>
        <v>0.31893598801113254</v>
      </c>
      <c r="H18" s="500">
        <f t="shared" si="8"/>
        <v>-0.11179110567115462</v>
      </c>
      <c r="I18" s="532">
        <f t="shared" si="1"/>
        <v>9.2800245302587694E-2</v>
      </c>
      <c r="J18" s="588">
        <f t="shared" si="2"/>
        <v>8.3338015370400337E-2</v>
      </c>
    </row>
    <row r="19" spans="1:10" ht="17" thickBot="1">
      <c r="B19" s="172" t="s">
        <v>248</v>
      </c>
      <c r="C19" s="177"/>
      <c r="D19" s="177"/>
      <c r="E19" s="177"/>
      <c r="F19" s="177"/>
      <c r="G19" s="177"/>
      <c r="H19" s="177"/>
      <c r="I19" s="533" t="str">
        <f t="shared" si="1"/>
        <v/>
      </c>
      <c r="J19" s="584"/>
    </row>
    <row r="20" spans="1:10" ht="14" thickBot="1">
      <c r="B20" s="171" t="s">
        <v>78</v>
      </c>
      <c r="C20" s="510">
        <f>C73/C70</f>
        <v>0.11524648706613116</v>
      </c>
      <c r="D20" s="510">
        <f t="shared" ref="D20:H20" si="9">D73/D70</f>
        <v>0.54352044731937288</v>
      </c>
      <c r="E20" s="510">
        <f t="shared" si="9"/>
        <v>0.4430867916688308</v>
      </c>
      <c r="F20" s="510">
        <f t="shared" si="9"/>
        <v>0.99201535908559868</v>
      </c>
      <c r="G20" s="510">
        <f t="shared" si="9"/>
        <v>0.17055034051168783</v>
      </c>
      <c r="H20" s="510">
        <f t="shared" si="9"/>
        <v>0.80334557323541411</v>
      </c>
      <c r="I20" s="534">
        <f>IFERROR(AVERAGE(C20:H20),"")</f>
        <v>0.51129416648117254</v>
      </c>
      <c r="J20" s="589">
        <f t="shared" si="2"/>
        <v>0.39604767941504138</v>
      </c>
    </row>
    <row r="21" spans="1:10" ht="14" thickBot="1">
      <c r="B21" s="497" t="s">
        <v>249</v>
      </c>
      <c r="C21" s="501">
        <f>(C73-C65)/C58</f>
        <v>-0.23820704375667023</v>
      </c>
      <c r="D21" s="502">
        <f t="shared" ref="D21:H21" si="10">(D73-D65)/D58</f>
        <v>1.8779233213820079</v>
      </c>
      <c r="E21" s="502">
        <f t="shared" si="10"/>
        <v>3.1933550488599347</v>
      </c>
      <c r="F21" s="502">
        <f t="shared" si="10"/>
        <v>5.9729441272213029</v>
      </c>
      <c r="G21" s="502">
        <f t="shared" si="10"/>
        <v>-0.33562743748566187</v>
      </c>
      <c r="H21" s="502">
        <f t="shared" si="10"/>
        <v>-13.450450450450452</v>
      </c>
      <c r="I21" s="534">
        <f t="shared" si="1"/>
        <v>-0.49667707237158992</v>
      </c>
      <c r="J21" s="590">
        <f t="shared" si="2"/>
        <v>0.25847002861491969</v>
      </c>
    </row>
    <row r="22" spans="1:10" ht="14" thickBot="1">
      <c r="B22" s="511" t="s">
        <v>250</v>
      </c>
      <c r="C22" s="524">
        <f t="shared" ref="C22:H22" si="11">-C58/C60</f>
        <v>35.763358778625957</v>
      </c>
      <c r="D22" s="872">
        <f>-D58/D60</f>
        <v>-47.588948133785749</v>
      </c>
      <c r="E22" s="524">
        <f t="shared" si="11"/>
        <v>-3.261793455163621</v>
      </c>
      <c r="F22" s="524">
        <f t="shared" si="11"/>
        <v>-5.3463623395149789</v>
      </c>
      <c r="G22" s="524">
        <f t="shared" si="11"/>
        <v>-38.919642857142854</v>
      </c>
      <c r="H22" s="524">
        <f t="shared" si="11"/>
        <v>-0.43359375</v>
      </c>
      <c r="I22" s="535">
        <f t="shared" si="1"/>
        <v>-9.9644969594968753</v>
      </c>
      <c r="J22" s="591">
        <f t="shared" si="2"/>
        <v>45.727855738122834</v>
      </c>
    </row>
    <row r="23" spans="1:10" ht="17" thickBot="1">
      <c r="B23" s="172" t="s">
        <v>251</v>
      </c>
      <c r="C23" s="177"/>
      <c r="D23" s="177"/>
      <c r="E23" s="177"/>
      <c r="F23" s="177"/>
      <c r="G23" s="177"/>
      <c r="H23" s="177"/>
      <c r="I23" s="536"/>
      <c r="J23" s="584"/>
    </row>
    <row r="24" spans="1:10" ht="14" thickBot="1">
      <c r="B24" s="503" t="s">
        <v>252</v>
      </c>
      <c r="C24" s="504">
        <f>C68/C72</f>
        <v>1.0194662237843266</v>
      </c>
      <c r="D24" s="504">
        <f t="shared" ref="D24:H24" si="12">D68/D72</f>
        <v>1.7846069708251824</v>
      </c>
      <c r="E24" s="504">
        <f t="shared" si="12"/>
        <v>1.0075696569495893</v>
      </c>
      <c r="F24" s="504">
        <f t="shared" si="12"/>
        <v>0.90965786054569076</v>
      </c>
      <c r="G24" s="504">
        <f t="shared" si="12"/>
        <v>1.1067913385826771</v>
      </c>
      <c r="H24" s="504">
        <f t="shared" si="12"/>
        <v>1.5565312843029637</v>
      </c>
      <c r="I24" s="537">
        <f t="shared" si="1"/>
        <v>1.2307705558317383</v>
      </c>
      <c r="J24" s="592">
        <f t="shared" si="2"/>
        <v>0.21130433204741172</v>
      </c>
    </row>
    <row r="25" spans="1:10" ht="14" thickBot="1">
      <c r="B25" s="511" t="s">
        <v>253</v>
      </c>
      <c r="C25" s="512">
        <f>(C65+C66)/C72</f>
        <v>0.96709281217411458</v>
      </c>
      <c r="D25" s="512">
        <f t="shared" ref="D25:H25" si="13">(D65+D66)/D72</f>
        <v>0.61201909930375886</v>
      </c>
      <c r="E25" s="512">
        <f t="shared" si="13"/>
        <v>0.88983733290384925</v>
      </c>
      <c r="F25" s="512">
        <f t="shared" si="13"/>
        <v>1.2255521870939801</v>
      </c>
      <c r="G25" s="512">
        <f t="shared" si="13"/>
        <v>1.0040600393700787</v>
      </c>
      <c r="H25" s="512">
        <f t="shared" si="13"/>
        <v>0.8221734357848518</v>
      </c>
      <c r="I25" s="535">
        <f t="shared" si="1"/>
        <v>0.92012248443843891</v>
      </c>
      <c r="J25" s="593">
        <f t="shared" si="2"/>
        <v>4.6970327735675665E-2</v>
      </c>
    </row>
    <row r="26" spans="1:10" ht="17" thickBot="1">
      <c r="B26" s="172" t="s">
        <v>254</v>
      </c>
      <c r="C26" s="177"/>
      <c r="D26" s="177"/>
      <c r="E26" s="177"/>
      <c r="F26" s="177"/>
      <c r="G26" s="177"/>
      <c r="H26" s="177"/>
      <c r="I26" s="536" t="str">
        <f t="shared" si="1"/>
        <v/>
      </c>
      <c r="J26" s="584"/>
    </row>
    <row r="27" spans="1:10" ht="14" thickBot="1">
      <c r="B27" s="503" t="s">
        <v>255</v>
      </c>
      <c r="C27" s="513" t="str">
        <f>IFERROR(C57/C67,"No Inventory")</f>
        <v>No Inventory</v>
      </c>
      <c r="D27" s="513">
        <f t="shared" ref="D27:H27" si="14">IFERROR(D57/D67,"No Inventory")</f>
        <v>16.742383752004276</v>
      </c>
      <c r="E27" s="513" t="str">
        <f t="shared" si="14"/>
        <v>No Inventory</v>
      </c>
      <c r="F27" s="513" t="str">
        <f t="shared" si="14"/>
        <v>No Inventory</v>
      </c>
      <c r="G27" s="513" t="str">
        <f t="shared" si="14"/>
        <v>No Inventory</v>
      </c>
      <c r="H27" s="513" t="str">
        <f t="shared" si="14"/>
        <v>No Inventory</v>
      </c>
      <c r="I27" s="537">
        <f t="shared" si="1"/>
        <v>16.742383752004276</v>
      </c>
      <c r="J27" s="592" t="e">
        <f t="shared" si="2"/>
        <v>#VALUE!</v>
      </c>
    </row>
    <row r="28" spans="1:10" ht="14" thickBot="1">
      <c r="B28" s="508" t="s">
        <v>256</v>
      </c>
      <c r="C28" s="512">
        <f>C56/C66</f>
        <v>2.501955151224962</v>
      </c>
      <c r="D28" s="512">
        <f t="shared" ref="D28:H28" si="15">D56/D66</f>
        <v>4.479564402069542</v>
      </c>
      <c r="E28" s="512">
        <f>E56/E66</f>
        <v>4.7369630800172393</v>
      </c>
      <c r="F28" s="512">
        <f t="shared" si="15"/>
        <v>6.1373825018076644</v>
      </c>
      <c r="G28" s="512">
        <f>G56/G66</f>
        <v>8.4406779661016955</v>
      </c>
      <c r="H28" s="512">
        <f t="shared" si="15"/>
        <v>5.813186813186813</v>
      </c>
      <c r="I28" s="534">
        <f t="shared" si="1"/>
        <v>5.3516216524013194</v>
      </c>
      <c r="J28" s="593">
        <f t="shared" si="2"/>
        <v>2.8496665011763573</v>
      </c>
    </row>
    <row r="29" spans="1:10" ht="14" thickBot="1">
      <c r="A29" s="10" t="s">
        <v>257</v>
      </c>
      <c r="B29" s="497" t="s">
        <v>258</v>
      </c>
      <c r="C29" s="505" t="e">
        <f>C57/C71</f>
        <v>#DIV/0!</v>
      </c>
      <c r="D29" s="502">
        <f t="shared" ref="D29:H29" si="16">D57/D71</f>
        <v>1.8575071157495255</v>
      </c>
      <c r="E29" s="502">
        <f t="shared" si="16"/>
        <v>3.4475308641975309</v>
      </c>
      <c r="F29" s="502">
        <f t="shared" si="16"/>
        <v>4.1645686214307647</v>
      </c>
      <c r="G29" s="502" t="e">
        <f t="shared" si="16"/>
        <v>#DIV/0!</v>
      </c>
      <c r="H29" s="502">
        <f t="shared" si="16"/>
        <v>0</v>
      </c>
      <c r="I29" s="534" t="str">
        <f t="shared" si="1"/>
        <v/>
      </c>
      <c r="J29" s="590" t="e">
        <f t="shared" si="2"/>
        <v>#DIV/0!</v>
      </c>
    </row>
    <row r="30" spans="1:10" ht="14" thickBot="1">
      <c r="B30" s="508" t="s">
        <v>259</v>
      </c>
      <c r="C30" s="512">
        <f>C56/C69</f>
        <v>4.7560679611650487</v>
      </c>
      <c r="D30" s="512">
        <f t="shared" ref="D30:H30" si="17">D56/D69</f>
        <v>1.0159564655967535</v>
      </c>
      <c r="E30" s="512">
        <f t="shared" si="17"/>
        <v>0.57600531041470149</v>
      </c>
      <c r="F30" s="512">
        <f t="shared" si="17"/>
        <v>0.37431645792908802</v>
      </c>
      <c r="G30" s="512">
        <f t="shared" si="17"/>
        <v>0.95932632505916671</v>
      </c>
      <c r="H30" s="512">
        <f t="shared" si="17"/>
        <v>1.5377906976744184</v>
      </c>
      <c r="I30" s="534">
        <f t="shared" si="1"/>
        <v>1.5365772029731961</v>
      </c>
      <c r="J30" s="593">
        <f t="shared" si="2"/>
        <v>3.2194907581918528</v>
      </c>
    </row>
    <row r="31" spans="1:10" ht="14" thickBot="1">
      <c r="B31" s="495" t="s">
        <v>260</v>
      </c>
      <c r="C31" s="514">
        <f>C56/C70</f>
        <v>0.31717063399730905</v>
      </c>
      <c r="D31" s="514">
        <f t="shared" ref="D31:H31" si="18">D56/D70</f>
        <v>0.54344370134853637</v>
      </c>
      <c r="E31" s="514">
        <f t="shared" si="18"/>
        <v>0.4281670389030281</v>
      </c>
      <c r="F31" s="514">
        <f t="shared" si="18"/>
        <v>0.31581375620428181</v>
      </c>
      <c r="G31" s="514">
        <f t="shared" si="18"/>
        <v>0.6416344561016013</v>
      </c>
      <c r="H31" s="514">
        <f t="shared" si="18"/>
        <v>0.64749082007343939</v>
      </c>
      <c r="I31" s="534">
        <f t="shared" si="1"/>
        <v>0.4822867344380326</v>
      </c>
      <c r="J31" s="594">
        <f t="shared" si="2"/>
        <v>0.16511610044072356</v>
      </c>
    </row>
    <row r="32" spans="1:10" ht="17" thickBot="1">
      <c r="B32" s="173" t="s">
        <v>119</v>
      </c>
      <c r="C32" s="177"/>
      <c r="D32" s="177"/>
      <c r="E32" s="177"/>
      <c r="F32" s="177"/>
      <c r="G32" s="177"/>
      <c r="H32" s="177"/>
      <c r="I32" s="538" t="str">
        <f t="shared" si="1"/>
        <v/>
      </c>
      <c r="J32" s="584"/>
    </row>
    <row r="33" spans="2:11" ht="14" thickBot="1">
      <c r="B33" s="171" t="s">
        <v>261</v>
      </c>
      <c r="C33" s="522" t="e" vm="4">
        <f>C10/C62</f>
        <v>#VALUE!</v>
      </c>
      <c r="D33" s="523">
        <f>D10/D62</f>
        <v>32.30773460914515</v>
      </c>
      <c r="E33" s="523">
        <f t="shared" ref="E33:H33" si="19">E10/E62</f>
        <v>82.281952825013718</v>
      </c>
      <c r="F33" s="523">
        <f t="shared" si="19"/>
        <v>34.693637539691871</v>
      </c>
      <c r="G33" s="523">
        <f t="shared" si="19"/>
        <v>48.618325368792853</v>
      </c>
      <c r="H33" s="523">
        <f t="shared" si="19"/>
        <v>-34131.205673758872</v>
      </c>
      <c r="I33" s="537" t="str">
        <f t="shared" si="1"/>
        <v/>
      </c>
      <c r="J33" s="595" t="e" vm="4">
        <f t="shared" si="2"/>
        <v>#VALUE!</v>
      </c>
    </row>
    <row r="34" spans="2:11" ht="14" thickBot="1">
      <c r="B34" s="497" t="s">
        <v>257</v>
      </c>
      <c r="C34" s="506" t="e" vm="4">
        <f>C10/C56</f>
        <v>#VALUE!</v>
      </c>
      <c r="D34" s="506">
        <f>D10/D56</f>
        <v>11.852524335502093</v>
      </c>
      <c r="E34" s="506">
        <f t="shared" ref="E34:H34" si="20">E10/E56</f>
        <v>4.5490386365014857</v>
      </c>
      <c r="F34" s="506">
        <f t="shared" si="20"/>
        <v>6.9509896324222433</v>
      </c>
      <c r="G34" s="506">
        <f t="shared" si="20"/>
        <v>13.425129087779689</v>
      </c>
      <c r="H34" s="506">
        <f t="shared" si="20"/>
        <v>6064.9023314429742</v>
      </c>
      <c r="I34" s="534" t="str">
        <f t="shared" si="1"/>
        <v/>
      </c>
      <c r="J34" s="596" t="e" vm="4">
        <f t="shared" si="2"/>
        <v>#VALUE!</v>
      </c>
    </row>
    <row r="35" spans="2:11" ht="14" thickBot="1">
      <c r="B35" s="508" t="s">
        <v>262</v>
      </c>
      <c r="C35" s="525" t="e" vm="4">
        <f>C10/C74</f>
        <v>#VALUE!</v>
      </c>
      <c r="D35" s="525">
        <f t="shared" ref="D35:G35" si="21">D10/D74</f>
        <v>14.110554694911794</v>
      </c>
      <c r="E35" s="525">
        <f t="shared" si="21"/>
        <v>3.4974002658024204</v>
      </c>
      <c r="F35" s="525">
        <f t="shared" si="21"/>
        <v>274.93010251630943</v>
      </c>
      <c r="G35" s="525">
        <f t="shared" si="21"/>
        <v>16.653618959504662</v>
      </c>
      <c r="H35" s="525">
        <f>H10/H74</f>
        <v>19968.879668049794</v>
      </c>
      <c r="I35" s="534" t="str">
        <f t="shared" si="1"/>
        <v/>
      </c>
      <c r="J35" s="597" t="e" vm="4">
        <f t="shared" si="2"/>
        <v>#VALUE!</v>
      </c>
    </row>
    <row r="36" spans="2:11" ht="14" thickBot="1">
      <c r="B36" s="497" t="s">
        <v>263</v>
      </c>
      <c r="C36" s="506" t="e" vm="4">
        <f>(C73+C10-C65)/C56</f>
        <v>#VALUE!</v>
      </c>
      <c r="D36" s="506">
        <f t="shared" ref="D36:G36" si="22">(D73+D10-D65)/D56</f>
        <v>12.782402784082311</v>
      </c>
      <c r="E36" s="506">
        <f t="shared" si="22"/>
        <v>5.2923212227815855</v>
      </c>
      <c r="F36" s="506">
        <f t="shared" si="22"/>
        <v>9.5882893496701218</v>
      </c>
      <c r="G36" s="506">
        <f t="shared" si="22"/>
        <v>13.341193344807802</v>
      </c>
      <c r="H36" s="506">
        <f>(H73+H10-H65)/H56</f>
        <v>6065.8431001890349</v>
      </c>
      <c r="I36" s="534" t="str">
        <f t="shared" si="1"/>
        <v/>
      </c>
      <c r="J36" s="596" t="e" vm="4">
        <f t="shared" si="2"/>
        <v>#VALUE!</v>
      </c>
    </row>
    <row r="37" spans="2:11" ht="14" thickBot="1">
      <c r="B37" s="511" t="s">
        <v>264</v>
      </c>
      <c r="C37" s="521" t="e" vm="4">
        <f>(C73+C10-C65)/C58</f>
        <v>#VALUE!</v>
      </c>
      <c r="D37" s="521">
        <f t="shared" ref="D37:H37" si="23">(D73+D10-D65)/D58</f>
        <v>25.814526971968711</v>
      </c>
      <c r="E37" s="521">
        <f t="shared" si="23"/>
        <v>22.737328990228011</v>
      </c>
      <c r="F37" s="521">
        <f t="shared" si="23"/>
        <v>21.715513101019265</v>
      </c>
      <c r="G37" s="521">
        <f t="shared" si="23"/>
        <v>53.346409727001607</v>
      </c>
      <c r="H37" s="521">
        <f t="shared" si="23"/>
        <v>-86725.162162162145</v>
      </c>
      <c r="I37" s="535" t="str">
        <f t="shared" si="1"/>
        <v/>
      </c>
      <c r="J37" s="598" t="e" vm="4">
        <f t="shared" si="2"/>
        <v>#VALUE!</v>
      </c>
    </row>
    <row r="38" spans="2:11" ht="17" thickBot="1">
      <c r="B38" s="173" t="s">
        <v>265</v>
      </c>
      <c r="C38" s="177"/>
      <c r="D38" s="177"/>
      <c r="E38" s="177"/>
      <c r="F38" s="177"/>
      <c r="G38" s="177"/>
      <c r="H38" s="177"/>
      <c r="I38" s="539" t="str">
        <f t="shared" si="1"/>
        <v/>
      </c>
      <c r="J38" s="584"/>
    </row>
    <row r="39" spans="2:11" ht="14" thickBot="1">
      <c r="B39" s="171" t="s">
        <v>54</v>
      </c>
      <c r="C39" s="526">
        <f>OP!M20</f>
        <v>0.96975334018499493</v>
      </c>
      <c r="D39" s="882">
        <f>7.42/7.43</f>
        <v>0.99865410497981155</v>
      </c>
      <c r="E39" s="526">
        <f>1.03/1.17</f>
        <v>0.88034188034188043</v>
      </c>
      <c r="F39" s="526">
        <f>1.59/2.47</f>
        <v>0.64372469635627527</v>
      </c>
      <c r="G39" s="526">
        <f>454.32/455.3</f>
        <v>0.99784757302877225</v>
      </c>
      <c r="H39" s="526"/>
      <c r="I39" s="530">
        <f t="shared" si="1"/>
        <v>0.89806431897834682</v>
      </c>
      <c r="J39" s="599">
        <f t="shared" si="2"/>
        <v>7.1689021206648107E-2</v>
      </c>
    </row>
    <row r="40" spans="2:11" ht="14" thickBot="1">
      <c r="B40" s="515" t="s">
        <v>266</v>
      </c>
      <c r="C40" s="516">
        <f>OP!M22</f>
        <v>1.19</v>
      </c>
      <c r="D40" s="516">
        <v>0.9</v>
      </c>
      <c r="E40" s="516">
        <v>0.98</v>
      </c>
      <c r="F40" s="516">
        <v>1.02</v>
      </c>
      <c r="G40" s="516">
        <v>1.34</v>
      </c>
      <c r="H40" s="516"/>
      <c r="I40" s="540">
        <f t="shared" si="1"/>
        <v>1.0859999999999999</v>
      </c>
      <c r="J40" s="600">
        <f t="shared" si="2"/>
        <v>0.10400000000000009</v>
      </c>
    </row>
    <row r="41" spans="2:11" ht="14" thickBot="1">
      <c r="B41" s="511" t="s">
        <v>267</v>
      </c>
      <c r="C41" s="519" t="e">
        <f>OP!M32</f>
        <v>#VALUE!</v>
      </c>
      <c r="D41" s="881">
        <v>9.2000000000000003E-4</v>
      </c>
      <c r="E41" s="520">
        <v>1.7100000000000001E-2</v>
      </c>
      <c r="F41" s="520">
        <v>1.4800000000000001E-2</v>
      </c>
      <c r="G41" s="520">
        <v>0</v>
      </c>
      <c r="H41" s="520"/>
      <c r="I41" s="531" t="str">
        <f>IFERROR(AVERAGE(C41:H41),"")</f>
        <v/>
      </c>
      <c r="J41" s="601" t="e">
        <f t="shared" si="2"/>
        <v>#VALUE!</v>
      </c>
    </row>
    <row r="42" spans="2:11" ht="17" thickBot="1">
      <c r="B42" s="173" t="s">
        <v>268</v>
      </c>
      <c r="C42" s="177"/>
      <c r="D42" s="177"/>
      <c r="E42" s="177"/>
      <c r="F42" s="177"/>
      <c r="G42" s="177"/>
      <c r="H42" s="177"/>
      <c r="I42" s="541"/>
      <c r="J42" s="584"/>
    </row>
    <row r="43" spans="2:11" ht="14" thickBot="1">
      <c r="B43" s="175" t="s">
        <v>269</v>
      </c>
      <c r="C43" s="413">
        <v>0.42299999999999999</v>
      </c>
      <c r="D43" s="413">
        <v>0.31719999999999998</v>
      </c>
      <c r="E43" s="413">
        <v>0.57620000000000005</v>
      </c>
      <c r="F43" s="413">
        <v>0.78680000000000005</v>
      </c>
      <c r="G43" s="413">
        <v>0.84330000000000005</v>
      </c>
      <c r="H43" s="413"/>
      <c r="I43" s="530">
        <f>IFERROR(AVERAGE(C43:H43),"")</f>
        <v>0.58930000000000005</v>
      </c>
      <c r="J43" s="575">
        <f t="shared" si="2"/>
        <v>0.16630000000000006</v>
      </c>
    </row>
    <row r="44" spans="2:11" ht="14" thickBot="1">
      <c r="B44" s="497" t="s">
        <v>270</v>
      </c>
      <c r="C44" s="517">
        <v>-0.22040000000000001</v>
      </c>
      <c r="D44" s="517">
        <v>0.75529999999999997</v>
      </c>
      <c r="E44" s="517">
        <v>-0.13789999999999999</v>
      </c>
      <c r="F44" s="517">
        <v>0.86939999999999995</v>
      </c>
      <c r="G44" s="517">
        <v>4.8800000000000003E-2</v>
      </c>
      <c r="H44" s="517"/>
      <c r="I44" s="530">
        <f t="shared" ref="I44:I50" si="24">IFERROR(AVERAGE(C44:H44),"")</f>
        <v>0.26304</v>
      </c>
      <c r="J44" s="602">
        <f t="shared" si="2"/>
        <v>0.48343999999999998</v>
      </c>
    </row>
    <row r="45" spans="2:11" ht="14" thickBot="1">
      <c r="B45" s="176" t="s">
        <v>271</v>
      </c>
      <c r="C45" s="873">
        <v>207</v>
      </c>
      <c r="D45" s="873" cm="1">
        <f t="array" ref="D45">_FV(D8,"Preço")</f>
        <v>312.77999999999997</v>
      </c>
      <c r="E45" s="873" cm="1">
        <f t="array" ref="E45">_FV(E8,"Preço")</f>
        <v>130.49</v>
      </c>
      <c r="F45" s="873" cm="1">
        <f t="array" ref="F45">_FV(F8,"Preço")</f>
        <v>104.2</v>
      </c>
      <c r="G45" s="873" cm="1">
        <f t="array" ref="G45">_FV(G8,"Preço")</f>
        <v>52.03</v>
      </c>
      <c r="H45" s="873" cm="1">
        <f t="array" ref="H45">_FV(H8,"Preço")</f>
        <v>27.31</v>
      </c>
      <c r="I45" s="875">
        <f t="shared" si="24"/>
        <v>138.96833333333333</v>
      </c>
      <c r="J45" s="874">
        <f t="shared" si="2"/>
        <v>68.031666666666666</v>
      </c>
    </row>
    <row r="46" spans="2:11" ht="14" thickBot="1">
      <c r="B46" s="497" t="s">
        <v>272</v>
      </c>
      <c r="C46" s="876">
        <v>252.88</v>
      </c>
      <c r="D46" s="876">
        <v>374.69</v>
      </c>
      <c r="E46" s="876">
        <v>153.4</v>
      </c>
      <c r="F46" s="876">
        <v>130.47</v>
      </c>
      <c r="G46" s="876">
        <v>600</v>
      </c>
      <c r="H46" s="876"/>
      <c r="I46" s="875">
        <f t="shared" si="24"/>
        <v>302.28800000000001</v>
      </c>
      <c r="J46" s="877">
        <f t="shared" si="2"/>
        <v>49.408000000000015</v>
      </c>
    </row>
    <row r="47" spans="2:11" ht="14" thickBot="1">
      <c r="B47" s="518" t="s">
        <v>273</v>
      </c>
      <c r="C47" s="878">
        <f>C46/C45-1</f>
        <v>0.22164251207729468</v>
      </c>
      <c r="D47" s="878">
        <f>D46/D45-1</f>
        <v>0.19793465055310455</v>
      </c>
      <c r="E47" s="878">
        <f t="shared" ref="E47:H47" si="25">E46/E45-1</f>
        <v>0.17556900911947282</v>
      </c>
      <c r="F47" s="878">
        <f t="shared" si="25"/>
        <v>0.25211132437619965</v>
      </c>
      <c r="G47" s="878">
        <f t="shared" si="25"/>
        <v>10.531808571977704</v>
      </c>
      <c r="H47" s="878">
        <f t="shared" si="25"/>
        <v>-1</v>
      </c>
      <c r="I47" s="879">
        <f t="shared" si="24"/>
        <v>1.7298443446839624</v>
      </c>
      <c r="J47" s="880">
        <f t="shared" si="2"/>
        <v>1.5082018326066677</v>
      </c>
    </row>
    <row r="48" spans="2:11" ht="17" thickBot="1">
      <c r="B48" s="173" t="s">
        <v>274</v>
      </c>
      <c r="C48" s="173"/>
      <c r="D48" s="173"/>
      <c r="E48" s="173"/>
      <c r="F48" s="173"/>
      <c r="G48" s="173"/>
      <c r="H48" s="173"/>
      <c r="I48" s="173" t="str">
        <f t="shared" si="24"/>
        <v/>
      </c>
      <c r="J48" s="574"/>
      <c r="K48" s="579"/>
    </row>
    <row r="49" spans="2:11">
      <c r="B49" s="175" t="s">
        <v>275</v>
      </c>
      <c r="C49" s="604">
        <f>(Inputs!B59-Inputs!E59)/Inputs!E59</f>
        <v>0.64188409143384895</v>
      </c>
      <c r="D49" s="413"/>
      <c r="E49" s="413"/>
      <c r="F49" s="413"/>
      <c r="G49" s="413"/>
      <c r="H49" s="413"/>
      <c r="I49" s="542">
        <f t="shared" si="24"/>
        <v>0.64188409143384895</v>
      </c>
      <c r="J49" s="575">
        <f t="shared" si="2"/>
        <v>0</v>
      </c>
      <c r="K49" s="413"/>
    </row>
    <row r="50" spans="2:11">
      <c r="B50" s="576" t="s">
        <v>276</v>
      </c>
      <c r="C50" s="577">
        <f t="shared" ref="C50:H50" si="26">C63/C11</f>
        <v>0.16123373309517733</v>
      </c>
      <c r="D50" s="577">
        <f t="shared" si="26"/>
        <v>0.12362939426035205</v>
      </c>
      <c r="E50" s="577">
        <f t="shared" si="26"/>
        <v>0.18699581488445441</v>
      </c>
      <c r="F50" s="577">
        <f t="shared" si="26"/>
        <v>0.20318096135721017</v>
      </c>
      <c r="G50" s="577">
        <f t="shared" si="26"/>
        <v>0.17137119908204246</v>
      </c>
      <c r="H50" s="577">
        <f t="shared" si="26"/>
        <v>0</v>
      </c>
      <c r="I50" s="542">
        <f t="shared" si="24"/>
        <v>0.14106851711320609</v>
      </c>
      <c r="J50" s="578">
        <f t="shared" si="2"/>
        <v>2.0165215981971241E-2</v>
      </c>
      <c r="K50" s="580"/>
    </row>
    <row r="52" spans="2:11" ht="46.5" customHeight="1" thickBot="1">
      <c r="B52" s="490" t="s">
        <v>277</v>
      </c>
      <c r="C52" s="489" t="str">
        <f>OP!E2</f>
        <v>SALESFORCE, INC. (XNYS:CRM)</v>
      </c>
      <c r="D52" s="354" t="e" vm="5">
        <f>D8</f>
        <v>#VALUE!</v>
      </c>
      <c r="E52" s="355" t="e" vm="6">
        <f>E8</f>
        <v>#VALUE!</v>
      </c>
      <c r="F52" s="356" t="e" vm="7">
        <f>F8</f>
        <v>#VALUE!</v>
      </c>
      <c r="G52" s="357" t="e" vm="8">
        <f>G8</f>
        <v>#VALUE!</v>
      </c>
      <c r="H52" s="641" t="e" vm="9">
        <f>H8</f>
        <v>#VALUE!</v>
      </c>
    </row>
    <row r="53" spans="2:11" ht="14" thickBot="1">
      <c r="B53" s="165" t="s">
        <v>278</v>
      </c>
      <c r="C53" s="166"/>
      <c r="D53" s="166"/>
      <c r="E53" s="166"/>
      <c r="F53" s="166"/>
      <c r="G53" s="166"/>
      <c r="H53" s="167"/>
    </row>
    <row r="54" spans="2:11">
      <c r="B54" s="160" t="s">
        <v>279</v>
      </c>
      <c r="C54" s="182">
        <f>'Fin. Data'!E5</f>
        <v>17098</v>
      </c>
      <c r="D54" s="155">
        <v>143015</v>
      </c>
      <c r="E54" s="155">
        <v>33450</v>
      </c>
      <c r="F54" s="155">
        <v>39068</v>
      </c>
      <c r="G54" s="155">
        <v>12870</v>
      </c>
      <c r="H54" s="163">
        <v>1.0289999999999999</v>
      </c>
    </row>
    <row r="55" spans="2:11">
      <c r="B55" s="160" t="s">
        <v>280</v>
      </c>
      <c r="C55" s="182">
        <f>'Fin. Data'!C5</f>
        <v>26492</v>
      </c>
      <c r="D55" s="155">
        <v>168088</v>
      </c>
      <c r="E55" s="155">
        <v>31662</v>
      </c>
      <c r="F55" s="155">
        <v>40479</v>
      </c>
      <c r="G55" s="155">
        <v>15800</v>
      </c>
      <c r="H55" s="155">
        <v>1.33</v>
      </c>
    </row>
    <row r="56" spans="2:11">
      <c r="B56" s="160" t="s">
        <v>239</v>
      </c>
      <c r="C56" s="182">
        <f>'Fin. Data'!B5</f>
        <v>31352</v>
      </c>
      <c r="D56" s="155">
        <v>198270</v>
      </c>
      <c r="E56" s="155">
        <v>32974</v>
      </c>
      <c r="F56" s="155">
        <v>42440</v>
      </c>
      <c r="G56" s="155">
        <v>17430</v>
      </c>
      <c r="H56" s="163">
        <v>1.587</v>
      </c>
    </row>
    <row r="57" spans="2:11">
      <c r="B57" s="160" t="s">
        <v>281</v>
      </c>
      <c r="C57" s="182">
        <f>'Fin. Data'!B5-'Fin. Data'!B7</f>
        <v>8360</v>
      </c>
      <c r="D57" s="155">
        <v>62650</v>
      </c>
      <c r="E57" s="155">
        <v>8936</v>
      </c>
      <c r="F57" s="155">
        <v>13564</v>
      </c>
      <c r="G57" s="155">
        <v>2165</v>
      </c>
      <c r="H57" s="163"/>
    </row>
    <row r="58" spans="2:11" ht="14" thickBot="1">
      <c r="B58" s="160" t="s">
        <v>61</v>
      </c>
      <c r="C58" s="182">
        <f>'Fin. Data'!B19</f>
        <v>4685</v>
      </c>
      <c r="D58" s="155">
        <v>98176</v>
      </c>
      <c r="E58" s="155">
        <v>7675</v>
      </c>
      <c r="F58" s="155">
        <v>18739</v>
      </c>
      <c r="G58" s="155">
        <v>4359</v>
      </c>
      <c r="H58" s="163">
        <v>-0.111</v>
      </c>
    </row>
    <row r="59" spans="2:11" ht="14" thickBot="1">
      <c r="B59" s="160" t="s">
        <v>282</v>
      </c>
      <c r="C59" s="488">
        <f>'Fin. Data'!B11</f>
        <v>1030</v>
      </c>
      <c r="D59" s="155">
        <v>83383</v>
      </c>
      <c r="E59" s="155">
        <v>4984</v>
      </c>
      <c r="F59" s="155">
        <v>13093</v>
      </c>
      <c r="G59" s="155">
        <v>5920</v>
      </c>
      <c r="H59" s="163">
        <v>-0.25600000000000001</v>
      </c>
    </row>
    <row r="60" spans="2:11" ht="14" thickBot="1">
      <c r="B60" s="160" t="s">
        <v>283</v>
      </c>
      <c r="C60" s="488">
        <f>'Fin. Data'!B14</f>
        <v>-131</v>
      </c>
      <c r="D60" s="155">
        <v>2063</v>
      </c>
      <c r="E60" s="155">
        <v>2353</v>
      </c>
      <c r="F60" s="352">
        <v>3505</v>
      </c>
      <c r="G60" s="155">
        <v>112</v>
      </c>
      <c r="H60" s="163">
        <v>-0.25600000000000001</v>
      </c>
    </row>
    <row r="61" spans="2:11" ht="14" thickBot="1">
      <c r="B61" s="160" t="s">
        <v>284</v>
      </c>
      <c r="C61" s="488">
        <f>'Fin. Data'!B21</f>
        <v>452</v>
      </c>
      <c r="D61" s="155">
        <v>10978</v>
      </c>
      <c r="E61" s="155">
        <v>1475</v>
      </c>
      <c r="F61" s="155">
        <v>623</v>
      </c>
      <c r="G61" s="155">
        <v>1146</v>
      </c>
      <c r="H61" s="163">
        <v>8.0000000000000002E-3</v>
      </c>
    </row>
    <row r="62" spans="2:11" ht="14" thickBot="1">
      <c r="B62" s="160" t="s">
        <v>74</v>
      </c>
      <c r="C62" s="488">
        <f>'Fin. Data'!B23</f>
        <v>208</v>
      </c>
      <c r="D62" s="155">
        <v>72738</v>
      </c>
      <c r="E62" s="155">
        <v>1823</v>
      </c>
      <c r="F62" s="155">
        <v>8503</v>
      </c>
      <c r="G62" s="155">
        <v>4813</v>
      </c>
      <c r="H62" s="163">
        <v>-0.28199999999999997</v>
      </c>
    </row>
    <row r="63" spans="2:11" ht="14" thickBot="1">
      <c r="B63" s="160" t="s">
        <v>285</v>
      </c>
      <c r="C63" s="488">
        <v>5055</v>
      </c>
      <c r="D63" s="155">
        <v>24512</v>
      </c>
      <c r="E63" s="155">
        <v>6166</v>
      </c>
      <c r="F63" s="155">
        <v>8623</v>
      </c>
      <c r="G63" s="155">
        <v>2987</v>
      </c>
      <c r="H63" s="163"/>
    </row>
    <row r="64" spans="2:11">
      <c r="B64" s="168" t="s">
        <v>286</v>
      </c>
      <c r="C64" s="169"/>
      <c r="D64" s="169"/>
      <c r="E64" s="169"/>
      <c r="F64" s="169"/>
      <c r="G64" s="169"/>
      <c r="H64" s="170"/>
    </row>
    <row r="65" spans="2:8">
      <c r="B65" s="160" t="s">
        <v>287</v>
      </c>
      <c r="C65" s="182">
        <f>'Fin. Data'!B39</f>
        <v>12508</v>
      </c>
      <c r="D65" s="155">
        <v>13931</v>
      </c>
      <c r="E65" s="155">
        <v>9614</v>
      </c>
      <c r="F65" s="155">
        <v>21383</v>
      </c>
      <c r="G65" s="155">
        <v>6096</v>
      </c>
      <c r="H65" s="163">
        <v>0.47599999999999998</v>
      </c>
    </row>
    <row r="66" spans="2:8">
      <c r="B66" s="160" t="s">
        <v>288</v>
      </c>
      <c r="C66" s="182">
        <f>'Fin. Data'!B40</f>
        <v>12531</v>
      </c>
      <c r="D66" s="155">
        <v>44261</v>
      </c>
      <c r="E66" s="155">
        <v>6961</v>
      </c>
      <c r="F66" s="155">
        <v>6915</v>
      </c>
      <c r="G66" s="155">
        <v>2065</v>
      </c>
      <c r="H66" s="163">
        <v>0.27300000000000002</v>
      </c>
    </row>
    <row r="67" spans="2:8">
      <c r="B67" s="160" t="s">
        <v>289</v>
      </c>
      <c r="C67" s="182">
        <f>'Fin. Data'!B41</f>
        <v>0</v>
      </c>
      <c r="D67" s="155">
        <v>3742</v>
      </c>
      <c r="E67" s="155">
        <v>0</v>
      </c>
      <c r="F67" s="155">
        <v>0</v>
      </c>
      <c r="G67" s="155">
        <v>0</v>
      </c>
      <c r="H67" s="163">
        <v>0</v>
      </c>
    </row>
    <row r="68" spans="2:8">
      <c r="B68" s="160" t="s">
        <v>290</v>
      </c>
      <c r="C68" s="182">
        <f>Inputs!B27</f>
        <v>26395</v>
      </c>
      <c r="D68" s="155">
        <v>169684</v>
      </c>
      <c r="E68" s="155">
        <v>18768</v>
      </c>
      <c r="F68" s="155">
        <v>21004</v>
      </c>
      <c r="G68" s="155">
        <v>8996</v>
      </c>
      <c r="H68" s="163">
        <v>1.4179999999999999</v>
      </c>
    </row>
    <row r="69" spans="2:8">
      <c r="B69" s="160" t="s">
        <v>291</v>
      </c>
      <c r="C69" s="182">
        <f>'Fin. Data'!B42</f>
        <v>6592</v>
      </c>
      <c r="D69" s="155">
        <v>195156</v>
      </c>
      <c r="E69" s="155">
        <v>57246</v>
      </c>
      <c r="F69" s="155">
        <v>113380</v>
      </c>
      <c r="G69" s="155">
        <v>18169</v>
      </c>
      <c r="H69" s="163">
        <v>1.032</v>
      </c>
    </row>
    <row r="70" spans="2:8">
      <c r="B70" s="160" t="s">
        <v>50</v>
      </c>
      <c r="C70" s="182">
        <f>'Fin. Data'!B44</f>
        <v>98849</v>
      </c>
      <c r="D70" s="155">
        <v>364840</v>
      </c>
      <c r="E70" s="155">
        <v>77012</v>
      </c>
      <c r="F70" s="155">
        <v>134383</v>
      </c>
      <c r="G70" s="155">
        <v>27165</v>
      </c>
      <c r="H70" s="163">
        <v>2.4510000000000001</v>
      </c>
    </row>
    <row r="71" spans="2:8">
      <c r="B71" s="160" t="s">
        <v>292</v>
      </c>
      <c r="C71" s="182">
        <f>Inputs!B43</f>
        <v>0</v>
      </c>
      <c r="D71" s="155">
        <v>33728</v>
      </c>
      <c r="E71" s="155">
        <v>2592</v>
      </c>
      <c r="F71" s="155">
        <v>3257</v>
      </c>
      <c r="G71" s="155"/>
      <c r="H71" s="163">
        <v>0.23699999999999999</v>
      </c>
    </row>
    <row r="72" spans="2:8">
      <c r="B72" s="160" t="s">
        <v>293</v>
      </c>
      <c r="C72" s="182">
        <f>Inputs!B42</f>
        <v>25891</v>
      </c>
      <c r="D72" s="155">
        <v>95082</v>
      </c>
      <c r="E72" s="155">
        <v>18627</v>
      </c>
      <c r="F72" s="155">
        <v>23090</v>
      </c>
      <c r="G72" s="155">
        <v>8128</v>
      </c>
      <c r="H72" s="163">
        <v>0.91100000000000003</v>
      </c>
    </row>
    <row r="73" spans="2:8">
      <c r="B73" s="160" t="s">
        <v>294</v>
      </c>
      <c r="C73" s="182">
        <f>'Fin. Data'!B58</f>
        <v>11392</v>
      </c>
      <c r="D73" s="155">
        <f>364840-D74</f>
        <v>198298</v>
      </c>
      <c r="E73" s="155">
        <f>77012-E74</f>
        <v>34123</v>
      </c>
      <c r="F73" s="155">
        <f>F70-F74</f>
        <v>133310</v>
      </c>
      <c r="G73" s="155">
        <v>4633</v>
      </c>
      <c r="H73" s="155">
        <f>H70-H74</f>
        <v>1.9690000000000001</v>
      </c>
    </row>
    <row r="74" spans="2:8">
      <c r="B74" s="161" t="s">
        <v>295</v>
      </c>
      <c r="C74" s="183">
        <f>'Fin. Data'!B64</f>
        <v>58359</v>
      </c>
      <c r="D74" s="162">
        <v>166542</v>
      </c>
      <c r="E74" s="162">
        <v>42889</v>
      </c>
      <c r="F74" s="162">
        <v>1073</v>
      </c>
      <c r="G74" s="162">
        <v>14051</v>
      </c>
      <c r="H74" s="164">
        <v>0.48199999999999998</v>
      </c>
    </row>
  </sheetData>
  <mergeCells count="13">
    <mergeCell ref="D6:H6"/>
    <mergeCell ref="D4:H4"/>
    <mergeCell ref="D1:H1"/>
    <mergeCell ref="D2:H2"/>
    <mergeCell ref="D3:H3"/>
    <mergeCell ref="D5:H5"/>
    <mergeCell ref="L12:L13"/>
    <mergeCell ref="M12:N13"/>
    <mergeCell ref="L9:N9"/>
    <mergeCell ref="L10:L11"/>
    <mergeCell ref="L14:L15"/>
    <mergeCell ref="M14:N15"/>
    <mergeCell ref="M10:N11"/>
  </mergeCells>
  <pageMargins left="0.7" right="0.7" top="0.75" bottom="0.75" header="0.3" footer="0.3"/>
  <pageSetup orientation="portrait" r:id="rId1"/>
  <ignoredErrors>
    <ignoredError sqref="J46" evalError="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AA100"/>
  <sheetViews>
    <sheetView showGridLines="0" topLeftCell="A13" zoomScale="107" zoomScaleNormal="70" workbookViewId="0">
      <selection activeCell="D35" sqref="D35"/>
    </sheetView>
  </sheetViews>
  <sheetFormatPr baseColWidth="10" defaultColWidth="11.5" defaultRowHeight="13"/>
  <cols>
    <col min="1" max="1" width="1.1640625" style="52" customWidth="1"/>
    <col min="2" max="2" width="59.5" style="52" customWidth="1"/>
    <col min="3" max="4" width="12.83203125" style="52" customWidth="1"/>
    <col min="5" max="5" width="11.5" style="52" bestFit="1" customWidth="1"/>
    <col min="6" max="6" width="11" style="52" customWidth="1"/>
    <col min="7" max="7" width="10.5" style="52" customWidth="1"/>
    <col min="8" max="8" width="20.33203125" style="477" customWidth="1"/>
    <col min="9" max="9" width="22.5" style="477" customWidth="1"/>
    <col min="10" max="10" width="64.1640625" style="52" customWidth="1"/>
    <col min="11" max="11" width="34.6640625" style="52" bestFit="1" customWidth="1"/>
    <col min="12" max="12" width="21.33203125" style="52" customWidth="1"/>
    <col min="13" max="13" width="19.83203125" style="52" customWidth="1"/>
    <col min="14" max="14" width="20.83203125" style="52" bestFit="1" customWidth="1"/>
    <col min="15" max="15" width="19.83203125" style="52" bestFit="1" customWidth="1"/>
    <col min="16" max="16" width="19.83203125" style="52" customWidth="1"/>
    <col min="17" max="17" width="22.33203125" style="52" bestFit="1" customWidth="1"/>
    <col min="18" max="18" width="11.5" style="52" customWidth="1"/>
    <col min="19" max="19" width="10.5" style="52" customWidth="1"/>
    <col min="20" max="20" width="12.33203125" style="52" bestFit="1" customWidth="1"/>
    <col min="21" max="21" width="15.5" style="52" customWidth="1"/>
    <col min="22" max="22" width="18.1640625" style="52" bestFit="1" customWidth="1"/>
    <col min="23" max="23" width="18.33203125" style="52" bestFit="1" customWidth="1"/>
    <col min="24" max="24" width="17.33203125" style="52" bestFit="1" customWidth="1"/>
    <col min="25" max="30" width="11.5" style="52"/>
    <col min="31" max="31" width="13" style="52" bestFit="1" customWidth="1"/>
    <col min="32" max="16384" width="11.5" style="52"/>
  </cols>
  <sheetData>
    <row r="1" spans="1:24">
      <c r="B1" s="199" t="s">
        <v>296</v>
      </c>
      <c r="C1" s="56"/>
      <c r="D1" s="56"/>
      <c r="E1" s="56"/>
      <c r="F1" s="56"/>
      <c r="G1" s="56"/>
      <c r="H1" s="471"/>
      <c r="I1" s="471"/>
      <c r="J1" s="56"/>
      <c r="T1" s="66" t="s">
        <v>14</v>
      </c>
    </row>
    <row r="2" spans="1:24" ht="14" thickBot="1">
      <c r="B2" s="62" t="s">
        <v>297</v>
      </c>
      <c r="C2" s="200" t="s">
        <v>298</v>
      </c>
      <c r="D2" s="56"/>
      <c r="E2" s="56"/>
      <c r="F2" s="56"/>
      <c r="G2" s="56"/>
      <c r="H2" s="471"/>
      <c r="I2" s="471"/>
      <c r="J2" s="56"/>
      <c r="T2" s="66" t="s">
        <v>18</v>
      </c>
    </row>
    <row r="3" spans="1:24" ht="21" thickBot="1">
      <c r="B3" s="1156" t="s">
        <v>299</v>
      </c>
      <c r="C3" s="1156"/>
      <c r="D3" s="1156"/>
      <c r="E3" s="1156"/>
      <c r="F3" s="1156"/>
      <c r="G3" s="1156"/>
      <c r="H3" s="1156"/>
      <c r="I3" s="1156"/>
      <c r="J3" s="1156"/>
      <c r="K3" s="1157" t="s">
        <v>300</v>
      </c>
      <c r="L3" s="1157"/>
      <c r="M3" s="1157"/>
      <c r="N3" s="1157"/>
      <c r="O3" s="1157"/>
      <c r="P3" s="1157"/>
      <c r="Q3" s="1157"/>
    </row>
    <row r="4" spans="1:24" ht="35" thickBot="1">
      <c r="B4" s="190" t="s">
        <v>301</v>
      </c>
      <c r="C4" s="220" t="s">
        <v>302</v>
      </c>
      <c r="D4" s="220" t="s">
        <v>303</v>
      </c>
      <c r="E4" s="220" t="s">
        <v>304</v>
      </c>
      <c r="F4" s="220" t="s">
        <v>305</v>
      </c>
      <c r="G4" s="220" t="s">
        <v>306</v>
      </c>
      <c r="H4" s="191" t="s">
        <v>307</v>
      </c>
      <c r="I4" s="191" t="s">
        <v>308</v>
      </c>
      <c r="J4" s="192" t="s">
        <v>309</v>
      </c>
      <c r="K4" s="190" t="s">
        <v>301</v>
      </c>
      <c r="L4" s="223" t="e" vm="10">
        <v>#VALUE!</v>
      </c>
      <c r="M4" s="223" t="e" vm="5">
        <f>Peers!D8</f>
        <v>#VALUE!</v>
      </c>
      <c r="N4" s="223" t="e" vm="6">
        <f>Peers!E8</f>
        <v>#VALUE!</v>
      </c>
      <c r="O4" s="223" t="e" vm="7">
        <f>Peers!F8</f>
        <v>#VALUE!</v>
      </c>
      <c r="P4" s="223" t="e" vm="8">
        <f>Peers!G8</f>
        <v>#VALUE!</v>
      </c>
      <c r="Q4" s="223" t="e" vm="9">
        <f>Peers!H8</f>
        <v>#VALUE!</v>
      </c>
      <c r="R4" s="639" t="s">
        <v>233</v>
      </c>
    </row>
    <row r="5" spans="1:24" ht="15" thickBot="1">
      <c r="B5" s="201" t="s">
        <v>310</v>
      </c>
      <c r="C5" s="202"/>
      <c r="D5" s="203"/>
      <c r="E5" s="203"/>
      <c r="F5" s="203"/>
      <c r="G5" s="203"/>
      <c r="H5" s="472"/>
      <c r="I5" s="472"/>
      <c r="J5" s="204"/>
      <c r="K5" s="201" t="s">
        <v>311</v>
      </c>
      <c r="L5" s="203"/>
      <c r="M5" s="203"/>
      <c r="N5" s="203"/>
      <c r="O5" s="203"/>
      <c r="P5" s="204"/>
      <c r="Q5" s="204"/>
      <c r="R5" s="204"/>
    </row>
    <row r="6" spans="1:24" ht="113" thickBot="1">
      <c r="A6" s="52">
        <v>1</v>
      </c>
      <c r="B6" s="195" t="s">
        <v>312</v>
      </c>
      <c r="C6" s="193" t="str">
        <f>VLOOKUP($B$2,'Sector Impact'!$K$4:$AA$16,A6+1,FALSE)</f>
        <v>Medium</v>
      </c>
      <c r="D6" s="649" t="s">
        <v>14</v>
      </c>
      <c r="E6" s="193" t="s">
        <v>313</v>
      </c>
      <c r="F6" s="205" t="s">
        <v>14</v>
      </c>
      <c r="G6" s="289"/>
      <c r="H6" s="194" t="s">
        <v>314</v>
      </c>
      <c r="I6" s="194" t="s">
        <v>315</v>
      </c>
      <c r="J6" s="650" t="s">
        <v>77</v>
      </c>
      <c r="K6" s="195" t="s">
        <v>316</v>
      </c>
      <c r="L6" s="445">
        <f>L12/L$11</f>
        <v>42.676703240622608</v>
      </c>
      <c r="M6" s="445">
        <f t="shared" ref="M6:O6" si="0">M12/M$11</f>
        <v>65.567155898522216</v>
      </c>
      <c r="N6" s="445">
        <f t="shared" si="0"/>
        <v>2.5777885606841755</v>
      </c>
      <c r="O6" s="445">
        <f t="shared" si="0"/>
        <v>26.263524976437324</v>
      </c>
      <c r="P6" s="445">
        <f t="shared" ref="P6:Q9" si="1">P12/P$11</f>
        <v>30.245209409064831</v>
      </c>
      <c r="Q6" s="445">
        <f t="shared" si="1"/>
        <v>31073.724007561439</v>
      </c>
      <c r="R6" s="530">
        <f t="shared" ref="R6:R9" si="2">IFERROR(AVERAGE(L6:Q6),"")</f>
        <v>5206.8423982744616</v>
      </c>
    </row>
    <row r="7" spans="1:24" s="56" customFormat="1" ht="19" thickBot="1">
      <c r="A7" s="56">
        <v>2</v>
      </c>
      <c r="B7" s="195" t="s">
        <v>317</v>
      </c>
      <c r="C7" s="193" t="str">
        <f>VLOOKUP($B$2,'Sector Impact'!$K$4:$AA$16,A7+1,FALSE)</f>
        <v>Low</v>
      </c>
      <c r="D7" s="193"/>
      <c r="E7" s="193"/>
      <c r="F7" s="205" t="s">
        <v>18</v>
      </c>
      <c r="G7" s="289" t="s">
        <v>318</v>
      </c>
      <c r="H7" s="194"/>
      <c r="I7" s="10" t="s">
        <v>319</v>
      </c>
      <c r="J7" s="194"/>
      <c r="K7" s="195" t="s">
        <v>320</v>
      </c>
      <c r="L7" s="445">
        <f t="shared" ref="L7:O9" si="3">L13/L$11</f>
        <v>1.7702219954069919E-5</v>
      </c>
      <c r="M7" s="445">
        <f t="shared" si="3"/>
        <v>7.7167498865183837E-5</v>
      </c>
      <c r="N7" s="445">
        <f t="shared" si="3"/>
        <v>2.6627039485655364E-5</v>
      </c>
      <c r="O7" s="445">
        <f t="shared" si="3"/>
        <v>7.5459052309142312E-6</v>
      </c>
      <c r="P7" s="445">
        <f t="shared" si="1"/>
        <v>1.622168674698795E-5</v>
      </c>
      <c r="Q7" s="883" t="str">
        <f>+IFERROR(Q13/Q$11,"N/A")</f>
        <v>N/A</v>
      </c>
      <c r="R7" s="531">
        <f t="shared" si="2"/>
        <v>2.9052870056562264E-5</v>
      </c>
    </row>
    <row r="8" spans="1:24" ht="85" thickBot="1">
      <c r="A8" s="52">
        <v>3</v>
      </c>
      <c r="B8" s="195" t="s">
        <v>321</v>
      </c>
      <c r="C8" s="193" t="str">
        <f>VLOOKUP($B$2,'Sector Impact'!$K$4:$AA$16,A8+1,FALSE)</f>
        <v>High</v>
      </c>
      <c r="D8" s="193" t="s">
        <v>14</v>
      </c>
      <c r="E8" s="193" t="s">
        <v>322</v>
      </c>
      <c r="F8" s="205" t="s">
        <v>14</v>
      </c>
      <c r="G8" s="290"/>
      <c r="H8" s="194" t="s">
        <v>323</v>
      </c>
      <c r="I8" s="194" t="s">
        <v>324</v>
      </c>
      <c r="J8" s="650" t="s">
        <v>77</v>
      </c>
      <c r="K8" s="195" t="s">
        <v>325</v>
      </c>
      <c r="L8" s="445">
        <f t="shared" si="3"/>
        <v>2.7717529982138299E-2</v>
      </c>
      <c r="M8" s="445">
        <f>M14/M$11</f>
        <v>6.8088969586926917E-5</v>
      </c>
      <c r="N8" s="445">
        <f t="shared" si="3"/>
        <v>2.7476193364468975E-2</v>
      </c>
      <c r="O8" s="445">
        <f t="shared" si="3"/>
        <v>5.5225259189443925E-2</v>
      </c>
      <c r="P8" s="445">
        <f t="shared" si="1"/>
        <v>1.1846586345381525E-2</v>
      </c>
      <c r="Q8" s="445">
        <f>Q14/Q$11</f>
        <v>4.6616257088846877</v>
      </c>
      <c r="R8" s="531">
        <f>IFERROR(AVERAGE(L8:Q8),"")</f>
        <v>0.79732656112261779</v>
      </c>
    </row>
    <row r="9" spans="1:24" ht="71" thickBot="1">
      <c r="A9" s="52">
        <v>4</v>
      </c>
      <c r="B9" s="195" t="s">
        <v>326</v>
      </c>
      <c r="C9" s="193" t="str">
        <f>VLOOKUP($B$2,'Sector Impact'!$K$4:$AA$16,A9+1,FALSE)</f>
        <v>Low</v>
      </c>
      <c r="D9" s="193"/>
      <c r="E9" s="193"/>
      <c r="F9" s="205"/>
      <c r="G9" s="286"/>
      <c r="H9" s="194" t="s">
        <v>327</v>
      </c>
      <c r="I9" s="10" t="s">
        <v>328</v>
      </c>
      <c r="J9" s="196"/>
      <c r="K9" s="195" t="s">
        <v>329</v>
      </c>
      <c r="L9" s="883" t="str">
        <f>IFERROR(L15/L$11,"N/A")</f>
        <v>N/A</v>
      </c>
      <c r="M9" s="445">
        <f>M14/M$11</f>
        <v>6.8088969586926917E-5</v>
      </c>
      <c r="N9" s="445">
        <f t="shared" si="3"/>
        <v>3.0326924243343238E-4</v>
      </c>
      <c r="O9" s="883" t="str">
        <f>IFERROR(O15/O$11,"N/A")</f>
        <v>N/A</v>
      </c>
      <c r="P9" s="445">
        <f t="shared" si="1"/>
        <v>1.1428571428571428E-4</v>
      </c>
      <c r="Q9" s="883" t="str">
        <f>IFERROR(Q15/Q$11,"N/A")</f>
        <v>N/A</v>
      </c>
      <c r="R9" s="531">
        <f t="shared" si="2"/>
        <v>1.618813087686912E-4</v>
      </c>
    </row>
    <row r="10" spans="1:24" ht="85" thickBot="1">
      <c r="A10" s="52">
        <v>5</v>
      </c>
      <c r="B10" s="195" t="s">
        <v>330</v>
      </c>
      <c r="C10" s="193" t="str">
        <f>VLOOKUP($B$2,'Sector Impact'!$K$4:$AA$16,A10+1,FALSE)</f>
        <v>Low</v>
      </c>
      <c r="D10" s="193"/>
      <c r="E10" s="193"/>
      <c r="F10" s="205"/>
      <c r="G10" s="286"/>
      <c r="H10" s="194" t="s">
        <v>331</v>
      </c>
      <c r="I10" s="194" t="s">
        <v>332</v>
      </c>
      <c r="J10" s="196"/>
      <c r="K10" s="201" t="s">
        <v>333</v>
      </c>
      <c r="L10" s="203"/>
      <c r="M10" s="203"/>
      <c r="N10" s="203"/>
      <c r="O10" s="203"/>
      <c r="P10" s="203"/>
      <c r="Q10" s="204"/>
      <c r="S10"/>
      <c r="V10" s="56"/>
      <c r="W10" s="56"/>
      <c r="X10" s="56"/>
    </row>
    <row r="11" spans="1:24" ht="14">
      <c r="B11" s="201" t="s">
        <v>334</v>
      </c>
      <c r="C11" s="198"/>
      <c r="D11" s="198"/>
      <c r="E11" s="207"/>
      <c r="F11" s="207"/>
      <c r="G11" s="208"/>
      <c r="H11" s="473"/>
      <c r="I11" s="654"/>
      <c r="J11" s="209"/>
      <c r="K11" s="195" t="s">
        <v>335</v>
      </c>
      <c r="L11" s="446">
        <v>31352</v>
      </c>
      <c r="M11" s="446">
        <f>Peers!D56</f>
        <v>198270</v>
      </c>
      <c r="N11" s="446">
        <f>Peers!E56</f>
        <v>32974</v>
      </c>
      <c r="O11" s="446">
        <f>Peers!F56</f>
        <v>42440</v>
      </c>
      <c r="P11" s="446">
        <f>Peers!G56</f>
        <v>17430</v>
      </c>
      <c r="Q11" s="446">
        <f>Peers!H56</f>
        <v>1.587</v>
      </c>
      <c r="S11"/>
    </row>
    <row r="12" spans="1:24" ht="43" thickBot="1">
      <c r="A12" s="52">
        <v>6</v>
      </c>
      <c r="B12" s="195" t="s">
        <v>336</v>
      </c>
      <c r="C12" s="193" t="str">
        <f>VLOOKUP($B$2,'Sector Impact'!$K$4:$AA$16,A12+1,FALSE)</f>
        <v>Low</v>
      </c>
      <c r="D12" s="193"/>
      <c r="E12" s="193"/>
      <c r="F12" s="205"/>
      <c r="G12" s="291"/>
      <c r="H12" s="651" t="s">
        <v>337</v>
      </c>
      <c r="I12" s="657" t="s">
        <v>77</v>
      </c>
      <c r="J12" s="652"/>
      <c r="K12" s="195" t="s">
        <v>338</v>
      </c>
      <c r="L12" s="666">
        <v>1338000</v>
      </c>
      <c r="M12" s="666">
        <v>13000000</v>
      </c>
      <c r="N12" s="666">
        <v>85000</v>
      </c>
      <c r="O12" s="666">
        <v>1114624</v>
      </c>
      <c r="P12" s="666">
        <v>527174</v>
      </c>
      <c r="Q12" s="666">
        <v>49314</v>
      </c>
      <c r="S12"/>
    </row>
    <row r="13" spans="1:24" ht="155" thickBot="1">
      <c r="A13" s="52">
        <v>7</v>
      </c>
      <c r="B13" s="195" t="s">
        <v>339</v>
      </c>
      <c r="C13" s="193" t="str">
        <f>VLOOKUP($B$2,'Sector Impact'!$K$4:$AA$16,A13+1,FALSE)</f>
        <v>Low</v>
      </c>
      <c r="D13" s="193"/>
      <c r="E13" s="193"/>
      <c r="F13" s="210"/>
      <c r="G13" s="292"/>
      <c r="H13" s="651" t="s">
        <v>340</v>
      </c>
      <c r="I13" s="658" t="s">
        <v>77</v>
      </c>
      <c r="J13" s="653"/>
      <c r="K13" s="661" t="s">
        <v>341</v>
      </c>
      <c r="L13" s="709">
        <v>0.55500000000000005</v>
      </c>
      <c r="M13" s="666">
        <v>15.3</v>
      </c>
      <c r="N13" s="666">
        <v>0.878</v>
      </c>
      <c r="O13" s="666">
        <v>0.32024821799999997</v>
      </c>
      <c r="P13" s="666">
        <v>0.282744</v>
      </c>
      <c r="Q13" s="709" t="s">
        <v>342</v>
      </c>
      <c r="S13"/>
    </row>
    <row r="14" spans="1:24" ht="14" thickBot="1">
      <c r="A14" s="52">
        <v>8</v>
      </c>
      <c r="B14" s="212" t="s">
        <v>343</v>
      </c>
      <c r="C14" s="193" t="str">
        <f>VLOOKUP($B$2,'Sector Impact'!$K$4:$AA$16,A14+1,FALSE)</f>
        <v>Low</v>
      </c>
      <c r="D14" s="193"/>
      <c r="E14" s="193"/>
      <c r="F14" s="205"/>
      <c r="G14" s="291"/>
      <c r="H14" s="657" t="s">
        <v>77</v>
      </c>
      <c r="I14" s="656" t="s">
        <v>77</v>
      </c>
      <c r="J14" s="653"/>
      <c r="K14" s="195" t="s">
        <v>344</v>
      </c>
      <c r="L14" s="666">
        <v>869</v>
      </c>
      <c r="M14" s="709">
        <v>13.5</v>
      </c>
      <c r="N14" s="666">
        <v>906</v>
      </c>
      <c r="O14" s="666">
        <v>2343.7600000000002</v>
      </c>
      <c r="P14" s="666">
        <v>206.48599999999999</v>
      </c>
      <c r="Q14" s="666">
        <v>7.3979999999999997</v>
      </c>
      <c r="S14"/>
    </row>
    <row r="15" spans="1:24" ht="14" thickBot="1">
      <c r="A15" s="52">
        <v>9</v>
      </c>
      <c r="B15" s="212" t="s">
        <v>345</v>
      </c>
      <c r="C15" s="193" t="str">
        <f>VLOOKUP($B$2,'Sector Impact'!$K$4:$AA$16,A15+1,FALSE)</f>
        <v>Low</v>
      </c>
      <c r="D15" s="193"/>
      <c r="E15" s="193"/>
      <c r="F15" s="205"/>
      <c r="G15" s="206"/>
      <c r="H15" s="662"/>
      <c r="I15" s="663"/>
      <c r="J15" s="211"/>
      <c r="K15" s="195" t="s">
        <v>346</v>
      </c>
      <c r="L15" s="709" t="s">
        <v>347</v>
      </c>
      <c r="M15" s="52">
        <v>13.403</v>
      </c>
      <c r="N15" s="666">
        <v>10</v>
      </c>
      <c r="O15" s="709" t="s">
        <v>347</v>
      </c>
      <c r="P15" s="666">
        <v>1.992</v>
      </c>
      <c r="Q15" s="709" t="s">
        <v>342</v>
      </c>
      <c r="S15"/>
    </row>
    <row r="16" spans="1:24" ht="42" customHeight="1" thickBot="1">
      <c r="A16" s="52">
        <v>10</v>
      </c>
      <c r="B16" s="195" t="s">
        <v>348</v>
      </c>
      <c r="C16" s="193" t="str">
        <f>VLOOKUP($B$2,'Sector Impact'!$K$4:$AA$16,A16+1,FALSE)</f>
        <v>High</v>
      </c>
      <c r="D16" s="193" t="s">
        <v>14</v>
      </c>
      <c r="E16" s="193" t="s">
        <v>313</v>
      </c>
      <c r="F16" s="205" t="s">
        <v>14</v>
      </c>
      <c r="G16" s="659"/>
      <c r="H16" s="657" t="s">
        <v>77</v>
      </c>
      <c r="I16" s="657" t="s">
        <v>77</v>
      </c>
      <c r="J16" s="661" t="s">
        <v>349</v>
      </c>
      <c r="K16" s="201" t="s">
        <v>350</v>
      </c>
      <c r="L16" s="203"/>
      <c r="M16" s="203"/>
      <c r="N16" s="203"/>
      <c r="O16" s="203"/>
      <c r="P16" s="204"/>
      <c r="Q16" s="204"/>
      <c r="S16"/>
    </row>
    <row r="17" spans="1:19" ht="29" thickBot="1">
      <c r="A17" s="52">
        <v>11</v>
      </c>
      <c r="B17" s="195" t="s">
        <v>351</v>
      </c>
      <c r="C17" s="193" t="str">
        <f>VLOOKUP($B$2,'Sector Impact'!$K$4:$AA$16,A17+1,FALSE)</f>
        <v>Low</v>
      </c>
      <c r="D17" s="213"/>
      <c r="E17" s="213"/>
      <c r="F17" s="213"/>
      <c r="G17" s="660"/>
      <c r="H17" s="657" t="s">
        <v>77</v>
      </c>
      <c r="I17" s="657" t="s">
        <v>77</v>
      </c>
      <c r="J17" s="653" t="s">
        <v>352</v>
      </c>
      <c r="K17" s="195" t="s">
        <v>353</v>
      </c>
      <c r="L17" s="221"/>
      <c r="M17" s="221"/>
      <c r="N17" s="221"/>
      <c r="O17" s="221"/>
      <c r="P17" s="221"/>
      <c r="Q17" s="221"/>
      <c r="S17"/>
    </row>
    <row r="18" spans="1:19" ht="29" thickBot="1">
      <c r="A18" s="52">
        <v>12</v>
      </c>
      <c r="B18" s="195" t="s">
        <v>354</v>
      </c>
      <c r="C18" s="193" t="str">
        <f>VLOOKUP($B$2,'Sector Impact'!$K$4:$AA$16,A18+1,FALSE)</f>
        <v>Low</v>
      </c>
      <c r="D18" s="193"/>
      <c r="E18" s="193"/>
      <c r="F18" s="205"/>
      <c r="G18" s="206"/>
      <c r="H18" s="655"/>
      <c r="I18" s="655"/>
      <c r="J18" s="214" t="s">
        <v>355</v>
      </c>
      <c r="K18" s="195" t="s">
        <v>356</v>
      </c>
      <c r="L18" s="221">
        <v>14.9</v>
      </c>
      <c r="M18" s="221">
        <v>15.1</v>
      </c>
      <c r="N18" s="221">
        <v>12.7</v>
      </c>
      <c r="O18" s="221">
        <v>13.9</v>
      </c>
      <c r="P18" s="221">
        <v>13.1</v>
      </c>
      <c r="Q18" s="221"/>
    </row>
    <row r="19" spans="1:19" ht="14" thickBot="1">
      <c r="A19" s="52">
        <v>13</v>
      </c>
      <c r="B19" s="195" t="s">
        <v>357</v>
      </c>
      <c r="C19" s="193" t="str">
        <f>VLOOKUP($B$2,'Sector Impact'!$K$4:$AA$16,A19+1,FALSE)</f>
        <v>Low</v>
      </c>
      <c r="D19" s="193"/>
      <c r="E19" s="193"/>
      <c r="F19" s="205"/>
      <c r="G19" s="290"/>
      <c r="H19" s="194"/>
      <c r="I19" s="475"/>
      <c r="J19" s="211"/>
      <c r="K19" s="195" t="s">
        <v>358</v>
      </c>
      <c r="L19" s="222"/>
      <c r="M19" s="222"/>
      <c r="N19" s="222"/>
      <c r="O19" s="222"/>
      <c r="P19" s="222"/>
      <c r="Q19" s="222"/>
    </row>
    <row r="20" spans="1:19">
      <c r="A20" s="52">
        <v>14</v>
      </c>
      <c r="B20" s="195" t="s">
        <v>359</v>
      </c>
      <c r="C20" s="193" t="str">
        <f>VLOOKUP($B$2,'Sector Impact'!$K$4:$AA$16,A20+1,FALSE)</f>
        <v>Low</v>
      </c>
      <c r="D20" s="193"/>
      <c r="E20" s="193"/>
      <c r="F20" s="205"/>
      <c r="G20" s="206"/>
      <c r="H20" s="474"/>
      <c r="I20" s="474"/>
      <c r="J20" s="211"/>
      <c r="K20" s="195" t="s">
        <v>360</v>
      </c>
      <c r="L20" s="221" t="s">
        <v>361</v>
      </c>
      <c r="M20" s="221" t="s">
        <v>362</v>
      </c>
      <c r="N20" s="221" t="s">
        <v>361</v>
      </c>
      <c r="O20" s="221" t="s">
        <v>363</v>
      </c>
      <c r="P20" s="221" t="s">
        <v>362</v>
      </c>
      <c r="Q20" s="221" t="s">
        <v>77</v>
      </c>
    </row>
    <row r="21" spans="1:19">
      <c r="A21" s="52">
        <v>15</v>
      </c>
      <c r="B21" s="195" t="s">
        <v>364</v>
      </c>
      <c r="C21" s="193" t="str">
        <f>VLOOKUP($B$2,'Sector Impact'!$K$4:$AA$16,A21+1,FALSE)</f>
        <v>Medium</v>
      </c>
      <c r="D21" s="193" t="s">
        <v>18</v>
      </c>
      <c r="E21" s="193"/>
      <c r="F21" s="205"/>
      <c r="G21" s="286"/>
      <c r="H21" s="194"/>
      <c r="I21" s="475"/>
      <c r="J21" s="211"/>
    </row>
    <row r="22" spans="1:19" ht="14" thickBot="1">
      <c r="A22" s="52">
        <v>16</v>
      </c>
      <c r="B22" s="195" t="s">
        <v>365</v>
      </c>
      <c r="C22" s="197" t="str">
        <f>VLOOKUP($B$2,'Sector Impact'!$K$4:$AA$16,A22+1,FALSE)</f>
        <v>Very High</v>
      </c>
      <c r="D22" s="193" t="s">
        <v>18</v>
      </c>
      <c r="E22" s="193"/>
      <c r="F22" s="205"/>
      <c r="G22" s="206"/>
      <c r="H22" s="474"/>
      <c r="I22" s="474"/>
      <c r="J22" s="196"/>
    </row>
    <row r="23" spans="1:19" ht="15" thickBot="1">
      <c r="B23" s="201" t="s">
        <v>366</v>
      </c>
      <c r="C23" s="215"/>
      <c r="D23" s="198"/>
      <c r="E23" s="207"/>
      <c r="F23" s="207"/>
      <c r="G23" s="208"/>
      <c r="H23" s="473"/>
      <c r="I23" s="473"/>
      <c r="J23" s="209"/>
      <c r="K23" s="1159" t="s">
        <v>367</v>
      </c>
      <c r="L23" s="1160"/>
      <c r="M23" s="1161"/>
    </row>
    <row r="24" spans="1:19" ht="99" thickBot="1">
      <c r="A24" s="52">
        <v>17</v>
      </c>
      <c r="B24" s="195" t="s">
        <v>368</v>
      </c>
      <c r="C24" s="216"/>
      <c r="D24" s="217"/>
      <c r="E24" s="210" t="s">
        <v>322</v>
      </c>
      <c r="F24" s="210" t="s">
        <v>14</v>
      </c>
      <c r="G24" s="290"/>
      <c r="H24" s="194" t="s">
        <v>369</v>
      </c>
      <c r="I24" s="664" t="s">
        <v>370</v>
      </c>
      <c r="J24" s="661"/>
      <c r="K24" s="244" t="s">
        <v>371</v>
      </c>
      <c r="L24" s="53" t="s">
        <v>372</v>
      </c>
      <c r="M24" s="54" t="s">
        <v>373</v>
      </c>
      <c r="O24" s="605" t="s">
        <v>236</v>
      </c>
    </row>
    <row r="25" spans="1:19" ht="29" thickBot="1">
      <c r="A25" s="52">
        <v>18</v>
      </c>
      <c r="B25" s="195" t="s">
        <v>374</v>
      </c>
      <c r="C25" s="216"/>
      <c r="D25" s="217"/>
      <c r="E25" s="210" t="s">
        <v>375</v>
      </c>
      <c r="F25" s="210"/>
      <c r="G25" s="286"/>
      <c r="H25" s="194"/>
      <c r="I25" s="475"/>
      <c r="J25" s="661" t="s">
        <v>376</v>
      </c>
      <c r="K25" s="184" t="s">
        <v>377</v>
      </c>
      <c r="L25" s="185" t="s">
        <v>322</v>
      </c>
      <c r="M25" s="1162" t="s">
        <v>378</v>
      </c>
      <c r="O25" s="606"/>
    </row>
    <row r="26" spans="1:19" ht="15.75" customHeight="1" thickBot="1">
      <c r="A26" s="52">
        <v>19</v>
      </c>
      <c r="B26" s="195" t="s">
        <v>379</v>
      </c>
      <c r="C26" s="216"/>
      <c r="D26" s="217"/>
      <c r="E26" s="210" t="s">
        <v>375</v>
      </c>
      <c r="F26" s="210"/>
      <c r="G26" s="286"/>
      <c r="H26" s="194"/>
      <c r="I26" s="475"/>
      <c r="J26" s="661" t="s">
        <v>380</v>
      </c>
      <c r="K26" s="184" t="s">
        <v>375</v>
      </c>
      <c r="L26" s="185" t="s">
        <v>313</v>
      </c>
      <c r="M26" s="1163"/>
      <c r="O26" s="607"/>
    </row>
    <row r="27" spans="1:19" ht="14" thickBot="1">
      <c r="A27" s="52">
        <v>20</v>
      </c>
      <c r="B27" s="195" t="s">
        <v>381</v>
      </c>
      <c r="C27" s="216"/>
      <c r="D27" s="217"/>
      <c r="E27" s="210"/>
      <c r="F27" s="210"/>
      <c r="G27" s="665"/>
      <c r="H27" s="194"/>
      <c r="I27" s="475"/>
      <c r="J27" s="661"/>
      <c r="K27" s="186" t="s">
        <v>382</v>
      </c>
      <c r="L27" s="187" t="s">
        <v>375</v>
      </c>
      <c r="M27" s="1163"/>
      <c r="O27" s="608"/>
    </row>
    <row r="28" spans="1:19" ht="15" thickBot="1">
      <c r="A28" s="52">
        <v>21</v>
      </c>
      <c r="B28" s="195" t="s">
        <v>383</v>
      </c>
      <c r="C28" s="216"/>
      <c r="D28" s="217"/>
      <c r="E28" s="210" t="s">
        <v>322</v>
      </c>
      <c r="F28" s="210"/>
      <c r="G28" s="290"/>
      <c r="H28" s="194"/>
      <c r="I28" s="475"/>
      <c r="J28" s="661" t="s">
        <v>384</v>
      </c>
      <c r="K28" s="188" t="s">
        <v>385</v>
      </c>
      <c r="L28" s="189" t="s">
        <v>386</v>
      </c>
      <c r="M28" s="1164"/>
    </row>
    <row r="29" spans="1:19" ht="14" thickBot="1">
      <c r="A29" s="52">
        <v>22</v>
      </c>
      <c r="B29" s="195" t="s">
        <v>387</v>
      </c>
      <c r="C29" s="216"/>
      <c r="D29" s="217"/>
      <c r="E29" s="210" t="s">
        <v>313</v>
      </c>
      <c r="F29" s="210"/>
      <c r="G29" s="290"/>
      <c r="H29" s="194"/>
      <c r="I29" s="475"/>
      <c r="J29" s="661"/>
    </row>
    <row r="30" spans="1:19" ht="26" customHeight="1" thickBot="1">
      <c r="A30" s="52">
        <v>23</v>
      </c>
      <c r="B30" s="195" t="s">
        <v>388</v>
      </c>
      <c r="C30" s="216"/>
      <c r="D30" s="217"/>
      <c r="E30" s="210" t="s">
        <v>375</v>
      </c>
      <c r="F30" s="210"/>
      <c r="G30" s="286"/>
      <c r="H30" s="194"/>
      <c r="I30" s="475"/>
      <c r="J30" s="661" t="s">
        <v>389</v>
      </c>
    </row>
    <row r="31" spans="1:19" ht="29" thickBot="1">
      <c r="A31" s="52">
        <v>24</v>
      </c>
      <c r="B31" s="218" t="s">
        <v>390</v>
      </c>
      <c r="C31" s="216"/>
      <c r="D31" s="217"/>
      <c r="E31" s="210"/>
      <c r="F31" s="210"/>
      <c r="G31" s="665"/>
      <c r="H31" s="194"/>
      <c r="I31" s="475"/>
      <c r="J31" s="661"/>
      <c r="L31" s="572"/>
    </row>
    <row r="32" spans="1:19" ht="13.5" customHeight="1" thickBot="1">
      <c r="A32" s="52">
        <v>25</v>
      </c>
      <c r="B32" s="195" t="s">
        <v>391</v>
      </c>
      <c r="C32" s="216"/>
      <c r="D32" s="210" t="s">
        <v>14</v>
      </c>
      <c r="E32" s="210" t="s">
        <v>313</v>
      </c>
      <c r="F32" s="210"/>
      <c r="G32" s="286"/>
      <c r="H32" s="194"/>
      <c r="I32" s="475"/>
      <c r="J32" s="661"/>
      <c r="L32" s="573"/>
    </row>
    <row r="33" spans="1:27" ht="13.5" customHeight="1" thickBot="1">
      <c r="A33" s="52">
        <v>26</v>
      </c>
      <c r="B33" s="195" t="s">
        <v>392</v>
      </c>
      <c r="C33" s="216"/>
      <c r="D33" s="210" t="s">
        <v>18</v>
      </c>
      <c r="E33" s="210"/>
      <c r="F33" s="210"/>
      <c r="G33" s="290"/>
      <c r="H33" s="194"/>
      <c r="I33" s="475"/>
      <c r="J33" s="661"/>
      <c r="L33" s="287"/>
      <c r="N33" s="287"/>
    </row>
    <row r="34" spans="1:27" ht="13.5" customHeight="1" thickBot="1">
      <c r="A34" s="52">
        <v>27</v>
      </c>
      <c r="B34" s="195" t="s">
        <v>393</v>
      </c>
      <c r="C34" s="216"/>
      <c r="D34" s="219" t="s">
        <v>14</v>
      </c>
      <c r="E34" s="210"/>
      <c r="F34" s="210"/>
      <c r="G34" s="290"/>
      <c r="H34" s="194"/>
      <c r="I34" s="475"/>
      <c r="J34" s="661"/>
      <c r="L34" s="288"/>
      <c r="N34" s="288"/>
    </row>
    <row r="35" spans="1:27">
      <c r="B35" s="59"/>
      <c r="C35" s="59"/>
      <c r="D35" s="59"/>
      <c r="E35" s="59"/>
      <c r="F35" s="59"/>
      <c r="G35" s="59"/>
      <c r="H35" s="476"/>
      <c r="I35" s="476"/>
      <c r="J35" s="59"/>
      <c r="T35" s="60"/>
    </row>
    <row r="36" spans="1:27" ht="18">
      <c r="B36" s="61"/>
      <c r="T36" s="60"/>
    </row>
    <row r="37" spans="1:27">
      <c r="K37"/>
      <c r="T37" s="60"/>
    </row>
    <row r="38" spans="1:27">
      <c r="C38"/>
      <c r="D38"/>
      <c r="E38"/>
      <c r="F38"/>
      <c r="G38"/>
      <c r="H38" s="478"/>
      <c r="I38" s="478"/>
      <c r="J38"/>
      <c r="K38"/>
      <c r="L38"/>
      <c r="M38"/>
      <c r="N38"/>
      <c r="O38"/>
      <c r="P38"/>
      <c r="Q38"/>
      <c r="R38"/>
      <c r="S38"/>
      <c r="T38"/>
      <c r="U38"/>
      <c r="V38"/>
      <c r="W38"/>
      <c r="X38"/>
      <c r="Y38"/>
      <c r="Z38"/>
      <c r="AA38"/>
    </row>
    <row r="39" spans="1:27">
      <c r="C39"/>
      <c r="D39"/>
      <c r="E39"/>
      <c r="F39"/>
      <c r="G39"/>
      <c r="H39" s="478"/>
      <c r="I39" s="478"/>
      <c r="J39"/>
      <c r="M39"/>
      <c r="N39"/>
      <c r="O39"/>
      <c r="P39"/>
      <c r="Q39"/>
      <c r="R39"/>
      <c r="S39"/>
      <c r="T39"/>
      <c r="U39"/>
      <c r="V39"/>
      <c r="W39"/>
      <c r="X39"/>
      <c r="Y39"/>
      <c r="Z39"/>
      <c r="AA39"/>
    </row>
    <row r="54" spans="14:19">
      <c r="N54" s="1158"/>
      <c r="O54" s="1158"/>
      <c r="P54" s="1158"/>
      <c r="Q54" s="1158"/>
      <c r="R54" s="1158"/>
      <c r="S54" s="1158"/>
    </row>
    <row r="55" spans="14:19">
      <c r="O55" s="479"/>
      <c r="P55" s="479"/>
      <c r="Q55" s="479"/>
      <c r="R55" s="479"/>
      <c r="S55" s="479"/>
    </row>
    <row r="56" spans="14:19">
      <c r="N56" s="480"/>
      <c r="O56" s="480"/>
      <c r="P56" s="480"/>
      <c r="Q56" s="480"/>
      <c r="R56" s="480"/>
      <c r="S56" s="480"/>
    </row>
    <row r="57" spans="14:19">
      <c r="N57" s="480"/>
      <c r="O57" s="480"/>
      <c r="P57" s="480"/>
      <c r="Q57" s="480"/>
      <c r="R57" s="480"/>
      <c r="S57" s="480"/>
    </row>
    <row r="58" spans="14:19">
      <c r="N58" s="480"/>
      <c r="O58" s="480"/>
      <c r="P58" s="480"/>
      <c r="Q58" s="480"/>
      <c r="R58" s="480"/>
      <c r="S58" s="480"/>
    </row>
    <row r="59" spans="14:19">
      <c r="N59" s="480"/>
      <c r="O59" s="480"/>
      <c r="P59" s="480"/>
      <c r="Q59" s="480"/>
      <c r="R59" s="480"/>
      <c r="S59" s="480"/>
    </row>
    <row r="60" spans="14:19">
      <c r="N60" s="480"/>
      <c r="O60" s="480"/>
      <c r="P60" s="480"/>
      <c r="Q60" s="480"/>
      <c r="R60" s="480"/>
      <c r="S60" s="480"/>
    </row>
    <row r="61" spans="14:19">
      <c r="N61" s="480"/>
      <c r="O61" s="480"/>
      <c r="P61" s="480"/>
      <c r="Q61" s="480"/>
      <c r="R61" s="480"/>
      <c r="S61" s="480"/>
    </row>
    <row r="62" spans="14:19">
      <c r="N62" s="480"/>
      <c r="O62" s="480"/>
      <c r="P62" s="480"/>
      <c r="Q62" s="480"/>
      <c r="R62" s="480"/>
      <c r="S62" s="480"/>
    </row>
    <row r="63" spans="14:19">
      <c r="N63" s="480"/>
      <c r="O63" s="480"/>
      <c r="P63" s="480"/>
      <c r="Q63" s="480"/>
      <c r="R63" s="480"/>
      <c r="S63" s="480"/>
    </row>
    <row r="64" spans="14:19">
      <c r="N64" s="480"/>
      <c r="O64" s="480"/>
      <c r="P64" s="480"/>
      <c r="Q64" s="480"/>
      <c r="R64" s="480"/>
      <c r="S64" s="480"/>
    </row>
    <row r="65" spans="14:19">
      <c r="N65" s="480"/>
      <c r="O65" s="480"/>
      <c r="P65" s="480"/>
      <c r="Q65" s="480"/>
      <c r="R65" s="480"/>
      <c r="S65" s="480"/>
    </row>
    <row r="66" spans="14:19">
      <c r="N66" s="1155"/>
      <c r="O66" s="1155"/>
      <c r="P66" s="1155"/>
      <c r="Q66" s="1155"/>
      <c r="R66" s="1155"/>
      <c r="S66" s="1155"/>
    </row>
    <row r="67" spans="14:19">
      <c r="N67" s="480"/>
      <c r="O67" s="480"/>
      <c r="P67" s="480"/>
      <c r="Q67" s="480"/>
      <c r="R67" s="480"/>
      <c r="S67" s="480"/>
    </row>
    <row r="68" spans="14:19">
      <c r="N68" s="480"/>
      <c r="O68" s="480"/>
      <c r="P68" s="480"/>
      <c r="Q68" s="480"/>
      <c r="R68" s="480"/>
      <c r="S68" s="480"/>
    </row>
    <row r="69" spans="14:19">
      <c r="N69" s="480"/>
      <c r="O69" s="480"/>
      <c r="P69" s="480"/>
      <c r="Q69" s="480"/>
      <c r="R69" s="480"/>
      <c r="S69" s="480"/>
    </row>
    <row r="70" spans="14:19">
      <c r="N70" s="480"/>
      <c r="O70" s="480"/>
      <c r="P70" s="480"/>
      <c r="Q70" s="480"/>
      <c r="R70" s="480"/>
      <c r="S70" s="480"/>
    </row>
    <row r="71" spans="14:19">
      <c r="N71" s="480"/>
      <c r="O71" s="480"/>
      <c r="P71" s="480"/>
      <c r="Q71" s="480"/>
      <c r="R71" s="480"/>
      <c r="S71" s="480"/>
    </row>
    <row r="72" spans="14:19">
      <c r="N72" s="480"/>
      <c r="O72" s="480"/>
      <c r="P72" s="480"/>
      <c r="Q72" s="480"/>
      <c r="R72" s="480"/>
      <c r="S72" s="480"/>
    </row>
    <row r="73" spans="14:19">
      <c r="N73" s="480"/>
      <c r="O73" s="480"/>
      <c r="P73" s="480"/>
      <c r="Q73" s="480"/>
      <c r="R73" s="480"/>
      <c r="S73" s="480"/>
    </row>
    <row r="74" spans="14:19">
      <c r="N74" s="481"/>
      <c r="O74" s="480"/>
      <c r="P74" s="480"/>
      <c r="Q74" s="480"/>
      <c r="R74" s="480"/>
      <c r="S74" s="480"/>
    </row>
    <row r="75" spans="14:19">
      <c r="N75" s="481"/>
      <c r="O75" s="480"/>
      <c r="P75" s="480"/>
      <c r="Q75" s="480"/>
      <c r="R75" s="480"/>
      <c r="S75" s="480"/>
    </row>
    <row r="76" spans="14:19">
      <c r="N76" s="481"/>
      <c r="O76" s="480"/>
      <c r="P76" s="480"/>
      <c r="Q76" s="480"/>
      <c r="R76" s="480"/>
      <c r="S76" s="480"/>
    </row>
    <row r="77" spans="14:19">
      <c r="N77" s="480"/>
      <c r="O77" s="480"/>
      <c r="P77" s="480"/>
      <c r="Q77" s="480"/>
      <c r="R77" s="480"/>
      <c r="S77" s="480"/>
    </row>
    <row r="78" spans="14:19">
      <c r="N78" s="1155"/>
      <c r="O78" s="1155"/>
      <c r="P78" s="1155"/>
      <c r="Q78" s="1155"/>
      <c r="R78" s="1155"/>
      <c r="S78" s="1155"/>
    </row>
    <row r="79" spans="14:19">
      <c r="N79" s="480"/>
      <c r="O79" s="480"/>
      <c r="P79" s="480"/>
      <c r="Q79" s="480"/>
      <c r="R79" s="480"/>
      <c r="S79" s="480"/>
    </row>
    <row r="80" spans="14:19">
      <c r="N80" s="480"/>
      <c r="O80" s="480"/>
      <c r="P80" s="480"/>
      <c r="Q80" s="480"/>
      <c r="R80" s="480"/>
      <c r="S80" s="480"/>
    </row>
    <row r="81" spans="14:19">
      <c r="N81" s="480"/>
      <c r="O81" s="480"/>
      <c r="P81" s="480"/>
      <c r="Q81" s="480"/>
      <c r="R81" s="480"/>
      <c r="S81" s="480"/>
    </row>
    <row r="82" spans="14:19">
      <c r="N82" s="480"/>
      <c r="O82" s="480"/>
      <c r="P82" s="480"/>
      <c r="Q82" s="480"/>
      <c r="R82" s="480"/>
      <c r="S82" s="480"/>
    </row>
    <row r="83" spans="14:19">
      <c r="N83" s="480"/>
      <c r="O83" s="480"/>
      <c r="P83" s="480"/>
      <c r="Q83" s="480"/>
      <c r="R83" s="480"/>
      <c r="S83" s="480"/>
    </row>
    <row r="84" spans="14:19">
      <c r="N84" s="480"/>
      <c r="O84" s="480"/>
      <c r="P84" s="480"/>
      <c r="Q84" s="480"/>
      <c r="R84" s="480"/>
      <c r="S84" s="480"/>
    </row>
    <row r="85" spans="14:19">
      <c r="N85" s="480"/>
      <c r="O85" s="480"/>
      <c r="P85" s="480"/>
      <c r="Q85" s="480"/>
      <c r="R85" s="480"/>
      <c r="S85" s="480"/>
    </row>
    <row r="86" spans="14:19">
      <c r="N86" s="481"/>
      <c r="O86" s="480"/>
      <c r="P86" s="480"/>
      <c r="Q86" s="480"/>
      <c r="R86" s="480"/>
      <c r="S86" s="480"/>
    </row>
    <row r="87" spans="14:19">
      <c r="N87" s="481"/>
      <c r="O87" s="480"/>
      <c r="P87" s="480"/>
      <c r="Q87" s="480"/>
      <c r="R87" s="480"/>
      <c r="S87" s="480"/>
    </row>
    <row r="88" spans="14:19">
      <c r="N88" s="481"/>
      <c r="O88" s="480"/>
      <c r="P88" s="480"/>
      <c r="Q88" s="480"/>
      <c r="R88" s="480"/>
      <c r="S88" s="480"/>
    </row>
    <row r="89" spans="14:19">
      <c r="N89" s="480"/>
      <c r="O89" s="480"/>
      <c r="P89" s="480"/>
      <c r="Q89" s="480"/>
      <c r="R89" s="480"/>
      <c r="S89" s="480"/>
    </row>
    <row r="90" spans="14:19">
      <c r="N90" s="1155"/>
      <c r="O90" s="1155"/>
      <c r="P90" s="1155"/>
      <c r="Q90" s="1155"/>
      <c r="R90" s="1155"/>
      <c r="S90" s="1155"/>
    </row>
    <row r="91" spans="14:19">
      <c r="N91" s="480"/>
      <c r="O91" s="480"/>
      <c r="P91" s="480"/>
      <c r="Q91" s="480"/>
      <c r="R91" s="480"/>
      <c r="S91" s="480"/>
    </row>
    <row r="92" spans="14:19">
      <c r="N92" s="481"/>
      <c r="O92" s="480"/>
      <c r="P92" s="480"/>
      <c r="Q92" s="480"/>
      <c r="R92" s="480"/>
      <c r="S92" s="480"/>
    </row>
    <row r="93" spans="14:19">
      <c r="N93" s="481"/>
      <c r="O93" s="480"/>
      <c r="P93" s="480"/>
      <c r="Q93" s="480"/>
      <c r="R93" s="480"/>
      <c r="S93" s="480"/>
    </row>
    <row r="94" spans="14:19">
      <c r="N94" s="481"/>
      <c r="O94" s="480"/>
      <c r="P94" s="480"/>
      <c r="Q94" s="480"/>
      <c r="R94" s="480"/>
      <c r="S94" s="480"/>
    </row>
    <row r="95" spans="14:19">
      <c r="N95" s="481"/>
      <c r="O95" s="480"/>
      <c r="P95" s="480"/>
      <c r="Q95" s="480"/>
      <c r="R95" s="480"/>
      <c r="S95" s="480"/>
    </row>
    <row r="96" spans="14:19">
      <c r="N96" s="481"/>
      <c r="O96" s="480"/>
      <c r="P96" s="480"/>
      <c r="Q96" s="480"/>
      <c r="R96" s="480"/>
      <c r="S96" s="480"/>
    </row>
    <row r="97" spans="14:19">
      <c r="N97" s="481"/>
      <c r="O97" s="480"/>
      <c r="P97" s="480"/>
      <c r="Q97" s="480"/>
      <c r="R97" s="480"/>
      <c r="S97" s="480"/>
    </row>
    <row r="98" spans="14:19">
      <c r="N98" s="481"/>
      <c r="O98" s="480"/>
      <c r="P98" s="480"/>
      <c r="Q98" s="480"/>
      <c r="R98" s="480"/>
      <c r="S98" s="480"/>
    </row>
    <row r="99" spans="14:19">
      <c r="N99" s="481"/>
      <c r="O99" s="480"/>
      <c r="P99" s="480"/>
      <c r="Q99" s="480"/>
      <c r="R99" s="480"/>
      <c r="S99" s="480"/>
    </row>
    <row r="100" spans="14:19">
      <c r="N100" s="481"/>
      <c r="O100" s="480"/>
      <c r="P100" s="480"/>
      <c r="Q100" s="480"/>
      <c r="R100" s="480"/>
      <c r="S100" s="480"/>
    </row>
  </sheetData>
  <mergeCells count="8">
    <mergeCell ref="N90:S90"/>
    <mergeCell ref="B3:J3"/>
    <mergeCell ref="K3:Q3"/>
    <mergeCell ref="N54:S54"/>
    <mergeCell ref="N66:S66"/>
    <mergeCell ref="N78:S78"/>
    <mergeCell ref="K23:M23"/>
    <mergeCell ref="M25:M28"/>
  </mergeCells>
  <conditionalFormatting sqref="C10:G10">
    <cfRule type="expression" dxfId="28" priority="22">
      <formula>$C$10="Low"</formula>
    </cfRule>
  </conditionalFormatting>
  <conditionalFormatting sqref="D6:F6 H6:I6">
    <cfRule type="expression" dxfId="27" priority="39">
      <formula>$C$6="Low"</formula>
    </cfRule>
  </conditionalFormatting>
  <conditionalFormatting sqref="D7:G7 J7">
    <cfRule type="expression" dxfId="26" priority="38">
      <formula>$C$7="Low"</formula>
    </cfRule>
  </conditionalFormatting>
  <conditionalFormatting sqref="D8:G8">
    <cfRule type="expression" dxfId="25" priority="37">
      <formula>$C$8="Low"</formula>
    </cfRule>
  </conditionalFormatting>
  <conditionalFormatting sqref="D9:G9 J9:J10">
    <cfRule type="expression" dxfId="24" priority="36">
      <formula>$C$9="Low"</formula>
    </cfRule>
  </conditionalFormatting>
  <conditionalFormatting sqref="D12:G12 J12">
    <cfRule type="expression" dxfId="23" priority="34">
      <formula>$C$12="Low"</formula>
    </cfRule>
  </conditionalFormatting>
  <conditionalFormatting sqref="D13:G13 J13">
    <cfRule type="expression" dxfId="22" priority="33">
      <formula>$C$13="Low"</formula>
    </cfRule>
  </conditionalFormatting>
  <conditionalFormatting sqref="D14:G14 J14">
    <cfRule type="expression" dxfId="21" priority="32">
      <formula>$C$14="Low"</formula>
    </cfRule>
  </conditionalFormatting>
  <conditionalFormatting sqref="D16:G16 J16">
    <cfRule type="expression" dxfId="20" priority="30">
      <formula>$C$16="Low"</formula>
    </cfRule>
  </conditionalFormatting>
  <conditionalFormatting sqref="D17:G17 J17">
    <cfRule type="expression" dxfId="19" priority="29">
      <formula>$C$17="Low"</formula>
    </cfRule>
  </conditionalFormatting>
  <conditionalFormatting sqref="D19:G19 J20">
    <cfRule type="expression" dxfId="18" priority="27">
      <formula>$C$19="Low"</formula>
    </cfRule>
  </conditionalFormatting>
  <conditionalFormatting sqref="D21:G21 J21">
    <cfRule type="expression" dxfId="17" priority="25">
      <formula>$C$21="Low"</formula>
    </cfRule>
  </conditionalFormatting>
  <conditionalFormatting sqref="D15:J15">
    <cfRule type="expression" dxfId="16" priority="31">
      <formula>$C$15="Low"</formula>
    </cfRule>
  </conditionalFormatting>
  <conditionalFormatting sqref="D18:J18">
    <cfRule type="expression" dxfId="15" priority="28">
      <formula>$C$18="Low"</formula>
    </cfRule>
  </conditionalFormatting>
  <conditionalFormatting sqref="D20:J20">
    <cfRule type="expression" dxfId="14" priority="26">
      <formula>$C$20="Low"</formula>
    </cfRule>
  </conditionalFormatting>
  <conditionalFormatting sqref="D22:J22">
    <cfRule type="expression" dxfId="13" priority="24">
      <formula>$C$22="Low"</formula>
    </cfRule>
  </conditionalFormatting>
  <conditionalFormatting sqref="G6">
    <cfRule type="expression" dxfId="12" priority="20">
      <formula>$C$7="Low"</formula>
    </cfRule>
  </conditionalFormatting>
  <conditionalFormatting sqref="H7 H8:I8 H9 H10:I10">
    <cfRule type="expression" dxfId="11" priority="17">
      <formula>$C$6="Low"</formula>
    </cfRule>
  </conditionalFormatting>
  <conditionalFormatting sqref="H12:H13">
    <cfRule type="expression" dxfId="10" priority="10">
      <formula>$C$6="Low"</formula>
    </cfRule>
  </conditionalFormatting>
  <conditionalFormatting sqref="H19">
    <cfRule type="expression" dxfId="9" priority="8">
      <formula>$C$6="Low"</formula>
    </cfRule>
  </conditionalFormatting>
  <conditionalFormatting sqref="H21">
    <cfRule type="expression" dxfId="8" priority="7">
      <formula>$C$6="Low"</formula>
    </cfRule>
  </conditionalFormatting>
  <conditionalFormatting sqref="H24:H34">
    <cfRule type="expression" dxfId="7" priority="6">
      <formula>$C$6="Low"</formula>
    </cfRule>
  </conditionalFormatting>
  <conditionalFormatting sqref="I19">
    <cfRule type="expression" dxfId="6" priority="13">
      <formula>$C$16="Low"</formula>
    </cfRule>
  </conditionalFormatting>
  <conditionalFormatting sqref="I21">
    <cfRule type="expression" dxfId="5" priority="12">
      <formula>$C$16="Low"</formula>
    </cfRule>
  </conditionalFormatting>
  <conditionalFormatting sqref="I24:J34">
    <cfRule type="expression" dxfId="4" priority="2">
      <formula>$C$16="Low"</formula>
    </cfRule>
  </conditionalFormatting>
  <conditionalFormatting sqref="J19">
    <cfRule type="expression" dxfId="3" priority="5">
      <formula>$C$17="Low"</formula>
    </cfRule>
  </conditionalFormatting>
  <conditionalFormatting sqref="K13">
    <cfRule type="expression" dxfId="2" priority="1">
      <formula>$C$16="Low"</formula>
    </cfRule>
  </conditionalFormatting>
  <dataValidations count="3">
    <dataValidation type="list" allowBlank="1" showInputMessage="1" showErrorMessage="1" sqref="D6:D22 D32:D34 F24:F34 F6:F10 F12:F22 C11" xr:uid="{3F3EAFB5-AA53-4ACB-815F-B2974A5D886C}">
      <formula1>$T$1:$T$2</formula1>
    </dataValidation>
    <dataValidation type="list" showInputMessage="1" showErrorMessage="1" sqref="B2" xr:uid="{A02853CE-D21D-44BD-9939-055BC887EFBD}">
      <formula1>Sectors</formula1>
    </dataValidation>
    <dataValidation type="list" allowBlank="1" showInputMessage="1" showErrorMessage="1" sqref="E6:E10 E24:E34 E12:E22" xr:uid="{21B53BAA-5CFE-4F77-8669-06D93A31F2C2}">
      <formula1>$L$25:$L$28</formula1>
    </dataValidation>
  </dataValidations>
  <pageMargins left="0.7" right="0.7" top="0.75" bottom="0.75" header="0.3" footer="0.3"/>
  <pageSetup paperSize="9" orientation="portrait" horizontalDpi="4294967293" verticalDpi="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AN88"/>
  <sheetViews>
    <sheetView showGridLines="0" zoomScale="75" zoomScaleNormal="90" workbookViewId="0">
      <selection activeCell="G5" sqref="G5"/>
    </sheetView>
  </sheetViews>
  <sheetFormatPr baseColWidth="10" defaultColWidth="11.5" defaultRowHeight="13" outlineLevelCol="1"/>
  <cols>
    <col min="1" max="1" width="24.5" bestFit="1" customWidth="1"/>
    <col min="2" max="2" width="11.5" customWidth="1" outlineLevel="1"/>
    <col min="3" max="3" width="32.1640625" customWidth="1" outlineLevel="1"/>
    <col min="4" max="4" width="20" customWidth="1" outlineLevel="1"/>
    <col min="5" max="5" width="24" customWidth="1"/>
    <col min="6" max="6" width="27.33203125" customWidth="1"/>
    <col min="7" max="7" width="14.1640625" style="2" customWidth="1"/>
    <col min="8" max="8" width="12.5" style="2" customWidth="1"/>
    <col min="9" max="11" width="11.1640625" style="2" customWidth="1"/>
    <col min="12" max="12" width="19" style="2" customWidth="1"/>
    <col min="13" max="14" width="24.33203125" style="2" bestFit="1" customWidth="1"/>
    <col min="15" max="15" width="23.1640625" style="2" bestFit="1" customWidth="1"/>
    <col min="16" max="25" width="24.33203125" style="2" bestFit="1" customWidth="1"/>
    <col min="26" max="28" width="23.1640625" style="2" bestFit="1" customWidth="1"/>
    <col min="29" max="30" width="24.33203125" style="2" bestFit="1" customWidth="1"/>
    <col min="31" max="32" width="23.1640625" style="2" bestFit="1" customWidth="1"/>
    <col min="33" max="33" width="14.5" customWidth="1"/>
  </cols>
  <sheetData>
    <row r="1" spans="1:40" ht="21" customHeight="1">
      <c r="A1" s="1170" t="s">
        <v>394</v>
      </c>
      <c r="B1" s="1170"/>
      <c r="C1" s="1170"/>
      <c r="D1" s="1170"/>
      <c r="E1" s="1170"/>
      <c r="F1" s="1170"/>
      <c r="G1" s="1170"/>
      <c r="H1" s="1170"/>
      <c r="I1" s="1170"/>
      <c r="J1" s="1170"/>
      <c r="K1" s="1170"/>
      <c r="L1" s="1170"/>
      <c r="M1" s="1170"/>
      <c r="N1" s="1170"/>
      <c r="O1" s="1170"/>
      <c r="P1" s="1170"/>
      <c r="Q1" s="1170"/>
      <c r="R1" s="1170"/>
      <c r="S1" s="1170"/>
      <c r="T1" s="1170"/>
      <c r="U1" s="1170"/>
      <c r="V1" s="1170"/>
      <c r="W1" s="1170"/>
      <c r="X1" s="1170"/>
      <c r="Y1" s="1170"/>
      <c r="Z1" s="1170"/>
      <c r="AA1" s="1170"/>
      <c r="AB1" s="1170"/>
      <c r="AC1" s="1170"/>
      <c r="AD1" s="1170"/>
      <c r="AE1" s="1170"/>
      <c r="AF1" s="1170"/>
      <c r="AG1" s="10"/>
      <c r="AH1" s="10"/>
      <c r="AI1" s="10"/>
      <c r="AJ1" s="10"/>
      <c r="AK1" s="10"/>
      <c r="AL1" s="10"/>
      <c r="AM1" s="10"/>
      <c r="AN1" s="10"/>
    </row>
    <row r="2" spans="1:40" ht="3.75" customHeight="1" thickBot="1">
      <c r="A2" s="1171"/>
      <c r="B2" s="1171"/>
      <c r="C2" s="1171"/>
      <c r="D2" s="1171"/>
      <c r="E2" s="1171"/>
      <c r="F2" s="1171"/>
      <c r="G2" s="1171"/>
      <c r="H2" s="1171"/>
      <c r="I2" s="1171"/>
      <c r="J2" s="1171"/>
      <c r="K2" s="1171"/>
      <c r="L2" s="1171"/>
      <c r="M2" s="1171"/>
      <c r="N2" s="1171"/>
      <c r="O2" s="1171"/>
      <c r="P2" s="1171"/>
      <c r="Q2" s="1171"/>
      <c r="R2" s="1171"/>
      <c r="S2" s="1171"/>
      <c r="T2" s="1171"/>
      <c r="U2" s="1171"/>
      <c r="V2" s="1171"/>
      <c r="W2" s="1171"/>
      <c r="X2" s="1171"/>
      <c r="Y2" s="1171"/>
      <c r="Z2" s="1171"/>
      <c r="AA2" s="1171"/>
      <c r="AB2" s="1171"/>
      <c r="AC2" s="1171"/>
      <c r="AD2" s="1171"/>
      <c r="AE2" s="1171"/>
      <c r="AF2" s="1171"/>
      <c r="AG2" s="482"/>
      <c r="AH2" s="10"/>
      <c r="AI2" s="10"/>
      <c r="AJ2" s="10"/>
      <c r="AK2" s="10"/>
      <c r="AL2" s="10"/>
      <c r="AM2" s="10"/>
      <c r="AN2" s="10"/>
    </row>
    <row r="3" spans="1:40" ht="20" thickBot="1">
      <c r="A3" s="224"/>
      <c r="B3" s="224"/>
      <c r="C3" s="224"/>
      <c r="D3" s="224"/>
      <c r="E3" s="224"/>
      <c r="F3" s="224"/>
      <c r="G3" s="1178" t="s">
        <v>395</v>
      </c>
      <c r="H3" s="1179"/>
      <c r="I3" s="1179"/>
      <c r="J3" s="1179"/>
      <c r="K3" s="1180" t="s">
        <v>396</v>
      </c>
      <c r="L3" s="1181"/>
      <c r="M3" s="1181"/>
      <c r="N3" s="1181"/>
      <c r="O3" s="1181"/>
      <c r="P3" s="1181"/>
      <c r="Q3" s="1181"/>
      <c r="R3" s="1181"/>
      <c r="S3" s="1181"/>
      <c r="T3" s="1181"/>
      <c r="U3" s="1181"/>
      <c r="V3" s="1181"/>
      <c r="W3" s="1181"/>
      <c r="X3" s="1181"/>
      <c r="Y3" s="1181"/>
      <c r="Z3" s="1181"/>
      <c r="AA3" s="1181"/>
      <c r="AB3" s="1181"/>
      <c r="AC3" s="1181"/>
      <c r="AD3" s="1181"/>
      <c r="AE3" s="1181"/>
      <c r="AF3" s="1182"/>
      <c r="AG3" s="482"/>
      <c r="AH3" s="10"/>
      <c r="AI3" s="10"/>
      <c r="AJ3" s="10"/>
      <c r="AK3" s="10"/>
      <c r="AL3" s="10"/>
      <c r="AM3" s="10"/>
      <c r="AN3" s="10"/>
    </row>
    <row r="4" spans="1:40" ht="16" thickBot="1">
      <c r="A4" s="248" t="s">
        <v>397</v>
      </c>
      <c r="B4" s="251" t="s">
        <v>398</v>
      </c>
      <c r="C4" s="252" t="s">
        <v>399</v>
      </c>
      <c r="D4" s="261" t="s">
        <v>400</v>
      </c>
      <c r="E4" s="261" t="s">
        <v>401</v>
      </c>
      <c r="F4" s="262" t="s">
        <v>402</v>
      </c>
      <c r="G4" s="261">
        <v>2023</v>
      </c>
      <c r="H4" s="261">
        <f>G4+1</f>
        <v>2024</v>
      </c>
      <c r="I4" s="261">
        <f t="shared" ref="I4:AF4" si="0">H4+1</f>
        <v>2025</v>
      </c>
      <c r="J4" s="262">
        <f t="shared" si="0"/>
        <v>2026</v>
      </c>
      <c r="K4" s="263">
        <f t="shared" si="0"/>
        <v>2027</v>
      </c>
      <c r="L4" s="263">
        <f t="shared" si="0"/>
        <v>2028</v>
      </c>
      <c r="M4" s="263">
        <f t="shared" si="0"/>
        <v>2029</v>
      </c>
      <c r="N4" s="263">
        <f t="shared" si="0"/>
        <v>2030</v>
      </c>
      <c r="O4" s="263">
        <f t="shared" si="0"/>
        <v>2031</v>
      </c>
      <c r="P4" s="263">
        <f t="shared" si="0"/>
        <v>2032</v>
      </c>
      <c r="Q4" s="263">
        <f t="shared" si="0"/>
        <v>2033</v>
      </c>
      <c r="R4" s="263">
        <f t="shared" si="0"/>
        <v>2034</v>
      </c>
      <c r="S4" s="263">
        <f t="shared" si="0"/>
        <v>2035</v>
      </c>
      <c r="T4" s="263">
        <f t="shared" si="0"/>
        <v>2036</v>
      </c>
      <c r="U4" s="263">
        <f t="shared" si="0"/>
        <v>2037</v>
      </c>
      <c r="V4" s="263">
        <f t="shared" si="0"/>
        <v>2038</v>
      </c>
      <c r="W4" s="263">
        <f t="shared" si="0"/>
        <v>2039</v>
      </c>
      <c r="X4" s="263">
        <f t="shared" si="0"/>
        <v>2040</v>
      </c>
      <c r="Y4" s="263">
        <f t="shared" si="0"/>
        <v>2041</v>
      </c>
      <c r="Z4" s="263">
        <f t="shared" si="0"/>
        <v>2042</v>
      </c>
      <c r="AA4" s="263">
        <f t="shared" si="0"/>
        <v>2043</v>
      </c>
      <c r="AB4" s="263">
        <f t="shared" si="0"/>
        <v>2044</v>
      </c>
      <c r="AC4" s="263">
        <f t="shared" si="0"/>
        <v>2045</v>
      </c>
      <c r="AD4" s="263">
        <f t="shared" si="0"/>
        <v>2046</v>
      </c>
      <c r="AE4" s="263">
        <f t="shared" si="0"/>
        <v>2047</v>
      </c>
      <c r="AF4" s="264">
        <f t="shared" si="0"/>
        <v>2048</v>
      </c>
      <c r="AG4" s="482"/>
      <c r="AH4" s="10"/>
      <c r="AI4" s="10"/>
      <c r="AJ4" s="10"/>
      <c r="AK4" s="10"/>
      <c r="AL4" s="10"/>
      <c r="AM4" s="10"/>
      <c r="AN4" s="10"/>
    </row>
    <row r="5" spans="1:40">
      <c r="A5" s="1175" t="s">
        <v>403</v>
      </c>
      <c r="B5" s="253">
        <v>1</v>
      </c>
      <c r="C5" s="259" t="s">
        <v>404</v>
      </c>
      <c r="D5" s="269">
        <f>'Fin. Data'!D6</f>
        <v>0.24295239209264241</v>
      </c>
      <c r="E5" s="270">
        <f t="shared" ref="E5:AF5" si="1">+E6/D6-1</f>
        <v>0.24656502917372491</v>
      </c>
      <c r="F5" s="309">
        <f t="shared" si="1"/>
        <v>0.18345160803261362</v>
      </c>
      <c r="G5" s="319">
        <f>+G6/F6-1</f>
        <v>0.24408539211012381</v>
      </c>
      <c r="H5" s="320">
        <f>+H6/G6-1</f>
        <v>0.19408539211012377</v>
      </c>
      <c r="I5" s="320">
        <f>+I6/H6-1</f>
        <v>0.16908539211012386</v>
      </c>
      <c r="J5" s="321">
        <f>+J6/I6-1</f>
        <v>0.13908539211012383</v>
      </c>
      <c r="K5" s="319">
        <f t="shared" si="1"/>
        <v>0.11908539211012381</v>
      </c>
      <c r="L5" s="320">
        <f t="shared" si="1"/>
        <v>0.11408539211012392</v>
      </c>
      <c r="M5" s="320">
        <f t="shared" si="1"/>
        <v>0.11308539211012403</v>
      </c>
      <c r="N5" s="320">
        <f t="shared" si="1"/>
        <v>0.11208539211012414</v>
      </c>
      <c r="O5" s="320">
        <f t="shared" si="1"/>
        <v>0.11108539211012425</v>
      </c>
      <c r="P5" s="320">
        <f t="shared" si="1"/>
        <v>0.11008539211012436</v>
      </c>
      <c r="Q5" s="320">
        <f t="shared" si="1"/>
        <v>0.1100000000000001</v>
      </c>
      <c r="R5" s="320">
        <f t="shared" si="1"/>
        <v>0.1100000000000001</v>
      </c>
      <c r="S5" s="320">
        <f t="shared" si="1"/>
        <v>0.1100000000000001</v>
      </c>
      <c r="T5" s="320">
        <f t="shared" si="1"/>
        <v>0.1100000000000001</v>
      </c>
      <c r="U5" s="320">
        <f t="shared" si="1"/>
        <v>0.1100000000000001</v>
      </c>
      <c r="V5" s="320">
        <f t="shared" si="1"/>
        <v>8.0000000000000071E-2</v>
      </c>
      <c r="W5" s="320">
        <f t="shared" si="1"/>
        <v>8.0000000000000071E-2</v>
      </c>
      <c r="X5" s="320">
        <f t="shared" si="1"/>
        <v>8.0000000000000071E-2</v>
      </c>
      <c r="Y5" s="320">
        <f t="shared" si="1"/>
        <v>8.0000000000000071E-2</v>
      </c>
      <c r="Z5" s="320">
        <f t="shared" si="1"/>
        <v>8.0000000000000071E-2</v>
      </c>
      <c r="AA5" s="320">
        <f t="shared" si="1"/>
        <v>5.0000000000000044E-2</v>
      </c>
      <c r="AB5" s="320">
        <f t="shared" si="1"/>
        <v>5.0000000000000044E-2</v>
      </c>
      <c r="AC5" s="320">
        <f t="shared" si="1"/>
        <v>5.0000000000000044E-2</v>
      </c>
      <c r="AD5" s="320">
        <f t="shared" si="1"/>
        <v>5.0000000000000044E-2</v>
      </c>
      <c r="AE5" s="320">
        <f t="shared" si="1"/>
        <v>5.0000000000000044E-2</v>
      </c>
      <c r="AF5" s="321">
        <f t="shared" si="1"/>
        <v>2.0000000000000018E-2</v>
      </c>
      <c r="AG5" s="375"/>
      <c r="AH5" s="10"/>
      <c r="AI5" s="10"/>
      <c r="AJ5" s="10"/>
      <c r="AK5" s="10"/>
      <c r="AL5" s="10"/>
      <c r="AM5" s="10"/>
      <c r="AN5" s="10"/>
    </row>
    <row r="6" spans="1:40" ht="15">
      <c r="A6" s="1175"/>
      <c r="B6" s="253">
        <v>2</v>
      </c>
      <c r="C6" s="247" t="s">
        <v>405</v>
      </c>
      <c r="D6" s="645">
        <f>Inputs!D6</f>
        <v>21252</v>
      </c>
      <c r="E6" s="645">
        <f>Inputs!C6</f>
        <v>26492</v>
      </c>
      <c r="F6" s="310">
        <f>Inputs!B6</f>
        <v>31352</v>
      </c>
      <c r="G6" s="314">
        <f>+Assumptions!I41</f>
        <v>39004.565213436603</v>
      </c>
      <c r="H6" s="314">
        <f>+Assumptions!J41</f>
        <v>46574.781546971339</v>
      </c>
      <c r="I6" s="314">
        <f>+Assumptions!K41</f>
        <v>54449.896747284351</v>
      </c>
      <c r="J6" s="314">
        <f>+Assumptions!L41</f>
        <v>62023.08198673615</v>
      </c>
      <c r="K6" s="314">
        <f>+Assumptions!M41</f>
        <v>69409.125025004978</v>
      </c>
      <c r="L6" s="314">
        <f>+Assumptions!N41</f>
        <v>77327.692269503284</v>
      </c>
      <c r="M6" s="314">
        <f>+Assumptions!O41</f>
        <v>86072.324670771064</v>
      </c>
      <c r="N6" s="314">
        <f>+Assumptions!P41</f>
        <v>95719.774931324355</v>
      </c>
      <c r="O6" s="314">
        <f>+Assumptions!Q41</f>
        <v>106352.84366226336</v>
      </c>
      <c r="P6" s="314">
        <f>+Assumptions!R41</f>
        <v>118060.73815885038</v>
      </c>
      <c r="Q6" s="314">
        <f>+Assumptions!S41</f>
        <v>131047.41935632392</v>
      </c>
      <c r="R6" s="314">
        <f>+Assumptions!T41</f>
        <v>145462.63548551957</v>
      </c>
      <c r="S6" s="314">
        <f>+Assumptions!U41</f>
        <v>161463.52538892673</v>
      </c>
      <c r="T6" s="314">
        <f>+Assumptions!V41</f>
        <v>179224.51318170869</v>
      </c>
      <c r="U6" s="314">
        <f>+Assumptions!W41</f>
        <v>198939.20963169666</v>
      </c>
      <c r="V6" s="314">
        <f>+Assumptions!X41</f>
        <v>214854.34640223242</v>
      </c>
      <c r="W6" s="314">
        <f>+Assumptions!Y41</f>
        <v>232042.69411441102</v>
      </c>
      <c r="X6" s="314">
        <f>+Assumptions!Z41</f>
        <v>250606.10964356392</v>
      </c>
      <c r="Y6" s="314">
        <f>+Assumptions!AA41</f>
        <v>270654.59841504903</v>
      </c>
      <c r="Z6" s="314">
        <f>+Assumptions!AB41</f>
        <v>292306.96628825297</v>
      </c>
      <c r="AA6" s="314">
        <f>+Assumptions!AC41</f>
        <v>306922.3146026656</v>
      </c>
      <c r="AB6" s="314">
        <f>+Assumptions!AD41</f>
        <v>322268.43033279892</v>
      </c>
      <c r="AC6" s="314">
        <f>+Assumptions!AE41</f>
        <v>338381.85184943886</v>
      </c>
      <c r="AD6" s="314">
        <f>+Assumptions!AF41</f>
        <v>355300.94444191083</v>
      </c>
      <c r="AE6" s="314">
        <f>+Assumptions!AG41</f>
        <v>373065.99166400637</v>
      </c>
      <c r="AF6" s="314">
        <f>+Assumptions!AH41</f>
        <v>380527.31149728649</v>
      </c>
      <c r="AG6" s="483"/>
      <c r="AH6" s="10"/>
      <c r="AI6" s="10"/>
      <c r="AJ6" s="10"/>
      <c r="AK6" s="10"/>
      <c r="AL6" s="10"/>
      <c r="AM6" s="10"/>
      <c r="AN6" s="10"/>
    </row>
    <row r="7" spans="1:40" s="816" customFormat="1">
      <c r="A7" s="1175"/>
      <c r="B7" s="817">
        <v>3</v>
      </c>
      <c r="C7" s="898" t="s">
        <v>406</v>
      </c>
      <c r="D7" s="899">
        <f>D8/D6</f>
        <v>0.22619047619047619</v>
      </c>
      <c r="E7" s="900">
        <f t="shared" ref="E7" si="2">E8/E6</f>
        <v>0.18231919069907895</v>
      </c>
      <c r="F7" s="901">
        <f>F8/F6</f>
        <v>0.14180913498341413</v>
      </c>
      <c r="G7" s="902">
        <v>0.1</v>
      </c>
      <c r="H7" s="902">
        <v>0.09</v>
      </c>
      <c r="I7" s="902">
        <v>0.09</v>
      </c>
      <c r="J7" s="902">
        <v>0.09</v>
      </c>
      <c r="K7" s="902">
        <v>0.09</v>
      </c>
      <c r="L7" s="902">
        <v>0.09</v>
      </c>
      <c r="M7" s="902">
        <f>+_xlfn.FORECAST.LINEAR(M4,'Fin. Data'!$B$12:$M$12,'Fin. Data'!$B$4:$M$4)</f>
        <v>9.3040236316701552E-2</v>
      </c>
      <c r="N7" s="902">
        <f>+_xlfn.FORECAST.LINEAR(N4,'Fin. Data'!$B$12:$M$12,'Fin. Data'!$B$4:$M$4)</f>
        <v>0.10002407471675667</v>
      </c>
      <c r="O7" s="902">
        <f>+_xlfn.FORECAST.LINEAR(O4,'Fin. Data'!$B$12:$M$12,'Fin. Data'!$B$4:$M$4)</f>
        <v>0.10700791311681357</v>
      </c>
      <c r="P7" s="902">
        <f>+_xlfn.FORECAST.LINEAR(P4,'Fin. Data'!$B$12:$M$12,'Fin. Data'!$B$4:$M$4)</f>
        <v>0.11399175151686869</v>
      </c>
      <c r="Q7" s="902">
        <f>+_xlfn.FORECAST.LINEAR(Q4,'Fin. Data'!$B$12:$M$12,'Fin. Data'!$B$4:$M$4)</f>
        <v>0.12097558991692381</v>
      </c>
      <c r="R7" s="902">
        <f>+_xlfn.FORECAST.LINEAR(R4,'Fin. Data'!$B$12:$M$12,'Fin. Data'!$B$4:$M$4)</f>
        <v>0.12795942831698071</v>
      </c>
      <c r="S7" s="902">
        <f>+_xlfn.FORECAST.LINEAR(S4,'Fin. Data'!$B$12:$M$12,'Fin. Data'!$B$4:$M$4)</f>
        <v>0.13494326671703583</v>
      </c>
      <c r="T7" s="902">
        <f>+_xlfn.FORECAST.LINEAR(T4,'Fin. Data'!$B$12:$M$12,'Fin. Data'!$B$4:$M$4)</f>
        <v>0.14192710511709272</v>
      </c>
      <c r="U7" s="902">
        <f>+_xlfn.FORECAST.LINEAR(U4,'Fin. Data'!$B$12:$M$12,'Fin. Data'!$B$4:$M$4)</f>
        <v>0.14891094351714784</v>
      </c>
      <c r="V7" s="902">
        <f>+_xlfn.FORECAST.LINEAR(V4,'Fin. Data'!$B$12:$M$12,'Fin. Data'!$B$4:$M$4)</f>
        <v>0.15589478191720474</v>
      </c>
      <c r="W7" s="902">
        <f>+_xlfn.FORECAST.LINEAR(W4,'Fin. Data'!$B$12:$M$12,'Fin. Data'!$B$4:$M$4)</f>
        <v>0.16287862031725986</v>
      </c>
      <c r="X7" s="902">
        <f>+_xlfn.FORECAST.LINEAR(X4,'Fin. Data'!$B$12:$M$12,'Fin. Data'!$B$4:$M$4)</f>
        <v>0.16986245871731676</v>
      </c>
      <c r="Y7" s="902">
        <f>+_xlfn.FORECAST.LINEAR(Y4,'Fin. Data'!$B$12:$M$12,'Fin. Data'!$B$4:$M$4)</f>
        <v>0.17684629711737188</v>
      </c>
      <c r="Z7" s="902">
        <f>+_xlfn.FORECAST.LINEAR(Z4,'Fin. Data'!$B$12:$M$12,'Fin. Data'!$B$4:$M$4)</f>
        <v>0.183830135517427</v>
      </c>
      <c r="AA7" s="902">
        <f>+_xlfn.FORECAST.LINEAR(AA4,'Fin. Data'!$B$12:$M$12,'Fin. Data'!$B$4:$M$4)</f>
        <v>0.19081397391748389</v>
      </c>
      <c r="AB7" s="902">
        <f>+_xlfn.FORECAST.LINEAR(AB4,'Fin. Data'!$B$12:$M$12,'Fin. Data'!$B$4:$M$4)</f>
        <v>0.19779781231753901</v>
      </c>
      <c r="AC7" s="902">
        <f>+_xlfn.FORECAST.LINEAR(AC4,'Fin. Data'!$B$12:$M$12,'Fin. Data'!$B$4:$M$4)</f>
        <v>0.20478165071759591</v>
      </c>
      <c r="AD7" s="902">
        <f>+_xlfn.FORECAST.LINEAR(AD4,'Fin. Data'!$B$12:$M$12,'Fin. Data'!$B$4:$M$4)</f>
        <v>0.21176548911765103</v>
      </c>
      <c r="AE7" s="902">
        <f>+_xlfn.FORECAST.LINEAR(AE4,'Fin. Data'!$B$12:$M$12,'Fin. Data'!$B$4:$M$4)</f>
        <v>0.21874932751770793</v>
      </c>
      <c r="AF7" s="902">
        <f>+_xlfn.FORECAST.LINEAR(AF4,'Fin. Data'!$B$12:$M$12,'Fin. Data'!$B$4:$M$4)</f>
        <v>0.22573316591776305</v>
      </c>
      <c r="AG7" s="903"/>
      <c r="AH7" s="815"/>
      <c r="AI7" s="815"/>
      <c r="AJ7" s="815"/>
      <c r="AK7" s="815"/>
      <c r="AL7" s="815"/>
      <c r="AM7" s="815"/>
      <c r="AN7" s="815"/>
    </row>
    <row r="8" spans="1:40" ht="15">
      <c r="A8" s="1175"/>
      <c r="B8" s="253">
        <v>4</v>
      </c>
      <c r="C8" s="233" t="s">
        <v>61</v>
      </c>
      <c r="D8" s="306">
        <f>+D12+D9+D10</f>
        <v>4807</v>
      </c>
      <c r="E8" s="306">
        <f t="shared" ref="E8" si="3">+E12+E9+E10</f>
        <v>4830</v>
      </c>
      <c r="F8" s="306">
        <f>+F12+F9+F10</f>
        <v>4446</v>
      </c>
      <c r="G8" s="314">
        <f>G7*G6+G9+G10</f>
        <v>6827.0785241353969</v>
      </c>
      <c r="H8" s="314">
        <f>H7*H6+H9+H10</f>
        <v>7701.3378342404994</v>
      </c>
      <c r="I8" s="314">
        <f t="shared" ref="I8:AF8" si="4">I7*I6+I9+I10</f>
        <v>9106.2326623423069</v>
      </c>
      <c r="J8" s="314">
        <f t="shared" si="4"/>
        <v>10601.659962109523</v>
      </c>
      <c r="K8" s="314">
        <f t="shared" si="4"/>
        <v>10392.549837085222</v>
      </c>
      <c r="L8" s="314">
        <f t="shared" si="4"/>
        <v>11747.524852334922</v>
      </c>
      <c r="M8" s="314">
        <f t="shared" si="4"/>
        <v>13511.803438521556</v>
      </c>
      <c r="N8" s="314">
        <f t="shared" si="4"/>
        <v>15874.399203473917</v>
      </c>
      <c r="O8" s="314">
        <f t="shared" si="4"/>
        <v>18566.492792932826</v>
      </c>
      <c r="P8" s="314">
        <f t="shared" si="4"/>
        <v>21628.024101688461</v>
      </c>
      <c r="Q8" s="314">
        <f t="shared" si="4"/>
        <v>25116.132965085613</v>
      </c>
      <c r="R8" s="314">
        <f t="shared" si="4"/>
        <v>29088.607343404874</v>
      </c>
      <c r="S8" s="314">
        <f t="shared" si="4"/>
        <v>33609.801532681471</v>
      </c>
      <c r="T8" s="314">
        <f t="shared" si="4"/>
        <v>38752.366951348951</v>
      </c>
      <c r="U8" s="314">
        <f t="shared" si="4"/>
        <v>44598.29882018239</v>
      </c>
      <c r="V8" s="314">
        <f t="shared" si="4"/>
        <v>50309.705175643743</v>
      </c>
      <c r="W8" s="314">
        <f t="shared" si="4"/>
        <v>56598.064682327429</v>
      </c>
      <c r="X8" s="314">
        <f t="shared" si="4"/>
        <v>63519.136843754939</v>
      </c>
      <c r="Y8" s="314">
        <f t="shared" si="4"/>
        <v>71133.910183841566</v>
      </c>
      <c r="Z8" s="314">
        <f t="shared" si="4"/>
        <v>79509.082029340134</v>
      </c>
      <c r="AA8" s="314">
        <f t="shared" si="4"/>
        <v>87044.293976503774</v>
      </c>
      <c r="AB8" s="314">
        <f t="shared" si="4"/>
        <v>95063.441313352858</v>
      </c>
      <c r="AC8" s="314">
        <f t="shared" si="4"/>
        <v>103596.07954898918</v>
      </c>
      <c r="AD8" s="314">
        <f t="shared" si="4"/>
        <v>112673.50990494812</v>
      </c>
      <c r="AE8" s="314">
        <f t="shared" si="4"/>
        <v>122328.87999767411</v>
      </c>
      <c r="AF8" s="314">
        <f t="shared" si="4"/>
        <v>130070.88920311566</v>
      </c>
      <c r="AG8" s="468"/>
      <c r="AH8" s="7"/>
      <c r="AI8" s="7"/>
      <c r="AJ8" s="7"/>
      <c r="AK8" s="10"/>
      <c r="AL8" s="10"/>
      <c r="AM8" s="10"/>
      <c r="AN8" s="10"/>
    </row>
    <row r="9" spans="1:40" ht="15">
      <c r="A9" s="1175"/>
      <c r="B9" s="817" t="s">
        <v>407</v>
      </c>
      <c r="C9" s="247" t="s">
        <v>408</v>
      </c>
      <c r="D9" s="712">
        <v>2846</v>
      </c>
      <c r="E9" s="712">
        <v>3298</v>
      </c>
      <c r="F9" s="712">
        <v>3786</v>
      </c>
      <c r="G9" s="457">
        <f>$D$53*DCF!F40</f>
        <v>2926.6220027917366</v>
      </c>
      <c r="H9" s="458">
        <f>$D$53*DCF!G40</f>
        <v>3509.6074950130792</v>
      </c>
      <c r="I9" s="458">
        <f>$D$53*DCF!H40</f>
        <v>4205.7419550867153</v>
      </c>
      <c r="J9" s="459">
        <f>$D$53*DCF!I40</f>
        <v>5019.5825833032704</v>
      </c>
      <c r="K9" s="460">
        <f>$E$53*DCF!J40</f>
        <v>4145.7285848347747</v>
      </c>
      <c r="L9" s="461">
        <f>$E$53*DCF!K40</f>
        <v>4788.0325480796273</v>
      </c>
      <c r="M9" s="461">
        <f>$E$53*DCF!L40</f>
        <v>5503.6140108251548</v>
      </c>
      <c r="N9" s="461">
        <f>$E$53*DCF!M40</f>
        <v>6300.1172838719967</v>
      </c>
      <c r="O9" s="461">
        <f>$E$53*DCF!N40</f>
        <v>7185.8969385952914</v>
      </c>
      <c r="P9" s="461">
        <f>$E$53*DCF!O40</f>
        <v>8170.0737735866933</v>
      </c>
      <c r="Q9" s="461">
        <f>$E$53*DCF!P40</f>
        <v>9262.5941013638258</v>
      </c>
      <c r="R9" s="461">
        <f>$E$53*DCF!Q40</f>
        <v>10475.291665196441</v>
      </c>
      <c r="S9" s="461">
        <f>$E$53*DCF!R40</f>
        <v>11821.385961050644</v>
      </c>
      <c r="T9" s="461">
        <f>$E$53*DCF!S40</f>
        <v>13315.55062944881</v>
      </c>
      <c r="U9" s="461">
        <f>$E$53*DCF!T40</f>
        <v>14974.073411370775</v>
      </c>
      <c r="V9" s="461">
        <f>$E$53*DCF!U40</f>
        <v>16815.033699304156</v>
      </c>
      <c r="W9" s="461">
        <f>$E$53*DCF!V40</f>
        <v>18803.27081027221</v>
      </c>
      <c r="X9" s="461">
        <f>$E$53*DCF!W40</f>
        <v>20950.566890117709</v>
      </c>
      <c r="Y9" s="461">
        <f>$E$53*DCF!X40</f>
        <v>23269.64665635084</v>
      </c>
      <c r="Z9" s="461">
        <f>$E$53*DCF!Y40</f>
        <v>25774.252803882628</v>
      </c>
      <c r="AA9" s="461">
        <f>$E$53*DCF!Z40</f>
        <v>28479.227443216958</v>
      </c>
      <c r="AB9" s="461">
        <f>$E$53*DCF!AA40</f>
        <v>31319.450814518001</v>
      </c>
      <c r="AC9" s="461">
        <f>$E$53*DCF!AB40</f>
        <v>34301.685354384099</v>
      </c>
      <c r="AD9" s="461">
        <f>$E$53*DCF!AC40</f>
        <v>37433.031621243506</v>
      </c>
      <c r="AE9" s="461">
        <f>$E$53*DCF!AD40</f>
        <v>40720.945201445888</v>
      </c>
      <c r="AF9" s="462">
        <f>$E$53*DCF!AE40</f>
        <v>44173.254460658383</v>
      </c>
      <c r="AG9" s="469">
        <f>SUM(D9:AF9)</f>
        <v>443574.27869981329</v>
      </c>
      <c r="AH9" s="7"/>
      <c r="AI9" s="7"/>
      <c r="AJ9" s="7"/>
      <c r="AK9" s="10"/>
      <c r="AL9" s="10"/>
      <c r="AM9" s="10"/>
      <c r="AN9" s="10"/>
    </row>
    <row r="10" spans="1:40" ht="15">
      <c r="A10" s="1175"/>
      <c r="B10" s="817" t="s">
        <v>409</v>
      </c>
      <c r="C10" s="247" t="s">
        <v>410</v>
      </c>
      <c r="D10" s="454"/>
      <c r="E10" s="712"/>
      <c r="F10" s="712"/>
      <c r="G10" s="457">
        <f>F38*$D$54</f>
        <v>0</v>
      </c>
      <c r="H10" s="463">
        <f t="shared" ref="H10:J10" si="5">G38*$D$54</f>
        <v>0</v>
      </c>
      <c r="I10" s="463">
        <f t="shared" si="5"/>
        <v>0</v>
      </c>
      <c r="J10" s="464">
        <f t="shared" si="5"/>
        <v>0</v>
      </c>
      <c r="K10" s="460">
        <f t="shared" ref="K10:AF10" si="6">J38*$E$54</f>
        <v>0</v>
      </c>
      <c r="L10" s="461">
        <f t="shared" si="6"/>
        <v>0</v>
      </c>
      <c r="M10" s="461">
        <f t="shared" si="6"/>
        <v>0</v>
      </c>
      <c r="N10" s="461">
        <f t="shared" si="6"/>
        <v>0</v>
      </c>
      <c r="O10" s="461">
        <f t="shared" si="6"/>
        <v>0</v>
      </c>
      <c r="P10" s="461">
        <f t="shared" si="6"/>
        <v>0</v>
      </c>
      <c r="Q10" s="461">
        <f t="shared" si="6"/>
        <v>0</v>
      </c>
      <c r="R10" s="461">
        <f t="shared" si="6"/>
        <v>0</v>
      </c>
      <c r="S10" s="461">
        <f t="shared" si="6"/>
        <v>0</v>
      </c>
      <c r="T10" s="461">
        <f t="shared" si="6"/>
        <v>0</v>
      </c>
      <c r="U10" s="461">
        <f t="shared" si="6"/>
        <v>0</v>
      </c>
      <c r="V10" s="461">
        <f t="shared" si="6"/>
        <v>0</v>
      </c>
      <c r="W10" s="461">
        <f t="shared" si="6"/>
        <v>0</v>
      </c>
      <c r="X10" s="461">
        <f t="shared" si="6"/>
        <v>0</v>
      </c>
      <c r="Y10" s="461">
        <f t="shared" si="6"/>
        <v>0</v>
      </c>
      <c r="Z10" s="461">
        <f t="shared" si="6"/>
        <v>0</v>
      </c>
      <c r="AA10" s="461">
        <f t="shared" si="6"/>
        <v>0</v>
      </c>
      <c r="AB10" s="461">
        <f t="shared" si="6"/>
        <v>0</v>
      </c>
      <c r="AC10" s="461">
        <f t="shared" si="6"/>
        <v>0</v>
      </c>
      <c r="AD10" s="461">
        <f t="shared" si="6"/>
        <v>0</v>
      </c>
      <c r="AE10" s="461">
        <f t="shared" si="6"/>
        <v>0</v>
      </c>
      <c r="AF10" s="462">
        <f t="shared" si="6"/>
        <v>0</v>
      </c>
      <c r="AG10" s="468"/>
      <c r="AH10" s="7"/>
      <c r="AI10" s="7"/>
      <c r="AJ10" s="7"/>
      <c r="AK10" s="10"/>
      <c r="AL10" s="10"/>
      <c r="AM10" s="10"/>
      <c r="AN10" s="10"/>
    </row>
    <row r="11" spans="1:40" ht="15">
      <c r="A11" s="1175"/>
      <c r="B11" s="253" t="s">
        <v>411</v>
      </c>
      <c r="C11" s="247" t="s">
        <v>412</v>
      </c>
      <c r="D11" s="454">
        <f>D20</f>
        <v>1785</v>
      </c>
      <c r="E11" s="455">
        <f>E20</f>
        <v>2190</v>
      </c>
      <c r="F11" s="456">
        <f>F20</f>
        <v>2779</v>
      </c>
      <c r="G11" s="457">
        <f>G6*$D$55</f>
        <v>3319.2526615834417</v>
      </c>
      <c r="H11" s="463">
        <f t="shared" ref="H11:J11" si="7">H6*$D$55</f>
        <v>3963.4711159194362</v>
      </c>
      <c r="I11" s="463">
        <f t="shared" si="7"/>
        <v>4633.6361836718243</v>
      </c>
      <c r="J11" s="464">
        <f t="shared" si="7"/>
        <v>5278.1072891734775</v>
      </c>
      <c r="K11" s="457">
        <f>K6*$E55</f>
        <v>4511.5931266253237</v>
      </c>
      <c r="L11" s="457">
        <f t="shared" ref="L11:AF11" si="8">L6*$E55</f>
        <v>5026.2999975177136</v>
      </c>
      <c r="M11" s="457">
        <f t="shared" si="8"/>
        <v>5594.7011036001195</v>
      </c>
      <c r="N11" s="457">
        <f t="shared" si="8"/>
        <v>6221.7853705360831</v>
      </c>
      <c r="O11" s="457">
        <f t="shared" si="8"/>
        <v>6912.9348380471183</v>
      </c>
      <c r="P11" s="457">
        <f t="shared" si="8"/>
        <v>7673.9479803252752</v>
      </c>
      <c r="Q11" s="457">
        <f t="shared" si="8"/>
        <v>8518.0822581610555</v>
      </c>
      <c r="R11" s="457">
        <f t="shared" si="8"/>
        <v>9455.0713065587715</v>
      </c>
      <c r="S11" s="457">
        <f t="shared" si="8"/>
        <v>10495.129150280238</v>
      </c>
      <c r="T11" s="457">
        <f t="shared" si="8"/>
        <v>11649.593356811065</v>
      </c>
      <c r="U11" s="457">
        <f t="shared" si="8"/>
        <v>12931.048626060283</v>
      </c>
      <c r="V11" s="457">
        <f t="shared" si="8"/>
        <v>13965.532516145107</v>
      </c>
      <c r="W11" s="457">
        <f t="shared" si="8"/>
        <v>15082.775117436717</v>
      </c>
      <c r="X11" s="457">
        <f t="shared" si="8"/>
        <v>16289.397126831655</v>
      </c>
      <c r="Y11" s="457">
        <f t="shared" si="8"/>
        <v>17592.548896978187</v>
      </c>
      <c r="Z11" s="457">
        <f t="shared" si="8"/>
        <v>18999.952808736445</v>
      </c>
      <c r="AA11" s="457">
        <f t="shared" si="8"/>
        <v>19949.950449173266</v>
      </c>
      <c r="AB11" s="457">
        <f t="shared" si="8"/>
        <v>20947.447971631929</v>
      </c>
      <c r="AC11" s="457">
        <f t="shared" si="8"/>
        <v>21994.820370213525</v>
      </c>
      <c r="AD11" s="457">
        <f t="shared" si="8"/>
        <v>23094.561388724203</v>
      </c>
      <c r="AE11" s="457">
        <f t="shared" si="8"/>
        <v>24249.289458160416</v>
      </c>
      <c r="AF11" s="457">
        <f t="shared" si="8"/>
        <v>24734.275247323621</v>
      </c>
      <c r="AG11" s="468"/>
      <c r="AH11" s="7"/>
      <c r="AI11" s="7"/>
      <c r="AJ11" s="7"/>
      <c r="AK11" s="10"/>
      <c r="AL11" s="10"/>
      <c r="AM11" s="10"/>
      <c r="AN11" s="10"/>
    </row>
    <row r="12" spans="1:40" ht="15">
      <c r="A12" s="1175"/>
      <c r="B12" s="253">
        <v>6</v>
      </c>
      <c r="C12" s="233" t="s">
        <v>70</v>
      </c>
      <c r="D12" s="306">
        <f>D15-D14-D13</f>
        <v>1961</v>
      </c>
      <c r="E12" s="306">
        <f t="shared" ref="E12" si="9">E15-E14-E13</f>
        <v>1532</v>
      </c>
      <c r="F12" s="306">
        <f>F15-F14-F13</f>
        <v>660</v>
      </c>
      <c r="G12" s="306">
        <f>+G8-G9-G10-G11</f>
        <v>581.20385976021862</v>
      </c>
      <c r="H12" s="306">
        <f t="shared" ref="H12:AF12" si="10">+H8-H9-H10-H11</f>
        <v>228.25922330798448</v>
      </c>
      <c r="I12" s="306">
        <f t="shared" si="10"/>
        <v>266.85452358376733</v>
      </c>
      <c r="J12" s="306">
        <f t="shared" si="10"/>
        <v>303.97008963277494</v>
      </c>
      <c r="K12" s="306">
        <f t="shared" si="10"/>
        <v>1735.2281256251235</v>
      </c>
      <c r="L12" s="306">
        <f t="shared" si="10"/>
        <v>1933.192306737581</v>
      </c>
      <c r="M12" s="306">
        <f t="shared" si="10"/>
        <v>2413.4883240962818</v>
      </c>
      <c r="N12" s="306">
        <f t="shared" si="10"/>
        <v>3352.496549065836</v>
      </c>
      <c r="O12" s="306">
        <f t="shared" si="10"/>
        <v>4467.6610162904162</v>
      </c>
      <c r="P12" s="306">
        <f t="shared" si="10"/>
        <v>5784.0023477764926</v>
      </c>
      <c r="Q12" s="306">
        <f t="shared" si="10"/>
        <v>7335.456605560732</v>
      </c>
      <c r="R12" s="306">
        <f t="shared" si="10"/>
        <v>9158.2443716496618</v>
      </c>
      <c r="S12" s="306">
        <f t="shared" si="10"/>
        <v>11293.286421350589</v>
      </c>
      <c r="T12" s="306">
        <f t="shared" si="10"/>
        <v>13787.222965089079</v>
      </c>
      <c r="U12" s="306">
        <f t="shared" si="10"/>
        <v>16693.176782751332</v>
      </c>
      <c r="V12" s="306">
        <f t="shared" si="10"/>
        <v>19529.138960194479</v>
      </c>
      <c r="W12" s="306">
        <f t="shared" si="10"/>
        <v>22712.018754618504</v>
      </c>
      <c r="X12" s="306">
        <f t="shared" si="10"/>
        <v>26279.172826805574</v>
      </c>
      <c r="Y12" s="306">
        <f t="shared" si="10"/>
        <v>30271.714630512535</v>
      </c>
      <c r="Z12" s="306">
        <f t="shared" si="10"/>
        <v>34734.876416721061</v>
      </c>
      <c r="AA12" s="306">
        <f t="shared" si="10"/>
        <v>38615.11608411355</v>
      </c>
      <c r="AB12" s="306">
        <f t="shared" si="10"/>
        <v>42796.542527202924</v>
      </c>
      <c r="AC12" s="306">
        <f t="shared" si="10"/>
        <v>47299.573824391555</v>
      </c>
      <c r="AD12" s="306">
        <f t="shared" si="10"/>
        <v>52145.916894980401</v>
      </c>
      <c r="AE12" s="306">
        <f t="shared" si="10"/>
        <v>57358.645338067799</v>
      </c>
      <c r="AF12" s="306">
        <f t="shared" si="10"/>
        <v>61163.359495133656</v>
      </c>
      <c r="AG12" s="298"/>
      <c r="AH12" s="7"/>
      <c r="AI12" s="7"/>
      <c r="AJ12" s="7"/>
      <c r="AK12" s="10"/>
      <c r="AL12" s="10"/>
      <c r="AM12" s="10"/>
      <c r="AN12" s="10"/>
    </row>
    <row r="13" spans="1:40" ht="15">
      <c r="A13" s="1175"/>
      <c r="B13" s="253">
        <v>7</v>
      </c>
      <c r="C13" s="247" t="s">
        <v>413</v>
      </c>
      <c r="D13" s="451">
        <f>'Fin. Data'!D14</f>
        <v>-64</v>
      </c>
      <c r="E13" s="452">
        <f>'Fin. Data'!C14</f>
        <v>-227</v>
      </c>
      <c r="F13" s="453">
        <f>'Fin. Data'!B14</f>
        <v>-131</v>
      </c>
      <c r="G13" s="460">
        <f>F43*$D$58-F44*$D$57</f>
        <v>376.0798444319671</v>
      </c>
      <c r="H13" s="461">
        <f t="shared" ref="H13:J13" si="11">G43*$D$58-G44*$D$57</f>
        <v>850.63013588377862</v>
      </c>
      <c r="I13" s="461">
        <f t="shared" si="11"/>
        <v>1414.0303695299167</v>
      </c>
      <c r="J13" s="462">
        <f t="shared" si="11"/>
        <v>2037.3423755112524</v>
      </c>
      <c r="K13" s="460">
        <f>J43*$E$58-J44*$E$57</f>
        <v>1918.626639865538</v>
      </c>
      <c r="L13" s="461">
        <f t="shared" ref="L13:AF13" si="12">K43*$E$58-K44*$E$57</f>
        <v>2467.1850127262624</v>
      </c>
      <c r="M13" s="461">
        <f t="shared" si="12"/>
        <v>3111.7727312336056</v>
      </c>
      <c r="N13" s="461">
        <f t="shared" si="12"/>
        <v>3835.0547107543948</v>
      </c>
      <c r="O13" s="461">
        <f>N43*$E$58-N44*$E$57</f>
        <v>4767.6657126162845</v>
      </c>
      <c r="P13" s="461">
        <f t="shared" si="12"/>
        <v>5870.0993226372739</v>
      </c>
      <c r="Q13" s="461">
        <f t="shared" si="12"/>
        <v>7170.5367923190151</v>
      </c>
      <c r="R13" s="461">
        <f t="shared" si="12"/>
        <v>8698.4131886652431</v>
      </c>
      <c r="S13" s="461">
        <f t="shared" si="12"/>
        <v>10488.37197703693</v>
      </c>
      <c r="T13" s="461">
        <f t="shared" si="12"/>
        <v>12636.985527419451</v>
      </c>
      <c r="U13" s="461">
        <f t="shared" si="12"/>
        <v>15084.296459255249</v>
      </c>
      <c r="V13" s="461">
        <f t="shared" si="12"/>
        <v>17930.251064812437</v>
      </c>
      <c r="W13" s="461">
        <f t="shared" si="12"/>
        <v>21151.630264899562</v>
      </c>
      <c r="X13" s="461">
        <f t="shared" si="12"/>
        <v>24836.362723112728</v>
      </c>
      <c r="Y13" s="461">
        <f t="shared" si="12"/>
        <v>29038.434537414221</v>
      </c>
      <c r="Z13" s="461">
        <f t="shared" si="12"/>
        <v>33817.334119655919</v>
      </c>
      <c r="AA13" s="461">
        <f t="shared" si="12"/>
        <v>39240.465252573718</v>
      </c>
      <c r="AB13" s="461">
        <f t="shared" si="12"/>
        <v>45246.592535991818</v>
      </c>
      <c r="AC13" s="461">
        <f t="shared" si="12"/>
        <v>51952.288357644247</v>
      </c>
      <c r="AD13" s="461">
        <f t="shared" si="12"/>
        <v>59418.995233514994</v>
      </c>
      <c r="AE13" s="461">
        <f t="shared" si="12"/>
        <v>67712.442747096546</v>
      </c>
      <c r="AF13" s="462">
        <f t="shared" si="12"/>
        <v>76905.423740145125</v>
      </c>
      <c r="AG13" s="468"/>
      <c r="AH13" s="7"/>
      <c r="AI13" s="7"/>
      <c r="AJ13" s="7"/>
      <c r="AK13" s="10"/>
      <c r="AL13" s="10"/>
      <c r="AM13" s="10"/>
      <c r="AN13" s="10"/>
    </row>
    <row r="14" spans="1:40" ht="15">
      <c r="A14" s="1175"/>
      <c r="B14" s="253">
        <v>8</v>
      </c>
      <c r="C14" s="247" t="s">
        <v>414</v>
      </c>
      <c r="D14" s="307">
        <f>'Fin. Data'!D15</f>
        <v>664</v>
      </c>
      <c r="E14" s="305">
        <f>'Fin. Data'!C15</f>
        <v>227</v>
      </c>
      <c r="F14" s="311">
        <f>'Fin. Data'!B15</f>
        <v>131</v>
      </c>
      <c r="G14" s="314">
        <f>AVERAGE(D14:F14)*(1+G5)</f>
        <v>423.81842357884886</v>
      </c>
      <c r="H14" s="312">
        <f t="shared" ref="H14:AF14" si="13">AVERAGE(E14:G14)*(1+H5)</f>
        <v>311.18598629268951</v>
      </c>
      <c r="I14" s="312">
        <f t="shared" si="13"/>
        <v>337.47770169458795</v>
      </c>
      <c r="J14" s="315">
        <f t="shared" si="13"/>
        <v>407.21623552813151</v>
      </c>
      <c r="K14" s="314">
        <f t="shared" si="13"/>
        <v>393.87326607614955</v>
      </c>
      <c r="L14" s="312">
        <f t="shared" si="13"/>
        <v>422.82036304364925</v>
      </c>
      <c r="M14" s="312">
        <f t="shared" si="13"/>
        <v>454.10539719969677</v>
      </c>
      <c r="N14" s="312">
        <f t="shared" si="13"/>
        <v>471.07901115922675</v>
      </c>
      <c r="O14" s="312">
        <f t="shared" si="13"/>
        <v>499.24947000004863</v>
      </c>
      <c r="P14" s="312">
        <f t="shared" si="13"/>
        <v>527.08108013102162</v>
      </c>
      <c r="Q14" s="312">
        <f t="shared" si="13"/>
        <v>554.04153767740991</v>
      </c>
      <c r="R14" s="312">
        <f t="shared" si="13"/>
        <v>584.73767248913759</v>
      </c>
      <c r="S14" s="312">
        <f t="shared" si="13"/>
        <v>616.36830741010067</v>
      </c>
      <c r="T14" s="312">
        <f t="shared" si="13"/>
        <v>649.40458150335985</v>
      </c>
      <c r="U14" s="312">
        <f t="shared" si="13"/>
        <v>684.68890771896133</v>
      </c>
      <c r="V14" s="312">
        <f t="shared" si="13"/>
        <v>702.16624678767187</v>
      </c>
      <c r="W14" s="312">
        <f t="shared" si="13"/>
        <v>733.05350496359756</v>
      </c>
      <c r="X14" s="312">
        <f t="shared" si="13"/>
        <v>763.16711740928304</v>
      </c>
      <c r="Y14" s="312">
        <f t="shared" si="13"/>
        <v>791.41927289779892</v>
      </c>
      <c r="Z14" s="312">
        <f t="shared" si="13"/>
        <v>823.55036229744462</v>
      </c>
      <c r="AA14" s="312">
        <f t="shared" si="13"/>
        <v>832.34786341158429</v>
      </c>
      <c r="AB14" s="312">
        <f t="shared" si="13"/>
        <v>856.56112451238982</v>
      </c>
      <c r="AC14" s="312">
        <f t="shared" si="13"/>
        <v>879.3607725774965</v>
      </c>
      <c r="AD14" s="312">
        <f t="shared" si="13"/>
        <v>898.89441617551472</v>
      </c>
      <c r="AE14" s="312">
        <f t="shared" si="13"/>
        <v>922.18570964289052</v>
      </c>
      <c r="AF14" s="315">
        <f t="shared" si="13"/>
        <v>918.14990545460671</v>
      </c>
      <c r="AG14" s="468"/>
      <c r="AH14" s="7"/>
      <c r="AI14" s="7"/>
      <c r="AJ14" s="7"/>
      <c r="AK14" s="10"/>
      <c r="AL14" s="10"/>
      <c r="AM14" s="10"/>
      <c r="AN14" s="10"/>
    </row>
    <row r="15" spans="1:40" ht="15">
      <c r="A15" s="1175"/>
      <c r="B15" s="253">
        <v>9</v>
      </c>
      <c r="C15" s="233" t="s">
        <v>415</v>
      </c>
      <c r="D15" s="306">
        <f>+D17+D16</f>
        <v>2561</v>
      </c>
      <c r="E15" s="306">
        <f>+E17+E16</f>
        <v>1532</v>
      </c>
      <c r="F15" s="306">
        <f>+F17+F16</f>
        <v>660</v>
      </c>
      <c r="G15" s="322">
        <f>G12+G13+G14</f>
        <v>1381.1021277710347</v>
      </c>
      <c r="H15" s="322">
        <f t="shared" ref="H15:AF15" si="14">H12+H13+H14</f>
        <v>1390.0753454844526</v>
      </c>
      <c r="I15" s="322">
        <f t="shared" si="14"/>
        <v>2018.362594808272</v>
      </c>
      <c r="J15" s="322">
        <f t="shared" si="14"/>
        <v>2748.5287006721592</v>
      </c>
      <c r="K15" s="322">
        <f t="shared" si="14"/>
        <v>4047.7280315668113</v>
      </c>
      <c r="L15" s="322">
        <f t="shared" si="14"/>
        <v>4823.1976825074926</v>
      </c>
      <c r="M15" s="322">
        <f t="shared" si="14"/>
        <v>5979.3664525295844</v>
      </c>
      <c r="N15" s="322">
        <f t="shared" si="14"/>
        <v>7658.6302709794581</v>
      </c>
      <c r="O15" s="322">
        <f t="shared" si="14"/>
        <v>9734.5761989067487</v>
      </c>
      <c r="P15" s="322">
        <f t="shared" si="14"/>
        <v>12181.182750544787</v>
      </c>
      <c r="Q15" s="322">
        <f t="shared" si="14"/>
        <v>15060.034935557156</v>
      </c>
      <c r="R15" s="322">
        <f t="shared" si="14"/>
        <v>18441.39523280404</v>
      </c>
      <c r="S15" s="322">
        <f t="shared" si="14"/>
        <v>22398.026705797616</v>
      </c>
      <c r="T15" s="322">
        <f t="shared" si="14"/>
        <v>27073.61307401189</v>
      </c>
      <c r="U15" s="322">
        <f t="shared" si="14"/>
        <v>32462.162149725544</v>
      </c>
      <c r="V15" s="322">
        <f t="shared" si="14"/>
        <v>38161.556271794587</v>
      </c>
      <c r="W15" s="322">
        <f t="shared" si="14"/>
        <v>44596.702524481661</v>
      </c>
      <c r="X15" s="322">
        <f t="shared" si="14"/>
        <v>51878.70266732759</v>
      </c>
      <c r="Y15" s="322">
        <f t="shared" si="14"/>
        <v>60101.568440824558</v>
      </c>
      <c r="Z15" s="322">
        <f t="shared" si="14"/>
        <v>69375.760898674431</v>
      </c>
      <c r="AA15" s="322">
        <f t="shared" si="14"/>
        <v>78687.92920009885</v>
      </c>
      <c r="AB15" s="322">
        <f t="shared" si="14"/>
        <v>88899.69618770713</v>
      </c>
      <c r="AC15" s="322">
        <f t="shared" si="14"/>
        <v>100131.2229546133</v>
      </c>
      <c r="AD15" s="322">
        <f t="shared" si="14"/>
        <v>112463.80654467092</v>
      </c>
      <c r="AE15" s="322">
        <f t="shared" si="14"/>
        <v>125993.27379480723</v>
      </c>
      <c r="AF15" s="322">
        <f t="shared" si="14"/>
        <v>138986.9331407334</v>
      </c>
      <c r="AG15" s="468"/>
      <c r="AH15" s="7"/>
      <c r="AI15" s="7"/>
      <c r="AJ15" s="7"/>
      <c r="AK15" s="10"/>
      <c r="AL15" s="10"/>
      <c r="AM15" s="10"/>
      <c r="AN15" s="10"/>
    </row>
    <row r="16" spans="1:40" ht="15">
      <c r="A16" s="1175"/>
      <c r="B16" s="253">
        <v>10</v>
      </c>
      <c r="C16" s="247" t="s">
        <v>416</v>
      </c>
      <c r="D16" s="448">
        <f>'Fin. Data'!D21</f>
        <v>-1511</v>
      </c>
      <c r="E16" s="449">
        <f>'Fin. Data'!C21</f>
        <v>88</v>
      </c>
      <c r="F16" s="450">
        <f>'Fin. Data'!B21</f>
        <v>452</v>
      </c>
      <c r="G16" s="426">
        <f>(1*$D$56)*G15</f>
        <v>414.33063833131047</v>
      </c>
      <c r="H16" s="426">
        <f t="shared" ref="H16:I16" si="15">(1*$D$56)*H15</f>
        <v>417.02260364533583</v>
      </c>
      <c r="I16" s="426">
        <f t="shared" si="15"/>
        <v>605.50877844248168</v>
      </c>
      <c r="J16" s="426">
        <f>(1*$D$56)*J15</f>
        <v>824.55861020164787</v>
      </c>
      <c r="K16" s="390">
        <f>(1*$E$56)*K15</f>
        <v>1649.4491728634757</v>
      </c>
      <c r="L16" s="390">
        <f t="shared" ref="L16:AF16" si="16">(1*$E$56)*L15</f>
        <v>1965.4530556218033</v>
      </c>
      <c r="M16" s="390">
        <f t="shared" si="16"/>
        <v>2436.591829405806</v>
      </c>
      <c r="N16" s="390">
        <f t="shared" si="16"/>
        <v>3120.8918354241296</v>
      </c>
      <c r="O16" s="390">
        <f t="shared" si="16"/>
        <v>3966.8398010545002</v>
      </c>
      <c r="P16" s="390">
        <f t="shared" si="16"/>
        <v>4963.8319708470008</v>
      </c>
      <c r="Q16" s="390">
        <f t="shared" si="16"/>
        <v>6136.9642362395416</v>
      </c>
      <c r="R16" s="390">
        <f t="shared" si="16"/>
        <v>7514.8685573676466</v>
      </c>
      <c r="S16" s="390">
        <f t="shared" si="16"/>
        <v>9127.1958826125301</v>
      </c>
      <c r="T16" s="390">
        <f t="shared" si="16"/>
        <v>11032.497327659847</v>
      </c>
      <c r="U16" s="390">
        <f t="shared" si="16"/>
        <v>13228.331076013161</v>
      </c>
      <c r="V16" s="390">
        <f t="shared" si="16"/>
        <v>15550.834180756296</v>
      </c>
      <c r="W16" s="390">
        <f t="shared" si="16"/>
        <v>18173.156278726277</v>
      </c>
      <c r="X16" s="390">
        <f t="shared" si="16"/>
        <v>21140.571336935995</v>
      </c>
      <c r="Y16" s="390">
        <f t="shared" si="16"/>
        <v>24491.389139636009</v>
      </c>
      <c r="Z16" s="390">
        <f t="shared" si="16"/>
        <v>28270.622566209833</v>
      </c>
      <c r="AA16" s="390">
        <f t="shared" si="16"/>
        <v>32065.331149040285</v>
      </c>
      <c r="AB16" s="390">
        <f t="shared" si="16"/>
        <v>36226.626196490659</v>
      </c>
      <c r="AC16" s="390">
        <f t="shared" si="16"/>
        <v>40803.47335400492</v>
      </c>
      <c r="AD16" s="390">
        <f t="shared" si="16"/>
        <v>45829.001166953407</v>
      </c>
      <c r="AE16" s="390">
        <f t="shared" si="16"/>
        <v>51342.259071383953</v>
      </c>
      <c r="AF16" s="390">
        <f t="shared" si="16"/>
        <v>56637.175254848866</v>
      </c>
      <c r="AG16" s="468"/>
      <c r="AH16" s="7"/>
      <c r="AI16" s="7"/>
      <c r="AJ16" s="7"/>
      <c r="AK16" s="10"/>
      <c r="AL16" s="10"/>
      <c r="AM16" s="10"/>
      <c r="AN16" s="10"/>
    </row>
    <row r="17" spans="1:40" ht="16" thickBot="1">
      <c r="A17" s="1175"/>
      <c r="B17" s="254">
        <v>11</v>
      </c>
      <c r="C17" s="260" t="s">
        <v>417</v>
      </c>
      <c r="D17" s="308">
        <f>'Fin. Data'!D23</f>
        <v>4072</v>
      </c>
      <c r="E17" s="643">
        <f>'Fin. Data'!C23</f>
        <v>1444</v>
      </c>
      <c r="F17" s="643">
        <f>'Fin. Data'!B23</f>
        <v>208</v>
      </c>
      <c r="G17" s="318">
        <f>+G15-G16</f>
        <v>966.77148943972429</v>
      </c>
      <c r="H17" s="318">
        <f t="shared" ref="H17:AF17" si="17">+H15-H16</f>
        <v>973.05274183911672</v>
      </c>
      <c r="I17" s="318">
        <f t="shared" si="17"/>
        <v>1412.8538163657904</v>
      </c>
      <c r="J17" s="318">
        <f t="shared" si="17"/>
        <v>1923.9700904705114</v>
      </c>
      <c r="K17" s="318">
        <f t="shared" si="17"/>
        <v>2398.2788587033356</v>
      </c>
      <c r="L17" s="318">
        <f t="shared" si="17"/>
        <v>2857.7446268856893</v>
      </c>
      <c r="M17" s="318">
        <f t="shared" si="17"/>
        <v>3542.7746231237784</v>
      </c>
      <c r="N17" s="318">
        <f t="shared" si="17"/>
        <v>4537.7384355553286</v>
      </c>
      <c r="O17" s="318">
        <f t="shared" si="17"/>
        <v>5767.736397852248</v>
      </c>
      <c r="P17" s="318">
        <f t="shared" si="17"/>
        <v>7217.3507796977865</v>
      </c>
      <c r="Q17" s="318">
        <f t="shared" si="17"/>
        <v>8923.0706993176136</v>
      </c>
      <c r="R17" s="318">
        <f t="shared" si="17"/>
        <v>10926.526675436393</v>
      </c>
      <c r="S17" s="318">
        <f t="shared" si="17"/>
        <v>13270.830823185086</v>
      </c>
      <c r="T17" s="318">
        <f t="shared" si="17"/>
        <v>16041.115746352043</v>
      </c>
      <c r="U17" s="318">
        <f t="shared" si="17"/>
        <v>19233.831073712383</v>
      </c>
      <c r="V17" s="318">
        <f t="shared" si="17"/>
        <v>22610.722091038289</v>
      </c>
      <c r="W17" s="318">
        <f t="shared" si="17"/>
        <v>26423.546245755384</v>
      </c>
      <c r="X17" s="318">
        <f t="shared" si="17"/>
        <v>30738.131330391596</v>
      </c>
      <c r="Y17" s="318">
        <f t="shared" si="17"/>
        <v>35610.179301188546</v>
      </c>
      <c r="Z17" s="318">
        <f t="shared" si="17"/>
        <v>41105.138332464601</v>
      </c>
      <c r="AA17" s="318">
        <f t="shared" si="17"/>
        <v>46622.598051058565</v>
      </c>
      <c r="AB17" s="318">
        <f t="shared" si="17"/>
        <v>52673.069991216471</v>
      </c>
      <c r="AC17" s="318">
        <f t="shared" si="17"/>
        <v>59327.749600608382</v>
      </c>
      <c r="AD17" s="318">
        <f t="shared" si="17"/>
        <v>66634.805377717508</v>
      </c>
      <c r="AE17" s="318">
        <f t="shared" si="17"/>
        <v>74651.014723423286</v>
      </c>
      <c r="AF17" s="318">
        <f t="shared" si="17"/>
        <v>82349.757885884523</v>
      </c>
      <c r="AG17" s="468"/>
      <c r="AH17" s="7"/>
      <c r="AI17" s="7"/>
      <c r="AJ17" s="7"/>
      <c r="AK17" s="10"/>
      <c r="AL17" s="10"/>
      <c r="AM17" s="10"/>
      <c r="AN17" s="10"/>
    </row>
    <row r="18" spans="1:40" ht="16" thickBot="1">
      <c r="A18" s="237"/>
      <c r="B18" s="249"/>
      <c r="C18" s="250" t="s">
        <v>418</v>
      </c>
      <c r="D18" s="258" t="s">
        <v>418</v>
      </c>
      <c r="E18" s="258" t="s">
        <v>418</v>
      </c>
      <c r="F18" s="258" t="s">
        <v>418</v>
      </c>
      <c r="G18" s="255" t="s">
        <v>418</v>
      </c>
      <c r="H18" s="255" t="s">
        <v>418</v>
      </c>
      <c r="I18" s="255" t="s">
        <v>418</v>
      </c>
      <c r="J18" s="255" t="s">
        <v>418</v>
      </c>
      <c r="K18" s="255" t="s">
        <v>418</v>
      </c>
      <c r="L18" s="255" t="s">
        <v>418</v>
      </c>
      <c r="M18" s="255" t="s">
        <v>418</v>
      </c>
      <c r="N18" s="255" t="s">
        <v>418</v>
      </c>
      <c r="O18" s="255" t="s">
        <v>418</v>
      </c>
      <c r="P18" s="255" t="s">
        <v>418</v>
      </c>
      <c r="Q18" s="255" t="s">
        <v>418</v>
      </c>
      <c r="R18" s="255" t="s">
        <v>418</v>
      </c>
      <c r="S18" s="255" t="s">
        <v>418</v>
      </c>
      <c r="T18" s="255" t="s">
        <v>418</v>
      </c>
      <c r="U18" s="255" t="s">
        <v>418</v>
      </c>
      <c r="V18" s="255" t="s">
        <v>418</v>
      </c>
      <c r="W18" s="255" t="s">
        <v>418</v>
      </c>
      <c r="X18" s="255" t="s">
        <v>418</v>
      </c>
      <c r="Y18" s="255" t="s">
        <v>418</v>
      </c>
      <c r="Z18" s="255" t="s">
        <v>418</v>
      </c>
      <c r="AA18" s="255" t="s">
        <v>418</v>
      </c>
      <c r="AB18" s="255" t="s">
        <v>418</v>
      </c>
      <c r="AC18" s="255" t="s">
        <v>418</v>
      </c>
      <c r="AD18" s="255" t="s">
        <v>418</v>
      </c>
      <c r="AE18" s="255" t="s">
        <v>418</v>
      </c>
      <c r="AF18" s="265" t="s">
        <v>418</v>
      </c>
      <c r="AG18" s="468"/>
      <c r="AH18" s="7"/>
      <c r="AI18" s="7"/>
      <c r="AJ18" s="7"/>
      <c r="AK18" s="10"/>
      <c r="AL18" s="10"/>
      <c r="AM18" s="10"/>
      <c r="AN18" s="10"/>
    </row>
    <row r="19" spans="1:40" ht="15">
      <c r="A19" s="1176" t="s">
        <v>419</v>
      </c>
      <c r="B19" s="226">
        <v>12</v>
      </c>
      <c r="C19" s="402" t="s">
        <v>420</v>
      </c>
      <c r="D19" s="444">
        <f>+D22-(D21+D20)</f>
        <v>-415</v>
      </c>
      <c r="E19" s="444">
        <f t="shared" ref="E19:F19" si="18">+E22-(E21+E20)</f>
        <v>2972</v>
      </c>
      <c r="F19" s="444">
        <f t="shared" si="18"/>
        <v>4589</v>
      </c>
      <c r="G19" s="444">
        <f>G17+G10+G9</f>
        <v>3893.3934922314611</v>
      </c>
      <c r="H19" s="444">
        <f t="shared" ref="H19:AF19" si="19">H17+H10+H9</f>
        <v>4482.6602368521962</v>
      </c>
      <c r="I19" s="444">
        <f t="shared" si="19"/>
        <v>5618.5957714525057</v>
      </c>
      <c r="J19" s="444">
        <f t="shared" si="19"/>
        <v>6943.5526737737819</v>
      </c>
      <c r="K19" s="444">
        <f t="shared" si="19"/>
        <v>6544.0074435381102</v>
      </c>
      <c r="L19" s="444">
        <f t="shared" si="19"/>
        <v>7645.7771749653166</v>
      </c>
      <c r="M19" s="444">
        <f t="shared" si="19"/>
        <v>9046.3886339489327</v>
      </c>
      <c r="N19" s="444">
        <f t="shared" si="19"/>
        <v>10837.855719427325</v>
      </c>
      <c r="O19" s="444">
        <f t="shared" si="19"/>
        <v>12953.633336447539</v>
      </c>
      <c r="P19" s="444">
        <f t="shared" si="19"/>
        <v>15387.42455328448</v>
      </c>
      <c r="Q19" s="444">
        <f t="shared" si="19"/>
        <v>18185.664800681439</v>
      </c>
      <c r="R19" s="444">
        <f t="shared" si="19"/>
        <v>21401.818340632832</v>
      </c>
      <c r="S19" s="444">
        <f t="shared" si="19"/>
        <v>25092.21678423573</v>
      </c>
      <c r="T19" s="444">
        <f t="shared" si="19"/>
        <v>29356.666375800851</v>
      </c>
      <c r="U19" s="444">
        <f t="shared" si="19"/>
        <v>34207.904485083156</v>
      </c>
      <c r="V19" s="444">
        <f t="shared" si="19"/>
        <v>39425.755790342446</v>
      </c>
      <c r="W19" s="444">
        <f t="shared" si="19"/>
        <v>45226.81705602759</v>
      </c>
      <c r="X19" s="444">
        <f t="shared" si="19"/>
        <v>51688.698220509308</v>
      </c>
      <c r="Y19" s="444">
        <f t="shared" si="19"/>
        <v>58879.825957539389</v>
      </c>
      <c r="Z19" s="444">
        <f t="shared" si="19"/>
        <v>66879.391136347229</v>
      </c>
      <c r="AA19" s="444">
        <f t="shared" si="19"/>
        <v>75101.825494275516</v>
      </c>
      <c r="AB19" s="444">
        <f t="shared" si="19"/>
        <v>83992.520805734472</v>
      </c>
      <c r="AC19" s="444">
        <f t="shared" si="19"/>
        <v>93629.434954992481</v>
      </c>
      <c r="AD19" s="444">
        <f t="shared" si="19"/>
        <v>104067.83699896102</v>
      </c>
      <c r="AE19" s="444">
        <f t="shared" si="19"/>
        <v>115371.95992486918</v>
      </c>
      <c r="AF19" s="444">
        <f t="shared" si="19"/>
        <v>126523.01234654291</v>
      </c>
      <c r="AG19" s="468"/>
      <c r="AH19" s="7"/>
      <c r="AI19" s="7"/>
      <c r="AJ19" s="7"/>
      <c r="AK19" s="10"/>
      <c r="AL19" s="10"/>
      <c r="AM19" s="10"/>
      <c r="AN19" s="10"/>
    </row>
    <row r="20" spans="1:40" ht="15">
      <c r="A20" s="1177"/>
      <c r="B20" s="226">
        <v>13</v>
      </c>
      <c r="C20" s="247" t="s">
        <v>421</v>
      </c>
      <c r="D20" s="551">
        <v>1785</v>
      </c>
      <c r="E20" s="271">
        <v>2190</v>
      </c>
      <c r="F20" s="551">
        <v>2779</v>
      </c>
      <c r="G20" s="444">
        <f>G11</f>
        <v>3319.2526615834417</v>
      </c>
      <c r="H20" s="465">
        <f t="shared" ref="H20:AF20" si="20">H11</f>
        <v>3963.4711159194362</v>
      </c>
      <c r="I20" s="465">
        <f t="shared" si="20"/>
        <v>4633.6361836718243</v>
      </c>
      <c r="J20" s="466">
        <f t="shared" si="20"/>
        <v>5278.1072891734775</v>
      </c>
      <c r="K20" s="444">
        <f>K11</f>
        <v>4511.5931266253237</v>
      </c>
      <c r="L20" s="465">
        <f t="shared" si="20"/>
        <v>5026.2999975177136</v>
      </c>
      <c r="M20" s="465">
        <f t="shared" si="20"/>
        <v>5594.7011036001195</v>
      </c>
      <c r="N20" s="465">
        <f t="shared" si="20"/>
        <v>6221.7853705360831</v>
      </c>
      <c r="O20" s="465">
        <f t="shared" si="20"/>
        <v>6912.9348380471183</v>
      </c>
      <c r="P20" s="465">
        <f t="shared" si="20"/>
        <v>7673.9479803252752</v>
      </c>
      <c r="Q20" s="465">
        <f t="shared" si="20"/>
        <v>8518.0822581610555</v>
      </c>
      <c r="R20" s="465">
        <f t="shared" si="20"/>
        <v>9455.0713065587715</v>
      </c>
      <c r="S20" s="465">
        <f t="shared" si="20"/>
        <v>10495.129150280238</v>
      </c>
      <c r="T20" s="465">
        <f t="shared" si="20"/>
        <v>11649.593356811065</v>
      </c>
      <c r="U20" s="465">
        <f t="shared" si="20"/>
        <v>12931.048626060283</v>
      </c>
      <c r="V20" s="465">
        <f t="shared" si="20"/>
        <v>13965.532516145107</v>
      </c>
      <c r="W20" s="465">
        <f t="shared" si="20"/>
        <v>15082.775117436717</v>
      </c>
      <c r="X20" s="465">
        <f t="shared" si="20"/>
        <v>16289.397126831655</v>
      </c>
      <c r="Y20" s="465">
        <f t="shared" si="20"/>
        <v>17592.548896978187</v>
      </c>
      <c r="Z20" s="465">
        <f t="shared" si="20"/>
        <v>18999.952808736445</v>
      </c>
      <c r="AA20" s="465">
        <f t="shared" si="20"/>
        <v>19949.950449173266</v>
      </c>
      <c r="AB20" s="465">
        <f t="shared" si="20"/>
        <v>20947.447971631929</v>
      </c>
      <c r="AC20" s="465">
        <f t="shared" si="20"/>
        <v>21994.820370213525</v>
      </c>
      <c r="AD20" s="465">
        <f t="shared" si="20"/>
        <v>23094.561388724203</v>
      </c>
      <c r="AE20" s="465">
        <f t="shared" si="20"/>
        <v>24249.289458160416</v>
      </c>
      <c r="AF20" s="467">
        <f t="shared" si="20"/>
        <v>24734.275247323621</v>
      </c>
      <c r="AG20" s="468"/>
      <c r="AH20" s="7"/>
      <c r="AI20" s="7"/>
      <c r="AJ20" s="7"/>
      <c r="AK20" s="10"/>
      <c r="AL20" s="10"/>
      <c r="AM20" s="10"/>
      <c r="AN20" s="10"/>
    </row>
    <row r="21" spans="1:40" s="816" customFormat="1" ht="15">
      <c r="A21" s="1177"/>
      <c r="B21" s="226">
        <v>14</v>
      </c>
      <c r="C21" s="247" t="s">
        <v>422</v>
      </c>
      <c r="D21" s="348">
        <f>+Assumptions!D151</f>
        <v>3431</v>
      </c>
      <c r="E21" s="348">
        <f>+Assumptions!E151</f>
        <v>838</v>
      </c>
      <c r="F21" s="348">
        <f>+Assumptions!F151</f>
        <v>-257</v>
      </c>
      <c r="G21" s="348">
        <f>+Assumptions!G151</f>
        <v>1390.9344728664028</v>
      </c>
      <c r="H21" s="348">
        <f>+Assumptions!H151</f>
        <v>1048.630655711585</v>
      </c>
      <c r="I21" s="348">
        <f>+Assumptions!I151</f>
        <v>1090.865419489608</v>
      </c>
      <c r="J21" s="348">
        <f>+Assumptions!J151</f>
        <v>1049.041910241358</v>
      </c>
      <c r="K21" s="348">
        <f>+Assumptions!K151</f>
        <v>1023.1188665010504</v>
      </c>
      <c r="L21" s="348">
        <f>+Assumptions!L151</f>
        <v>1651.2427631102801</v>
      </c>
      <c r="M21" s="348">
        <f>+Assumptions!M151</f>
        <v>1274.0012652800615</v>
      </c>
      <c r="N21" s="348">
        <f>+Assumptions!N151</f>
        <v>1405.5323625598612</v>
      </c>
      <c r="O21" s="348">
        <f>+Assumptions!O151</f>
        <v>1549.1266408250849</v>
      </c>
      <c r="P21" s="348">
        <f>+Assumptions!P151</f>
        <v>1705.7174867928006</v>
      </c>
      <c r="Q21" s="348">
        <f>+Assumptions!Q151</f>
        <v>1892.0233027715985</v>
      </c>
      <c r="R21" s="348">
        <f>+Assumptions!R151</f>
        <v>2100.1458660764692</v>
      </c>
      <c r="S21" s="348">
        <f>+Assumptions!S151</f>
        <v>3488.6858148180036</v>
      </c>
      <c r="T21" s="348">
        <f>+Assumptions!T151</f>
        <v>2714.9173509748616</v>
      </c>
      <c r="U21" s="348">
        <f>+Assumptions!U151</f>
        <v>3013.5582595821033</v>
      </c>
      <c r="V21" s="348">
        <f>+Assumptions!V151</f>
        <v>2432.7633950080781</v>
      </c>
      <c r="W21" s="348">
        <f>+Assumptions!W151</f>
        <v>2627.3844666087462</v>
      </c>
      <c r="X21" s="348">
        <f>+Assumptions!X151</f>
        <v>2837.5752239374269</v>
      </c>
      <c r="Y21" s="348">
        <f>+Assumptions!Y151</f>
        <v>3064.5812418524365</v>
      </c>
      <c r="Z21" s="348">
        <f>+Assumptions!Z151</f>
        <v>3309.7477412006338</v>
      </c>
      <c r="AA21" s="348">
        <f>+Assumptions!AA151</f>
        <v>2234.0797253104174</v>
      </c>
      <c r="AB21" s="348">
        <f>+Assumptions!AB151</f>
        <v>2345.7837115759467</v>
      </c>
      <c r="AC21" s="348">
        <f>+Assumptions!AC151</f>
        <v>2463.0728971547433</v>
      </c>
      <c r="AD21" s="348">
        <f>+Assumptions!AD151</f>
        <v>2586.2265420124677</v>
      </c>
      <c r="AE21" s="348">
        <f>+Assumptions!AE151</f>
        <v>2715.5378691130973</v>
      </c>
      <c r="AF21" s="348">
        <f>+Assumptions!AF151</f>
        <v>1140.5259050275199</v>
      </c>
      <c r="AG21" s="813"/>
      <c r="AH21" s="814"/>
      <c r="AI21" s="814"/>
      <c r="AJ21" s="814"/>
      <c r="AK21" s="815"/>
      <c r="AL21" s="815"/>
      <c r="AM21" s="815"/>
      <c r="AN21" s="815"/>
    </row>
    <row r="22" spans="1:40" ht="15">
      <c r="A22" s="1177"/>
      <c r="B22" s="226">
        <v>15</v>
      </c>
      <c r="C22" s="256" t="s">
        <v>423</v>
      </c>
      <c r="D22" s="811">
        <f>+'Fin. Data'!D67</f>
        <v>4801</v>
      </c>
      <c r="E22" s="812">
        <f>+'Fin. Data'!C67</f>
        <v>6000</v>
      </c>
      <c r="F22" s="790">
        <f>+'Fin. Data'!B67</f>
        <v>7111</v>
      </c>
      <c r="G22" s="418">
        <f>G19+G20+G21</f>
        <v>8603.5806266813051</v>
      </c>
      <c r="H22" s="419">
        <f t="shared" ref="H22:AF22" si="21">H19+H20+H21</f>
        <v>9494.7620084832161</v>
      </c>
      <c r="I22" s="419">
        <f t="shared" si="21"/>
        <v>11343.097374613939</v>
      </c>
      <c r="J22" s="420">
        <f t="shared" si="21"/>
        <v>13270.701873188616</v>
      </c>
      <c r="K22" s="418">
        <f t="shared" si="21"/>
        <v>12078.719436664485</v>
      </c>
      <c r="L22" s="419">
        <f t="shared" si="21"/>
        <v>14323.31993559331</v>
      </c>
      <c r="M22" s="419">
        <f t="shared" si="21"/>
        <v>15915.091002829115</v>
      </c>
      <c r="N22" s="419">
        <f t="shared" si="21"/>
        <v>18465.173452523268</v>
      </c>
      <c r="O22" s="419">
        <f t="shared" si="21"/>
        <v>21415.694815319741</v>
      </c>
      <c r="P22" s="419">
        <f t="shared" si="21"/>
        <v>24767.090020402557</v>
      </c>
      <c r="Q22" s="419">
        <f t="shared" si="21"/>
        <v>28595.770361614093</v>
      </c>
      <c r="R22" s="419">
        <f t="shared" si="21"/>
        <v>32957.035513268071</v>
      </c>
      <c r="S22" s="419">
        <f t="shared" si="21"/>
        <v>39076.031749333968</v>
      </c>
      <c r="T22" s="419">
        <f t="shared" si="21"/>
        <v>43721.177083586779</v>
      </c>
      <c r="U22" s="419">
        <f t="shared" si="21"/>
        <v>50152.511370725544</v>
      </c>
      <c r="V22" s="419">
        <f t="shared" si="21"/>
        <v>55824.051701495628</v>
      </c>
      <c r="W22" s="419">
        <f t="shared" si="21"/>
        <v>62936.976640073051</v>
      </c>
      <c r="X22" s="419">
        <f t="shared" si="21"/>
        <v>70815.670571278388</v>
      </c>
      <c r="Y22" s="419">
        <f t="shared" si="21"/>
        <v>79536.956096370006</v>
      </c>
      <c r="Z22" s="419">
        <f t="shared" si="21"/>
        <v>89189.091686284315</v>
      </c>
      <c r="AA22" s="419">
        <f t="shared" si="21"/>
        <v>97285.855668759206</v>
      </c>
      <c r="AB22" s="419">
        <f t="shared" si="21"/>
        <v>107285.75248894235</v>
      </c>
      <c r="AC22" s="419">
        <f t="shared" si="21"/>
        <v>118087.32822236075</v>
      </c>
      <c r="AD22" s="419">
        <f t="shared" si="21"/>
        <v>129748.62492969769</v>
      </c>
      <c r="AE22" s="419">
        <f t="shared" si="21"/>
        <v>142336.78725214268</v>
      </c>
      <c r="AF22" s="421">
        <f t="shared" si="21"/>
        <v>152397.81349889404</v>
      </c>
      <c r="AG22" s="468"/>
      <c r="AH22" s="7"/>
      <c r="AI22" s="7"/>
      <c r="AJ22" s="7"/>
      <c r="AK22" s="10"/>
      <c r="AL22" s="10"/>
      <c r="AM22" s="10"/>
      <c r="AN22" s="10"/>
    </row>
    <row r="23" spans="1:40" ht="15">
      <c r="A23" s="1177"/>
      <c r="B23" s="226">
        <v>16</v>
      </c>
      <c r="C23" s="247" t="s">
        <v>424</v>
      </c>
      <c r="D23" s="295">
        <f>'Fin. Data'!D32</f>
        <v>-710</v>
      </c>
      <c r="E23" s="294">
        <f>'Fin. Data'!C32</f>
        <v>-717</v>
      </c>
      <c r="F23" s="553">
        <f>'Fin. Data'!B32</f>
        <v>-798</v>
      </c>
      <c r="G23" s="316">
        <f>G6*$D$62</f>
        <v>-1313.1317816435374</v>
      </c>
      <c r="H23" s="313">
        <f t="shared" ref="H23:J23" si="22">H6*$D$62</f>
        <v>-1567.9914783760887</v>
      </c>
      <c r="I23" s="313">
        <f t="shared" si="22"/>
        <v>-1833.1159323226427</v>
      </c>
      <c r="J23" s="400">
        <f t="shared" si="22"/>
        <v>-2088.0755805530525</v>
      </c>
      <c r="K23" s="316">
        <f t="shared" ref="K23:AF23" si="23">K6*$E$62</f>
        <v>-2075.2013277112819</v>
      </c>
      <c r="L23" s="313">
        <f t="shared" si="23"/>
        <v>-2311.9514848906729</v>
      </c>
      <c r="M23" s="313">
        <f t="shared" si="23"/>
        <v>-2573.3994250991182</v>
      </c>
      <c r="N23" s="313">
        <f t="shared" si="23"/>
        <v>-2861.8399087173207</v>
      </c>
      <c r="O23" s="313">
        <f t="shared" si="23"/>
        <v>-3179.7485171335866</v>
      </c>
      <c r="P23" s="313">
        <f t="shared" si="23"/>
        <v>-3529.7923794538242</v>
      </c>
      <c r="Q23" s="313">
        <f t="shared" si="23"/>
        <v>-3918.069541193745</v>
      </c>
      <c r="R23" s="313">
        <f t="shared" si="23"/>
        <v>-4349.0571907250569</v>
      </c>
      <c r="S23" s="313">
        <f t="shared" si="23"/>
        <v>-4827.4534817048134</v>
      </c>
      <c r="T23" s="313">
        <f t="shared" si="23"/>
        <v>-5358.4733646923441</v>
      </c>
      <c r="U23" s="313">
        <f t="shared" si="23"/>
        <v>-5947.9054348085019</v>
      </c>
      <c r="V23" s="313">
        <f t="shared" si="23"/>
        <v>-6423.7378695931829</v>
      </c>
      <c r="W23" s="313">
        <f t="shared" si="23"/>
        <v>-6937.6368991606378</v>
      </c>
      <c r="X23" s="313">
        <f t="shared" si="23"/>
        <v>-7492.6478510934894</v>
      </c>
      <c r="Y23" s="313">
        <f t="shared" si="23"/>
        <v>-8092.0596791809685</v>
      </c>
      <c r="Z23" s="313">
        <f t="shared" si="23"/>
        <v>-8739.4244535154467</v>
      </c>
      <c r="AA23" s="313">
        <f t="shared" si="23"/>
        <v>-9176.3956761912177</v>
      </c>
      <c r="AB23" s="313">
        <f t="shared" si="23"/>
        <v>-9635.2154600007798</v>
      </c>
      <c r="AC23" s="313">
        <f t="shared" si="23"/>
        <v>-10116.97623300082</v>
      </c>
      <c r="AD23" s="313">
        <f t="shared" si="23"/>
        <v>-10622.825044650861</v>
      </c>
      <c r="AE23" s="313">
        <f t="shared" si="23"/>
        <v>-11153.966296883404</v>
      </c>
      <c r="AF23" s="317">
        <f t="shared" si="23"/>
        <v>-11377.045622821071</v>
      </c>
      <c r="AG23" s="469">
        <f>SUM(D23:AF23)</f>
        <v>-149728.13791511746</v>
      </c>
      <c r="AH23" s="7"/>
      <c r="AI23" s="7"/>
      <c r="AJ23" s="7"/>
      <c r="AK23" s="10"/>
      <c r="AL23" s="10"/>
      <c r="AM23" s="10"/>
      <c r="AN23" s="10"/>
    </row>
    <row r="24" spans="1:40" ht="15">
      <c r="A24" s="1177"/>
      <c r="B24" s="226">
        <v>17</v>
      </c>
      <c r="C24" s="247" t="s">
        <v>425</v>
      </c>
      <c r="D24" s="275">
        <f>Inputs!D66</f>
        <v>-1281</v>
      </c>
      <c r="E24" s="274">
        <f>'Fin. Data'!C33</f>
        <v>-14876</v>
      </c>
      <c r="F24" s="552">
        <f>'Fin. Data'!B33</f>
        <v>-439</v>
      </c>
      <c r="G24" s="316">
        <f>G6*$D$63</f>
        <v>-1246.3316966903799</v>
      </c>
      <c r="H24" s="313">
        <f t="shared" ref="H24:J24" si="24">H6*$D$63</f>
        <v>-1488.226472741808</v>
      </c>
      <c r="I24" s="313">
        <f t="shared" si="24"/>
        <v>-1739.8638294340233</v>
      </c>
      <c r="J24" s="400">
        <f t="shared" si="24"/>
        <v>-1981.8534723690761</v>
      </c>
      <c r="K24" s="316">
        <f t="shared" ref="K24:AF24" si="25">K6*$E$63</f>
        <v>-1843.37550654183</v>
      </c>
      <c r="L24" s="313">
        <f t="shared" si="25"/>
        <v>-2053.6777240118531</v>
      </c>
      <c r="M24" s="313">
        <f t="shared" si="25"/>
        <v>-2285.9186746995601</v>
      </c>
      <c r="N24" s="313">
        <f t="shared" si="25"/>
        <v>-2542.1367656851157</v>
      </c>
      <c r="O24" s="313">
        <f t="shared" si="25"/>
        <v>-2824.53102509881</v>
      </c>
      <c r="P24" s="313">
        <f t="shared" si="25"/>
        <v>-3135.4706305240238</v>
      </c>
      <c r="Q24" s="313">
        <f t="shared" si="25"/>
        <v>-3480.3723998816668</v>
      </c>
      <c r="R24" s="313">
        <f t="shared" si="25"/>
        <v>-3863.2133638686505</v>
      </c>
      <c r="S24" s="313">
        <f t="shared" si="25"/>
        <v>-4288.1668338942027</v>
      </c>
      <c r="T24" s="313">
        <f t="shared" si="25"/>
        <v>-4759.8651856225651</v>
      </c>
      <c r="U24" s="313">
        <f t="shared" si="25"/>
        <v>-5283.4503560410476</v>
      </c>
      <c r="V24" s="313">
        <f t="shared" si="25"/>
        <v>-5706.126384524332</v>
      </c>
      <c r="W24" s="313">
        <f t="shared" si="25"/>
        <v>-6162.6164952862782</v>
      </c>
      <c r="X24" s="313">
        <f t="shared" si="25"/>
        <v>-6655.6258149091818</v>
      </c>
      <c r="Y24" s="313">
        <f t="shared" si="25"/>
        <v>-7188.0758801019156</v>
      </c>
      <c r="Z24" s="313">
        <f t="shared" si="25"/>
        <v>-7763.1219505100698</v>
      </c>
      <c r="AA24" s="313">
        <f t="shared" si="25"/>
        <v>-8151.2780480355723</v>
      </c>
      <c r="AB24" s="313">
        <f t="shared" si="25"/>
        <v>-8558.8419504373524</v>
      </c>
      <c r="AC24" s="313">
        <f t="shared" si="25"/>
        <v>-8986.7840479592196</v>
      </c>
      <c r="AD24" s="313">
        <f t="shared" si="25"/>
        <v>-9436.123250357181</v>
      </c>
      <c r="AE24" s="313">
        <f t="shared" si="25"/>
        <v>-9907.9294128750407</v>
      </c>
      <c r="AF24" s="317">
        <f t="shared" si="25"/>
        <v>-10106.088001132541</v>
      </c>
      <c r="AG24" s="468"/>
      <c r="AH24" s="470">
        <f>AG9-AG23</f>
        <v>593302.41661493073</v>
      </c>
      <c r="AI24" s="7"/>
      <c r="AJ24" s="7"/>
      <c r="AK24" s="10"/>
      <c r="AL24" s="10"/>
      <c r="AM24" s="10"/>
      <c r="AN24" s="10"/>
    </row>
    <row r="25" spans="1:40" ht="15">
      <c r="A25" s="1177"/>
      <c r="B25" s="226">
        <v>18</v>
      </c>
      <c r="C25" s="247" t="s">
        <v>426</v>
      </c>
      <c r="D25" s="275">
        <f>Inputs!D67</f>
        <v>-1980</v>
      </c>
      <c r="E25" s="274">
        <f>Inputs!C67</f>
        <v>1057</v>
      </c>
      <c r="F25" s="552">
        <f>Inputs!B67</f>
        <v>-752</v>
      </c>
      <c r="G25" s="316">
        <f>(1+G5)*AVERAGE(D25:F25)</f>
        <v>-694.61434392815249</v>
      </c>
      <c r="H25" s="313">
        <f t="shared" ref="H25:AF25" si="26">(1+H5)*AVERAGE(E25:G25)</f>
        <v>-155.0775988803922</v>
      </c>
      <c r="I25" s="313">
        <f t="shared" si="26"/>
        <v>-624.1715509993179</v>
      </c>
      <c r="J25" s="400">
        <f t="shared" si="26"/>
        <v>-559.61879192030881</v>
      </c>
      <c r="K25" s="316">
        <f t="shared" si="26"/>
        <v>-499.4358518776495</v>
      </c>
      <c r="L25" s="313">
        <f t="shared" si="26"/>
        <v>-625.08590508025179</v>
      </c>
      <c r="M25" s="313">
        <f t="shared" si="26"/>
        <v>-624.86408107222076</v>
      </c>
      <c r="N25" s="313">
        <f t="shared" si="26"/>
        <v>-648.48881187920881</v>
      </c>
      <c r="O25" s="313">
        <f t="shared" si="26"/>
        <v>-703.10920543603459</v>
      </c>
      <c r="P25" s="313">
        <f t="shared" si="26"/>
        <v>-731.3472344930824</v>
      </c>
      <c r="Q25" s="313">
        <f t="shared" si="26"/>
        <v>-770.68974316908066</v>
      </c>
      <c r="R25" s="313">
        <f t="shared" si="26"/>
        <v>-815.9040877463334</v>
      </c>
      <c r="S25" s="313">
        <f t="shared" si="26"/>
        <v>-857.63819420114373</v>
      </c>
      <c r="T25" s="313">
        <f t="shared" si="26"/>
        <v>-904.3658492931263</v>
      </c>
      <c r="U25" s="313">
        <f t="shared" si="26"/>
        <v>-953.82600855902331</v>
      </c>
      <c r="V25" s="313">
        <f t="shared" si="26"/>
        <v>-977.69881873918575</v>
      </c>
      <c r="W25" s="313">
        <f t="shared" si="26"/>
        <v>-1020.9206435728807</v>
      </c>
      <c r="X25" s="313">
        <f t="shared" si="26"/>
        <v>-1062.8803695135923</v>
      </c>
      <c r="Y25" s="313">
        <f t="shared" si="26"/>
        <v>-1102.1399394572372</v>
      </c>
      <c r="Z25" s="313">
        <f t="shared" si="26"/>
        <v>-1146.9387429157357</v>
      </c>
      <c r="AA25" s="313">
        <f t="shared" si="26"/>
        <v>-1159.1856681602978</v>
      </c>
      <c r="AB25" s="313">
        <f t="shared" si="26"/>
        <v>-1192.892522686645</v>
      </c>
      <c r="AC25" s="313">
        <f t="shared" si="26"/>
        <v>-1224.6559268169376</v>
      </c>
      <c r="AD25" s="313">
        <f t="shared" si="26"/>
        <v>-1251.856941182358</v>
      </c>
      <c r="AE25" s="313">
        <f t="shared" si="26"/>
        <v>-1284.2918867400792</v>
      </c>
      <c r="AF25" s="317">
        <f t="shared" si="26"/>
        <v>-1278.6736166113876</v>
      </c>
      <c r="AG25" s="298"/>
      <c r="AH25" s="7"/>
      <c r="AI25" s="7"/>
      <c r="AJ25" s="7"/>
      <c r="AK25" s="10"/>
      <c r="AL25" s="10"/>
      <c r="AM25" s="10"/>
      <c r="AN25" s="10"/>
    </row>
    <row r="26" spans="1:40" ht="15">
      <c r="A26" s="1177"/>
      <c r="B26" s="226">
        <v>19</v>
      </c>
      <c r="C26" s="256" t="s">
        <v>427</v>
      </c>
      <c r="D26" s="272">
        <f t="shared" ref="D26:AF26" si="27">D23+D24+D25</f>
        <v>-3971</v>
      </c>
      <c r="E26" s="273">
        <f t="shared" si="27"/>
        <v>-14536</v>
      </c>
      <c r="F26" s="790">
        <f>F23+F24+F25</f>
        <v>-1989</v>
      </c>
      <c r="G26" s="324">
        <f>G23+G24+G25</f>
        <v>-3254.0778222620693</v>
      </c>
      <c r="H26" s="323">
        <f t="shared" si="27"/>
        <v>-3211.2955499982886</v>
      </c>
      <c r="I26" s="323">
        <f t="shared" si="27"/>
        <v>-4197.1513127559838</v>
      </c>
      <c r="J26" s="399">
        <f t="shared" si="27"/>
        <v>-4629.5478448424374</v>
      </c>
      <c r="K26" s="324">
        <f t="shared" si="27"/>
        <v>-4418.0126861307617</v>
      </c>
      <c r="L26" s="323">
        <f t="shared" si="27"/>
        <v>-4990.7151139827783</v>
      </c>
      <c r="M26" s="323">
        <f t="shared" si="27"/>
        <v>-5484.1821808708992</v>
      </c>
      <c r="N26" s="323">
        <f t="shared" si="27"/>
        <v>-6052.4654862816451</v>
      </c>
      <c r="O26" s="323">
        <f t="shared" si="27"/>
        <v>-6707.3887476684304</v>
      </c>
      <c r="P26" s="323">
        <f t="shared" si="27"/>
        <v>-7396.6102444709304</v>
      </c>
      <c r="Q26" s="323">
        <f t="shared" si="27"/>
        <v>-8169.1316842444921</v>
      </c>
      <c r="R26" s="323">
        <f t="shared" si="27"/>
        <v>-9028.1746423400418</v>
      </c>
      <c r="S26" s="323">
        <f t="shared" si="27"/>
        <v>-9973.2585098001582</v>
      </c>
      <c r="T26" s="323">
        <f t="shared" si="27"/>
        <v>-11022.704399608036</v>
      </c>
      <c r="U26" s="323">
        <f t="shared" si="27"/>
        <v>-12185.181799408572</v>
      </c>
      <c r="V26" s="323">
        <f t="shared" si="27"/>
        <v>-13107.563072856699</v>
      </c>
      <c r="W26" s="323">
        <f t="shared" si="27"/>
        <v>-14121.174038019797</v>
      </c>
      <c r="X26" s="323">
        <f t="shared" si="27"/>
        <v>-15211.154035516263</v>
      </c>
      <c r="Y26" s="323">
        <f t="shared" si="27"/>
        <v>-16382.27549874012</v>
      </c>
      <c r="Z26" s="323">
        <f t="shared" si="27"/>
        <v>-17649.485146941253</v>
      </c>
      <c r="AA26" s="323">
        <f t="shared" si="27"/>
        <v>-18486.85939238709</v>
      </c>
      <c r="AB26" s="323">
        <f t="shared" si="27"/>
        <v>-19386.949933124775</v>
      </c>
      <c r="AC26" s="323">
        <f t="shared" si="27"/>
        <v>-20328.416207776976</v>
      </c>
      <c r="AD26" s="323">
        <f t="shared" si="27"/>
        <v>-21310.805236190401</v>
      </c>
      <c r="AE26" s="323">
        <f t="shared" si="27"/>
        <v>-22346.187596498523</v>
      </c>
      <c r="AF26" s="293">
        <f t="shared" si="27"/>
        <v>-22761.807240564998</v>
      </c>
      <c r="AG26" s="468"/>
      <c r="AH26" s="7"/>
      <c r="AI26" s="7"/>
      <c r="AJ26" s="7"/>
      <c r="AK26" s="10"/>
      <c r="AL26" s="10"/>
      <c r="AM26" s="10"/>
      <c r="AN26" s="10"/>
    </row>
    <row r="27" spans="1:40" ht="15">
      <c r="A27" s="1177"/>
      <c r="B27" s="226">
        <v>20</v>
      </c>
      <c r="C27" s="247" t="s">
        <v>428</v>
      </c>
      <c r="D27" s="275">
        <f>Inputs!D71+Inputs!D72</f>
        <v>0</v>
      </c>
      <c r="E27" s="274">
        <f>Inputs!C71+Inputs!C72</f>
        <v>0</v>
      </c>
      <c r="F27" s="553">
        <f>Inputs!B71+Inputs!B72</f>
        <v>0</v>
      </c>
      <c r="G27" s="325">
        <v>0</v>
      </c>
      <c r="H27" s="276">
        <v>0</v>
      </c>
      <c r="I27" s="276">
        <v>0</v>
      </c>
      <c r="J27" s="401">
        <v>0</v>
      </c>
      <c r="K27" s="325">
        <v>0</v>
      </c>
      <c r="L27" s="276">
        <v>0</v>
      </c>
      <c r="M27" s="276">
        <v>0</v>
      </c>
      <c r="N27" s="276">
        <v>0</v>
      </c>
      <c r="O27" s="276">
        <v>0</v>
      </c>
      <c r="P27" s="276">
        <v>0</v>
      </c>
      <c r="Q27" s="276">
        <v>0</v>
      </c>
      <c r="R27" s="276">
        <v>0</v>
      </c>
      <c r="S27" s="276">
        <v>0</v>
      </c>
      <c r="T27" s="276">
        <v>0</v>
      </c>
      <c r="U27" s="276">
        <v>0</v>
      </c>
      <c r="V27" s="276">
        <v>0</v>
      </c>
      <c r="W27" s="276">
        <v>0</v>
      </c>
      <c r="X27" s="276">
        <v>0</v>
      </c>
      <c r="Y27" s="276">
        <v>0</v>
      </c>
      <c r="Z27" s="276">
        <v>0</v>
      </c>
      <c r="AA27" s="276">
        <v>0</v>
      </c>
      <c r="AB27" s="276">
        <v>0</v>
      </c>
      <c r="AC27" s="276">
        <v>0</v>
      </c>
      <c r="AD27" s="276">
        <v>0</v>
      </c>
      <c r="AE27" s="276">
        <v>0</v>
      </c>
      <c r="AF27" s="277">
        <v>0</v>
      </c>
      <c r="AG27" s="468"/>
      <c r="AH27" s="7"/>
      <c r="AI27" s="7"/>
      <c r="AJ27" s="7"/>
      <c r="AK27" s="10"/>
      <c r="AL27" s="10"/>
      <c r="AM27" s="10"/>
      <c r="AN27" s="10"/>
    </row>
    <row r="28" spans="1:40" ht="15">
      <c r="A28" s="1177"/>
      <c r="B28" s="226">
        <v>21</v>
      </c>
      <c r="C28" s="247" t="s">
        <v>429</v>
      </c>
      <c r="D28" s="295">
        <f>+SUM(Inputs!D69:D70)</f>
        <v>-107</v>
      </c>
      <c r="E28" s="274">
        <f>+SUM(Inputs!C69:C70)</f>
        <v>5192</v>
      </c>
      <c r="F28" s="552">
        <f>+SUM(Inputs!B69:B70)</f>
        <v>-423</v>
      </c>
      <c r="G28" s="316">
        <f>G44-F44</f>
        <v>3451.3031438274265</v>
      </c>
      <c r="H28" s="313">
        <f t="shared" ref="H28:AF28" si="28">H44-G44</f>
        <v>4197.5712905618202</v>
      </c>
      <c r="I28" s="313">
        <f t="shared" si="28"/>
        <v>4331.5032575350706</v>
      </c>
      <c r="J28" s="400">
        <f t="shared" si="28"/>
        <v>2843.7625867435709</v>
      </c>
      <c r="K28" s="316">
        <f t="shared" si="28"/>
        <v>601.45079420218099</v>
      </c>
      <c r="L28" s="313">
        <f t="shared" si="28"/>
        <v>424.85261311992144</v>
      </c>
      <c r="M28" s="313">
        <f t="shared" si="28"/>
        <v>1533.9494423926517</v>
      </c>
      <c r="N28" s="313">
        <f t="shared" si="28"/>
        <v>1475.8536853065598</v>
      </c>
      <c r="O28" s="313">
        <f t="shared" si="28"/>
        <v>1399.6702121564958</v>
      </c>
      <c r="P28" s="313">
        <f t="shared" si="28"/>
        <v>1305.5282366993742</v>
      </c>
      <c r="Q28" s="313">
        <f t="shared" si="28"/>
        <v>1250.0883867283774</v>
      </c>
      <c r="R28" s="313">
        <f t="shared" si="28"/>
        <v>1295.6951668362744</v>
      </c>
      <c r="S28" s="313">
        <f t="shared" si="28"/>
        <v>1342.8947854629077</v>
      </c>
      <c r="T28" s="313">
        <f t="shared" si="28"/>
        <v>1391.7398532321313</v>
      </c>
      <c r="U28" s="313">
        <f t="shared" si="28"/>
        <v>1442.2845799475181</v>
      </c>
      <c r="V28" s="313">
        <f t="shared" si="28"/>
        <v>1494.5848163315022</v>
      </c>
      <c r="W28" s="313">
        <f t="shared" si="28"/>
        <v>1548.6980964786926</v>
      </c>
      <c r="X28" s="313">
        <f t="shared" si="28"/>
        <v>1604.6836810114619</v>
      </c>
      <c r="Y28" s="313">
        <f t="shared" si="28"/>
        <v>1662.602600923703</v>
      </c>
      <c r="Z28" s="313">
        <f t="shared" si="28"/>
        <v>1722.5177020965129</v>
      </c>
      <c r="AA28" s="313">
        <f t="shared" si="28"/>
        <v>1784.4936904670612</v>
      </c>
      <c r="AB28" s="313">
        <f t="shared" si="28"/>
        <v>1848.5971778291787</v>
      </c>
      <c r="AC28" s="313">
        <f t="shared" si="28"/>
        <v>1914.8967282411904</v>
      </c>
      <c r="AD28" s="313">
        <f t="shared" si="28"/>
        <v>1983.4629050141593</v>
      </c>
      <c r="AE28" s="313">
        <f t="shared" si="28"/>
        <v>2054.368318249195</v>
      </c>
      <c r="AF28" s="317">
        <f t="shared" si="28"/>
        <v>2127.6876728906864</v>
      </c>
      <c r="AG28" s="468"/>
      <c r="AH28" s="7"/>
      <c r="AI28" s="7"/>
      <c r="AJ28" s="7"/>
      <c r="AK28" s="10"/>
      <c r="AL28" s="10"/>
      <c r="AM28" s="10"/>
      <c r="AN28" s="10"/>
    </row>
    <row r="29" spans="1:40" ht="15">
      <c r="A29" s="1177"/>
      <c r="B29" s="226">
        <v>22</v>
      </c>
      <c r="C29" s="247" t="s">
        <v>430</v>
      </c>
      <c r="D29" s="295">
        <f>'Fin. Data'!D28</f>
        <v>0</v>
      </c>
      <c r="E29" s="274">
        <f>'Fin. Data'!C28</f>
        <v>0</v>
      </c>
      <c r="F29" s="553">
        <f>'Fin. Data'!B28</f>
        <v>-4000</v>
      </c>
      <c r="G29" s="316">
        <f>-G17*$D$65</f>
        <v>0</v>
      </c>
      <c r="H29" s="313">
        <f>+Assumptions!K132</f>
        <v>194.61054836782336</v>
      </c>
      <c r="I29" s="313">
        <f>+Assumptions!L132</f>
        <v>282.57076327315809</v>
      </c>
      <c r="J29" s="313">
        <f>+Assumptions!M132</f>
        <v>384.79401809410228</v>
      </c>
      <c r="K29" s="313">
        <f>+Assumptions!N132</f>
        <v>479.65577174066715</v>
      </c>
      <c r="L29" s="313">
        <f>+Assumptions!O132</f>
        <v>571.54892537713783</v>
      </c>
      <c r="M29" s="313">
        <f>+Assumptions!P132</f>
        <v>708.5549246247557</v>
      </c>
      <c r="N29" s="313">
        <f>+Assumptions!Q132</f>
        <v>2198.5946154257099</v>
      </c>
      <c r="O29" s="313">
        <f>+Assumptions!R132</f>
        <v>2794.5449848214844</v>
      </c>
      <c r="P29" s="313">
        <f>+Assumptions!S132</f>
        <v>3496.902429974497</v>
      </c>
      <c r="Q29" s="313">
        <f>+Assumptions!T132</f>
        <v>4323.3464139018297</v>
      </c>
      <c r="R29" s="313">
        <f>+Assumptions!U132</f>
        <v>5294.0474765332965</v>
      </c>
      <c r="S29" s="313">
        <f>+Assumptions!V132</f>
        <v>6429.8940109600135</v>
      </c>
      <c r="T29" s="313">
        <f>+Assumptions!W132</f>
        <v>7772.1338958211854</v>
      </c>
      <c r="U29" s="313">
        <f>+Assumptions!X132</f>
        <v>9319.0469290450874</v>
      </c>
      <c r="V29" s="313">
        <f>+Assumptions!Y132</f>
        <v>10955.195533248094</v>
      </c>
      <c r="W29" s="313">
        <f>+Assumptions!Z132</f>
        <v>12802.559539609159</v>
      </c>
      <c r="X29" s="313">
        <f>+Assumptions!AA132</f>
        <v>14893.033388994081</v>
      </c>
      <c r="Y29" s="313">
        <f>+Assumptions!AB132</f>
        <v>17253.60541993333</v>
      </c>
      <c r="Z29" s="313">
        <f>+Assumptions!AC132</f>
        <v>19915.986143221959</v>
      </c>
      <c r="AA29" s="313">
        <f>+Assumptions!AD132</f>
        <v>22589.268748733</v>
      </c>
      <c r="AB29" s="313">
        <f>+Assumptions!AE132</f>
        <v>25520.802863653298</v>
      </c>
      <c r="AC29" s="313">
        <f>+Assumptions!AF132</f>
        <v>28745.083629144752</v>
      </c>
      <c r="AD29" s="313">
        <f>+Assumptions!AG132</f>
        <v>32285.449323273038</v>
      </c>
      <c r="AE29" s="313">
        <f>+Assumptions!AH132</f>
        <v>36169.409351797054</v>
      </c>
      <c r="AF29" s="313">
        <f>+Assumptions!AI132</f>
        <v>39899.552792835057</v>
      </c>
      <c r="AG29" s="468"/>
      <c r="AH29" s="7"/>
      <c r="AI29" s="7"/>
      <c r="AJ29" s="7"/>
      <c r="AK29" s="10"/>
      <c r="AL29" s="10"/>
      <c r="AM29" s="10"/>
      <c r="AN29" s="10"/>
    </row>
    <row r="30" spans="1:40" s="7" customFormat="1" ht="15">
      <c r="A30" s="1177"/>
      <c r="B30" s="226">
        <v>23</v>
      </c>
      <c r="C30" s="247" t="s">
        <v>431</v>
      </c>
      <c r="D30" s="275">
        <f>'Fin. Data'!D27</f>
        <v>0</v>
      </c>
      <c r="E30" s="274">
        <f>'Fin. Data'!C27</f>
        <v>0</v>
      </c>
      <c r="F30" s="552">
        <f>'Fin. Data'!B27</f>
        <v>0</v>
      </c>
      <c r="G30" s="316">
        <f>-$D$64*G17</f>
        <v>0</v>
      </c>
      <c r="H30" s="313">
        <f t="shared" ref="H30" si="29">-$D$64*H17</f>
        <v>0</v>
      </c>
      <c r="I30" s="313">
        <f>+Assumptions!L134</f>
        <v>353.2134540914476</v>
      </c>
      <c r="J30" s="313">
        <f>+Assumptions!M134</f>
        <v>480.99252261762786</v>
      </c>
      <c r="K30" s="313">
        <f>+Assumptions!N134</f>
        <v>599.56971467583389</v>
      </c>
      <c r="L30" s="313">
        <f>+Assumptions!O134</f>
        <v>714.43615672142232</v>
      </c>
      <c r="M30" s="313">
        <f>+Assumptions!P134</f>
        <v>885.6936557809446</v>
      </c>
      <c r="N30" s="313">
        <f>+Assumptions!Q134</f>
        <v>1543.3382430770771</v>
      </c>
      <c r="O30" s="313">
        <f>+Assumptions!R134</f>
        <v>1961.6750249518564</v>
      </c>
      <c r="P30" s="313">
        <f>+Assumptions!S134</f>
        <v>2454.7059356114219</v>
      </c>
      <c r="Q30" s="313">
        <f>+Assumptions!T134</f>
        <v>3034.8413535766208</v>
      </c>
      <c r="R30" s="313">
        <f>+Assumptions!U134</f>
        <v>3716.2403081831849</v>
      </c>
      <c r="S30" s="313">
        <f>+Assumptions!V134</f>
        <v>4513.565737140395</v>
      </c>
      <c r="T30" s="313">
        <f>+Assumptions!W134</f>
        <v>5455.7722408566397</v>
      </c>
      <c r="U30" s="313">
        <f>+Assumptions!X134</f>
        <v>6541.6522962967547</v>
      </c>
      <c r="V30" s="313">
        <f>+Assumptions!Y134</f>
        <v>7690.1726713158405</v>
      </c>
      <c r="W30" s="313">
        <f>+Assumptions!Z134</f>
        <v>8986.9590365226268</v>
      </c>
      <c r="X30" s="313">
        <f>+Assumptions!AA134</f>
        <v>10454.400198832393</v>
      </c>
      <c r="Y30" s="313">
        <f>+Assumptions!AB134</f>
        <v>12111.441049076288</v>
      </c>
      <c r="Z30" s="313">
        <f>+Assumptions!AC134</f>
        <v>13980.341281549086</v>
      </c>
      <c r="AA30" s="313">
        <f>+Assumptions!AD134</f>
        <v>15856.894262571945</v>
      </c>
      <c r="AB30" s="313">
        <f>+Assumptions!AE134</f>
        <v>17914.730972758542</v>
      </c>
      <c r="AC30" s="313">
        <f>+Assumptions!AF134</f>
        <v>20178.065821705793</v>
      </c>
      <c r="AD30" s="313">
        <f>+Assumptions!AG134</f>
        <v>22663.281482605758</v>
      </c>
      <c r="AE30" s="313">
        <f>+Assumptions!AH134</f>
        <v>25389.688617666983</v>
      </c>
      <c r="AF30" s="313">
        <f>+Assumptions!AI134</f>
        <v>28008.121767792014</v>
      </c>
      <c r="AG30" s="468"/>
      <c r="AK30" s="10"/>
      <c r="AL30" s="10"/>
      <c r="AM30" s="10"/>
      <c r="AN30" s="10"/>
    </row>
    <row r="31" spans="1:40" s="3" customFormat="1" ht="15">
      <c r="A31" s="1177"/>
      <c r="B31" s="226">
        <v>24</v>
      </c>
      <c r="C31" s="247" t="s">
        <v>432</v>
      </c>
      <c r="D31" s="348">
        <f>Inputs!D75</f>
        <v>1301</v>
      </c>
      <c r="E31" s="347">
        <f>Inputs!C75</f>
        <v>2646</v>
      </c>
      <c r="F31" s="554">
        <f>Inputs!B75</f>
        <v>861</v>
      </c>
      <c r="G31" s="316">
        <f>(1+G5)*AVERAGE(D31:F31)</f>
        <v>1993.8541884218253</v>
      </c>
      <c r="H31" s="313">
        <f t="shared" ref="H31:AF31" si="30">(1+H5)*AVERAGE(E31:G31)</f>
        <v>2189.4965435074305</v>
      </c>
      <c r="I31" s="313">
        <f t="shared" si="30"/>
        <v>1965.7589177928346</v>
      </c>
      <c r="J31" s="400">
        <f t="shared" si="30"/>
        <v>2334.7869921606111</v>
      </c>
      <c r="K31" s="441">
        <f t="shared" si="30"/>
        <v>2420.9705679475378</v>
      </c>
      <c r="L31" s="442">
        <f t="shared" si="30"/>
        <v>2496.1144402856585</v>
      </c>
      <c r="M31" s="442">
        <f t="shared" si="30"/>
        <v>2690.6509296969234</v>
      </c>
      <c r="N31" s="442">
        <f t="shared" si="30"/>
        <v>2820.1506678677665</v>
      </c>
      <c r="O31" s="442">
        <f t="shared" si="30"/>
        <v>2965.4558151692659</v>
      </c>
      <c r="P31" s="442">
        <f t="shared" si="30"/>
        <v>3136.456511213707</v>
      </c>
      <c r="Q31" s="442">
        <f t="shared" si="30"/>
        <v>3301.1633078727746</v>
      </c>
      <c r="R31" s="442">
        <f t="shared" si="30"/>
        <v>3479.1379846746268</v>
      </c>
      <c r="S31" s="442">
        <f t="shared" si="30"/>
        <v>3669.2003873916105</v>
      </c>
      <c r="T31" s="442">
        <f t="shared" si="30"/>
        <v>3866.3156215774347</v>
      </c>
      <c r="U31" s="442">
        <f t="shared" si="30"/>
        <v>4075.4219776481586</v>
      </c>
      <c r="V31" s="442">
        <f t="shared" si="30"/>
        <v>4179.9376751821937</v>
      </c>
      <c r="W31" s="442">
        <f t="shared" si="30"/>
        <v>4363.8030987868033</v>
      </c>
      <c r="X31" s="442">
        <f t="shared" si="30"/>
        <v>4542.8985905821773</v>
      </c>
      <c r="Y31" s="442">
        <f t="shared" si="30"/>
        <v>4711.1901712384233</v>
      </c>
      <c r="Z31" s="442">
        <f t="shared" si="30"/>
        <v>4902.4410698186657</v>
      </c>
      <c r="AA31" s="442">
        <f t="shared" si="30"/>
        <v>4954.7854410737427</v>
      </c>
      <c r="AB31" s="442">
        <f t="shared" si="30"/>
        <v>5098.9458387457917</v>
      </c>
      <c r="AC31" s="442">
        <f t="shared" si="30"/>
        <v>5234.66032237337</v>
      </c>
      <c r="AD31" s="442">
        <f t="shared" si="30"/>
        <v>5350.9370607675164</v>
      </c>
      <c r="AE31" s="442">
        <f t="shared" si="30"/>
        <v>5489.5901276603372</v>
      </c>
      <c r="AF31" s="443">
        <f t="shared" si="30"/>
        <v>5465.5637536724162</v>
      </c>
      <c r="AG31" s="468"/>
      <c r="AH31" s="486"/>
      <c r="AI31" s="486"/>
      <c r="AJ31" s="486"/>
      <c r="AK31" s="484"/>
      <c r="AL31" s="484"/>
      <c r="AM31" s="484"/>
      <c r="AN31" s="484"/>
    </row>
    <row r="32" spans="1:40" s="7" customFormat="1" ht="16.5" customHeight="1" thickBot="1">
      <c r="A32" s="1177"/>
      <c r="B32" s="227">
        <v>25</v>
      </c>
      <c r="C32" s="257" t="s">
        <v>433</v>
      </c>
      <c r="D32" s="395">
        <f t="shared" ref="D32:F32" si="31">D27+D28+D29+D30+D31</f>
        <v>1194</v>
      </c>
      <c r="E32" s="396">
        <f>E27+E28+E29+E30+E31</f>
        <v>7838</v>
      </c>
      <c r="F32" s="555">
        <f t="shared" si="31"/>
        <v>-3562</v>
      </c>
      <c r="G32" s="395">
        <f>G27+G28-G29-G30+G31</f>
        <v>5445.1573322492513</v>
      </c>
      <c r="H32" s="395">
        <f t="shared" ref="H32:AF32" si="32">H27+H28-H29-H30+H31</f>
        <v>6192.4572857014273</v>
      </c>
      <c r="I32" s="395">
        <f t="shared" si="32"/>
        <v>5661.4779579632996</v>
      </c>
      <c r="J32" s="395">
        <f t="shared" si="32"/>
        <v>4312.7630381924519</v>
      </c>
      <c r="K32" s="395">
        <f t="shared" si="32"/>
        <v>1943.1958757332177</v>
      </c>
      <c r="L32" s="395">
        <f t="shared" si="32"/>
        <v>1634.9819713070196</v>
      </c>
      <c r="M32" s="395">
        <f t="shared" si="32"/>
        <v>2630.3517916838746</v>
      </c>
      <c r="N32" s="395">
        <f t="shared" si="32"/>
        <v>554.07149467153931</v>
      </c>
      <c r="O32" s="395">
        <f t="shared" si="32"/>
        <v>-391.09398244757904</v>
      </c>
      <c r="P32" s="395">
        <f t="shared" si="32"/>
        <v>-1509.6236176728371</v>
      </c>
      <c r="Q32" s="395">
        <f t="shared" si="32"/>
        <v>-2806.9360728772981</v>
      </c>
      <c r="R32" s="395">
        <f t="shared" si="32"/>
        <v>-4235.4546332055806</v>
      </c>
      <c r="S32" s="395">
        <f t="shared" si="32"/>
        <v>-5931.3645752458906</v>
      </c>
      <c r="T32" s="395">
        <f t="shared" si="32"/>
        <v>-7969.8506618682604</v>
      </c>
      <c r="U32" s="395">
        <f t="shared" si="32"/>
        <v>-10342.992667746166</v>
      </c>
      <c r="V32" s="395">
        <f t="shared" si="32"/>
        <v>-12970.845713050239</v>
      </c>
      <c r="W32" s="395">
        <f t="shared" si="32"/>
        <v>-15877.017380866288</v>
      </c>
      <c r="X32" s="395">
        <f t="shared" si="32"/>
        <v>-19199.851316232838</v>
      </c>
      <c r="Y32" s="395">
        <f t="shared" si="32"/>
        <v>-22991.253696847492</v>
      </c>
      <c r="Z32" s="395">
        <f t="shared" si="32"/>
        <v>-27271.368652855865</v>
      </c>
      <c r="AA32" s="395">
        <f t="shared" si="32"/>
        <v>-31706.883879764144</v>
      </c>
      <c r="AB32" s="395">
        <f t="shared" si="32"/>
        <v>-36487.990819836872</v>
      </c>
      <c r="AC32" s="395">
        <f t="shared" si="32"/>
        <v>-41773.592400235982</v>
      </c>
      <c r="AD32" s="395">
        <f t="shared" si="32"/>
        <v>-47614.330840097122</v>
      </c>
      <c r="AE32" s="395">
        <f t="shared" si="32"/>
        <v>-54015.139523554506</v>
      </c>
      <c r="AF32" s="395">
        <f t="shared" si="32"/>
        <v>-60314.423134063974</v>
      </c>
      <c r="AG32" s="468"/>
      <c r="AK32" s="10"/>
      <c r="AL32" s="10"/>
      <c r="AM32" s="10"/>
      <c r="AN32" s="10"/>
    </row>
    <row r="33" spans="1:40" ht="14" thickBot="1">
      <c r="A33" s="1165"/>
      <c r="B33" s="1166"/>
      <c r="C33" s="1166"/>
      <c r="D33" s="1166"/>
      <c r="E33" s="1166"/>
      <c r="F33" s="1166"/>
      <c r="G33" s="1166"/>
      <c r="H33" s="1166"/>
      <c r="I33" s="1166"/>
      <c r="J33" s="1166"/>
      <c r="K33" s="1166"/>
      <c r="L33" s="1166"/>
      <c r="M33" s="1166"/>
      <c r="N33" s="1166"/>
      <c r="O33" s="1166"/>
      <c r="P33" s="1166"/>
      <c r="Q33" s="1166"/>
      <c r="R33" s="1166"/>
      <c r="S33" s="1166"/>
      <c r="T33" s="1166"/>
      <c r="U33" s="1166"/>
      <c r="V33" s="1166"/>
      <c r="W33" s="1166"/>
      <c r="X33" s="1166"/>
      <c r="Y33" s="1166"/>
      <c r="Z33" s="1166"/>
      <c r="AA33" s="1166"/>
      <c r="AB33" s="1166"/>
      <c r="AC33" s="1166"/>
      <c r="AD33" s="1166"/>
      <c r="AE33" s="1166"/>
      <c r="AF33" s="1167"/>
      <c r="AG33" s="7"/>
      <c r="AH33" s="7"/>
      <c r="AI33" s="7"/>
      <c r="AJ33" s="7"/>
      <c r="AK33" s="10"/>
      <c r="AL33" s="10"/>
      <c r="AM33" s="10"/>
      <c r="AN33" s="10"/>
    </row>
    <row r="34" spans="1:40" ht="15">
      <c r="A34" s="1189" t="s">
        <v>434</v>
      </c>
      <c r="B34" s="226">
        <v>26</v>
      </c>
      <c r="C34" s="230" t="s">
        <v>435</v>
      </c>
      <c r="D34" s="391">
        <f>D22+D26+D27+D28+D31</f>
        <v>2024</v>
      </c>
      <c r="E34" s="392">
        <f t="shared" ref="E34:AF34" si="33">E22+E26+E27+E28+E31</f>
        <v>-698</v>
      </c>
      <c r="F34" s="789">
        <f>F22+F26+F27+F28+F31</f>
        <v>5560</v>
      </c>
      <c r="G34" s="556">
        <f>G22+G26+G27+G28+G31</f>
        <v>10794.660136668488</v>
      </c>
      <c r="H34" s="393">
        <f t="shared" si="33"/>
        <v>12670.534292554177</v>
      </c>
      <c r="I34" s="393">
        <f t="shared" si="33"/>
        <v>13443.20823718586</v>
      </c>
      <c r="J34" s="394">
        <f>J22+J26+J27+J28+J31</f>
        <v>13819.703607250362</v>
      </c>
      <c r="K34" s="423">
        <f t="shared" si="33"/>
        <v>10683.128112683442</v>
      </c>
      <c r="L34" s="393">
        <f t="shared" si="33"/>
        <v>12253.571875016112</v>
      </c>
      <c r="M34" s="393">
        <f t="shared" si="33"/>
        <v>14655.509194047791</v>
      </c>
      <c r="N34" s="393">
        <f t="shared" si="33"/>
        <v>16708.712319415947</v>
      </c>
      <c r="O34" s="393">
        <f t="shared" si="33"/>
        <v>19073.432094977074</v>
      </c>
      <c r="P34" s="393">
        <f t="shared" si="33"/>
        <v>21812.464523844708</v>
      </c>
      <c r="Q34" s="393">
        <f t="shared" si="33"/>
        <v>24977.890371970752</v>
      </c>
      <c r="R34" s="393">
        <f t="shared" si="33"/>
        <v>28703.694022438933</v>
      </c>
      <c r="S34" s="393">
        <f t="shared" si="33"/>
        <v>34114.868412388329</v>
      </c>
      <c r="T34" s="393">
        <f t="shared" si="33"/>
        <v>37956.528158788307</v>
      </c>
      <c r="U34" s="393">
        <f t="shared" si="33"/>
        <v>43485.036128912645</v>
      </c>
      <c r="V34" s="393">
        <f t="shared" si="33"/>
        <v>48391.011120152623</v>
      </c>
      <c r="W34" s="393">
        <f t="shared" si="33"/>
        <v>54728.303797318753</v>
      </c>
      <c r="X34" s="393">
        <f t="shared" si="33"/>
        <v>61752.09880735576</v>
      </c>
      <c r="Y34" s="393">
        <f t="shared" si="33"/>
        <v>69528.473369792016</v>
      </c>
      <c r="Z34" s="393">
        <f t="shared" si="33"/>
        <v>78164.565311258237</v>
      </c>
      <c r="AA34" s="393">
        <f t="shared" si="33"/>
        <v>85538.275407912923</v>
      </c>
      <c r="AB34" s="393">
        <f t="shared" si="33"/>
        <v>94846.345572392529</v>
      </c>
      <c r="AC34" s="393">
        <f t="shared" si="33"/>
        <v>104908.46906519834</v>
      </c>
      <c r="AD34" s="393">
        <f t="shared" si="33"/>
        <v>115772.21965928897</v>
      </c>
      <c r="AE34" s="393">
        <f t="shared" si="33"/>
        <v>127534.55810155369</v>
      </c>
      <c r="AF34" s="394">
        <f t="shared" si="33"/>
        <v>137229.25768489213</v>
      </c>
      <c r="AG34" s="468"/>
      <c r="AH34" s="7"/>
      <c r="AI34" s="7"/>
      <c r="AJ34" s="7"/>
      <c r="AK34" s="10"/>
      <c r="AL34" s="10"/>
      <c r="AM34" s="10"/>
      <c r="AN34" s="10"/>
    </row>
    <row r="35" spans="1:40" s="3" customFormat="1" ht="15">
      <c r="A35" s="1189"/>
      <c r="B35" s="226">
        <v>27</v>
      </c>
      <c r="C35" s="230" t="s">
        <v>436</v>
      </c>
      <c r="D35" s="329">
        <f>-1*(D29+D30)</f>
        <v>0</v>
      </c>
      <c r="E35" s="326">
        <f t="shared" ref="E35:AF35" si="34">-1*(E29+E30)</f>
        <v>0</v>
      </c>
      <c r="F35" s="331">
        <f t="shared" si="34"/>
        <v>4000</v>
      </c>
      <c r="G35" s="339">
        <f>-1*(G29+G30)</f>
        <v>0</v>
      </c>
      <c r="H35" s="296">
        <f>-1*(H29+H30)</f>
        <v>-194.61054836782336</v>
      </c>
      <c r="I35" s="296">
        <f t="shared" si="34"/>
        <v>-635.78421736460564</v>
      </c>
      <c r="J35" s="340">
        <f t="shared" si="34"/>
        <v>-865.78654071173014</v>
      </c>
      <c r="K35" s="296">
        <f>-1*(K29+K30)</f>
        <v>-1079.2254864165011</v>
      </c>
      <c r="L35" s="296">
        <f t="shared" si="34"/>
        <v>-1285.9850820985603</v>
      </c>
      <c r="M35" s="296">
        <f t="shared" si="34"/>
        <v>-1594.2485804057003</v>
      </c>
      <c r="N35" s="296">
        <f t="shared" si="34"/>
        <v>-3741.932858502787</v>
      </c>
      <c r="O35" s="296">
        <f t="shared" si="34"/>
        <v>-4756.2200097733403</v>
      </c>
      <c r="P35" s="296">
        <f t="shared" si="34"/>
        <v>-5951.6083655859184</v>
      </c>
      <c r="Q35" s="296">
        <f t="shared" si="34"/>
        <v>-7358.18776747845</v>
      </c>
      <c r="R35" s="296">
        <f t="shared" si="34"/>
        <v>-9010.2877847164818</v>
      </c>
      <c r="S35" s="296">
        <f t="shared" si="34"/>
        <v>-10943.459748100409</v>
      </c>
      <c r="T35" s="296">
        <f t="shared" si="34"/>
        <v>-13227.906136677826</v>
      </c>
      <c r="U35" s="296">
        <f t="shared" si="34"/>
        <v>-15860.699225341843</v>
      </c>
      <c r="V35" s="296">
        <f t="shared" si="34"/>
        <v>-18645.368204563936</v>
      </c>
      <c r="W35" s="296">
        <f t="shared" si="34"/>
        <v>-21789.518576131784</v>
      </c>
      <c r="X35" s="296">
        <f t="shared" si="34"/>
        <v>-25347.433587826476</v>
      </c>
      <c r="Y35" s="296">
        <f t="shared" si="34"/>
        <v>-29365.04646900962</v>
      </c>
      <c r="Z35" s="296">
        <f t="shared" si="34"/>
        <v>-33896.327424771043</v>
      </c>
      <c r="AA35" s="296">
        <f t="shared" si="34"/>
        <v>-38446.163011304947</v>
      </c>
      <c r="AB35" s="296">
        <f t="shared" si="34"/>
        <v>-43435.533836411836</v>
      </c>
      <c r="AC35" s="296">
        <f t="shared" si="34"/>
        <v>-48923.149450850542</v>
      </c>
      <c r="AD35" s="296">
        <f t="shared" si="34"/>
        <v>-54948.730805878797</v>
      </c>
      <c r="AE35" s="296">
        <f t="shared" si="34"/>
        <v>-61559.097969464041</v>
      </c>
      <c r="AF35" s="340">
        <f t="shared" si="34"/>
        <v>-67907.674560627071</v>
      </c>
      <c r="AG35" s="468"/>
      <c r="AH35" s="486"/>
      <c r="AI35" s="486"/>
      <c r="AJ35" s="486"/>
      <c r="AK35" s="484"/>
      <c r="AL35" s="484"/>
      <c r="AM35" s="484"/>
      <c r="AN35" s="484"/>
    </row>
    <row r="36" spans="1:40" s="7" customFormat="1" ht="16" thickBot="1">
      <c r="A36" s="1189"/>
      <c r="B36" s="227">
        <v>28</v>
      </c>
      <c r="C36" s="225" t="s">
        <v>437</v>
      </c>
      <c r="D36" s="379">
        <f>D34-D35</f>
        <v>2024</v>
      </c>
      <c r="E36" s="380">
        <f>E34-E35</f>
        <v>-698</v>
      </c>
      <c r="F36" s="332">
        <f>F34-F35</f>
        <v>1560</v>
      </c>
      <c r="G36" s="341">
        <f>G34-G35</f>
        <v>10794.660136668488</v>
      </c>
      <c r="H36" s="342">
        <f t="shared" ref="H36:AF36" si="35">H34-H35</f>
        <v>12865.144840922001</v>
      </c>
      <c r="I36" s="342">
        <f>I34-I35</f>
        <v>14078.992454550465</v>
      </c>
      <c r="J36" s="343">
        <f t="shared" si="35"/>
        <v>14685.490147962091</v>
      </c>
      <c r="K36" s="342">
        <f>K34-K35</f>
        <v>11762.353599099943</v>
      </c>
      <c r="L36" s="342">
        <f t="shared" si="35"/>
        <v>13539.556957114673</v>
      </c>
      <c r="M36" s="342">
        <f t="shared" si="35"/>
        <v>16249.75777445349</v>
      </c>
      <c r="N36" s="342">
        <f t="shared" si="35"/>
        <v>20450.645177918734</v>
      </c>
      <c r="O36" s="342">
        <f t="shared" si="35"/>
        <v>23829.652104750414</v>
      </c>
      <c r="P36" s="342">
        <f t="shared" si="35"/>
        <v>27764.072889430627</v>
      </c>
      <c r="Q36" s="342">
        <f t="shared" si="35"/>
        <v>32336.078139449201</v>
      </c>
      <c r="R36" s="342">
        <f t="shared" si="35"/>
        <v>37713.981807155418</v>
      </c>
      <c r="S36" s="342">
        <f t="shared" si="35"/>
        <v>45058.328160488738</v>
      </c>
      <c r="T36" s="342">
        <f t="shared" si="35"/>
        <v>51184.434295466133</v>
      </c>
      <c r="U36" s="342">
        <f t="shared" si="35"/>
        <v>59345.735354254488</v>
      </c>
      <c r="V36" s="342">
        <f t="shared" si="35"/>
        <v>67036.379324716559</v>
      </c>
      <c r="W36" s="342">
        <f t="shared" si="35"/>
        <v>76517.82237345053</v>
      </c>
      <c r="X36" s="342">
        <f t="shared" si="35"/>
        <v>87099.532395182236</v>
      </c>
      <c r="Y36" s="342">
        <f t="shared" si="35"/>
        <v>98893.519838801643</v>
      </c>
      <c r="Z36" s="342">
        <f t="shared" si="35"/>
        <v>112060.89273602929</v>
      </c>
      <c r="AA36" s="342">
        <f t="shared" si="35"/>
        <v>123984.43841921787</v>
      </c>
      <c r="AB36" s="342">
        <f t="shared" si="35"/>
        <v>138281.87940880435</v>
      </c>
      <c r="AC36" s="342">
        <f t="shared" si="35"/>
        <v>153831.61851604888</v>
      </c>
      <c r="AD36" s="342">
        <f t="shared" si="35"/>
        <v>170720.95046516776</v>
      </c>
      <c r="AE36" s="342">
        <f t="shared" si="35"/>
        <v>189093.65607101773</v>
      </c>
      <c r="AF36" s="343">
        <f t="shared" si="35"/>
        <v>205136.93224551919</v>
      </c>
      <c r="AG36" s="468"/>
      <c r="AK36" s="10"/>
      <c r="AL36" s="10"/>
      <c r="AM36" s="10"/>
      <c r="AN36" s="10"/>
    </row>
    <row r="37" spans="1:40" ht="16" thickBot="1">
      <c r="A37" s="236"/>
      <c r="B37" s="234"/>
      <c r="C37" s="235"/>
      <c r="D37" s="397"/>
      <c r="E37" s="397"/>
      <c r="F37" s="397"/>
      <c r="G37" s="397"/>
      <c r="H37" s="397"/>
      <c r="I37" s="397"/>
      <c r="J37" s="397"/>
      <c r="K37" s="397"/>
      <c r="L37" s="397"/>
      <c r="M37" s="397"/>
      <c r="N37" s="397"/>
      <c r="O37" s="397"/>
      <c r="P37" s="397"/>
      <c r="Q37" s="397"/>
      <c r="R37" s="397"/>
      <c r="S37" s="397"/>
      <c r="T37" s="397"/>
      <c r="U37" s="397"/>
      <c r="V37" s="397"/>
      <c r="W37" s="397"/>
      <c r="X37" s="397"/>
      <c r="Y37" s="397"/>
      <c r="Z37" s="397"/>
      <c r="AA37" s="397"/>
      <c r="AB37" s="397"/>
      <c r="AC37" s="397"/>
      <c r="AD37" s="397"/>
      <c r="AE37" s="397"/>
      <c r="AF37" s="398"/>
      <c r="AG37" s="468"/>
      <c r="AH37" s="7"/>
      <c r="AI37" s="7"/>
      <c r="AJ37" s="7"/>
      <c r="AK37" s="10"/>
      <c r="AL37" s="10"/>
      <c r="AM37" s="10"/>
      <c r="AN37" s="10"/>
    </row>
    <row r="38" spans="1:40" ht="15">
      <c r="A38" s="1190" t="s">
        <v>438</v>
      </c>
      <c r="B38" s="228">
        <v>29</v>
      </c>
      <c r="C38" s="230" t="s">
        <v>439</v>
      </c>
      <c r="D38" s="327">
        <v>4114</v>
      </c>
      <c r="E38" s="328">
        <v>8978</v>
      </c>
      <c r="F38" s="330">
        <v>7125</v>
      </c>
      <c r="G38" s="334">
        <f>+F38+(-G10)</f>
        <v>7125</v>
      </c>
      <c r="H38" s="335">
        <f t="shared" ref="H38:AF38" si="36">+G38+(-H10)</f>
        <v>7125</v>
      </c>
      <c r="I38" s="335">
        <f t="shared" si="36"/>
        <v>7125</v>
      </c>
      <c r="J38" s="336">
        <f t="shared" si="36"/>
        <v>7125</v>
      </c>
      <c r="K38" s="424">
        <f t="shared" si="36"/>
        <v>7125</v>
      </c>
      <c r="L38" s="335">
        <f t="shared" si="36"/>
        <v>7125</v>
      </c>
      <c r="M38" s="335">
        <f t="shared" si="36"/>
        <v>7125</v>
      </c>
      <c r="N38" s="335">
        <f t="shared" si="36"/>
        <v>7125</v>
      </c>
      <c r="O38" s="335">
        <f t="shared" si="36"/>
        <v>7125</v>
      </c>
      <c r="P38" s="335">
        <f t="shared" si="36"/>
        <v>7125</v>
      </c>
      <c r="Q38" s="335">
        <f t="shared" si="36"/>
        <v>7125</v>
      </c>
      <c r="R38" s="335">
        <f t="shared" si="36"/>
        <v>7125</v>
      </c>
      <c r="S38" s="335">
        <f t="shared" si="36"/>
        <v>7125</v>
      </c>
      <c r="T38" s="335">
        <f t="shared" si="36"/>
        <v>7125</v>
      </c>
      <c r="U38" s="335">
        <f t="shared" si="36"/>
        <v>7125</v>
      </c>
      <c r="V38" s="335">
        <f t="shared" si="36"/>
        <v>7125</v>
      </c>
      <c r="W38" s="335">
        <f t="shared" si="36"/>
        <v>7125</v>
      </c>
      <c r="X38" s="335">
        <f t="shared" si="36"/>
        <v>7125</v>
      </c>
      <c r="Y38" s="335">
        <f t="shared" si="36"/>
        <v>7125</v>
      </c>
      <c r="Z38" s="335">
        <f t="shared" si="36"/>
        <v>7125</v>
      </c>
      <c r="AA38" s="335">
        <f t="shared" si="36"/>
        <v>7125</v>
      </c>
      <c r="AB38" s="335">
        <f t="shared" si="36"/>
        <v>7125</v>
      </c>
      <c r="AC38" s="335">
        <f t="shared" si="36"/>
        <v>7125</v>
      </c>
      <c r="AD38" s="335">
        <f t="shared" si="36"/>
        <v>7125</v>
      </c>
      <c r="AE38" s="335">
        <f t="shared" si="36"/>
        <v>7125</v>
      </c>
      <c r="AF38" s="336">
        <f t="shared" si="36"/>
        <v>7125</v>
      </c>
      <c r="AG38" s="469">
        <f>SUM(G38:AF38)</f>
        <v>185250</v>
      </c>
      <c r="AH38" s="7"/>
      <c r="AI38" s="7"/>
      <c r="AJ38" s="7"/>
      <c r="AK38" s="10"/>
      <c r="AL38" s="10"/>
      <c r="AM38" s="10"/>
      <c r="AN38" s="10"/>
    </row>
    <row r="39" spans="1:40" ht="15">
      <c r="A39" s="1189"/>
      <c r="B39" s="228">
        <v>30</v>
      </c>
      <c r="C39" s="230" t="s">
        <v>440</v>
      </c>
      <c r="D39" s="329">
        <v>2746</v>
      </c>
      <c r="E39" s="326">
        <v>3995</v>
      </c>
      <c r="F39" s="331">
        <v>4713</v>
      </c>
      <c r="G39" s="337">
        <f>F39-G10</f>
        <v>4713</v>
      </c>
      <c r="H39" s="333">
        <f t="shared" ref="H39:AF39" si="37">G39-H10</f>
        <v>4713</v>
      </c>
      <c r="I39" s="333">
        <f t="shared" si="37"/>
        <v>4713</v>
      </c>
      <c r="J39" s="338">
        <f t="shared" si="37"/>
        <v>4713</v>
      </c>
      <c r="K39" s="425">
        <f t="shared" si="37"/>
        <v>4713</v>
      </c>
      <c r="L39" s="333">
        <f t="shared" si="37"/>
        <v>4713</v>
      </c>
      <c r="M39" s="333">
        <f t="shared" si="37"/>
        <v>4713</v>
      </c>
      <c r="N39" s="333">
        <f t="shared" si="37"/>
        <v>4713</v>
      </c>
      <c r="O39" s="333">
        <f t="shared" si="37"/>
        <v>4713</v>
      </c>
      <c r="P39" s="333">
        <f t="shared" si="37"/>
        <v>4713</v>
      </c>
      <c r="Q39" s="333">
        <f t="shared" si="37"/>
        <v>4713</v>
      </c>
      <c r="R39" s="333">
        <f t="shared" si="37"/>
        <v>4713</v>
      </c>
      <c r="S39" s="333">
        <f t="shared" si="37"/>
        <v>4713</v>
      </c>
      <c r="T39" s="333">
        <f t="shared" si="37"/>
        <v>4713</v>
      </c>
      <c r="U39" s="333">
        <f t="shared" si="37"/>
        <v>4713</v>
      </c>
      <c r="V39" s="333">
        <f t="shared" si="37"/>
        <v>4713</v>
      </c>
      <c r="W39" s="333">
        <f t="shared" si="37"/>
        <v>4713</v>
      </c>
      <c r="X39" s="333">
        <f t="shared" si="37"/>
        <v>4713</v>
      </c>
      <c r="Y39" s="333">
        <f t="shared" si="37"/>
        <v>4713</v>
      </c>
      <c r="Z39" s="333">
        <f t="shared" si="37"/>
        <v>4713</v>
      </c>
      <c r="AA39" s="333">
        <f t="shared" si="37"/>
        <v>4713</v>
      </c>
      <c r="AB39" s="333">
        <f t="shared" si="37"/>
        <v>4713</v>
      </c>
      <c r="AC39" s="333">
        <f t="shared" si="37"/>
        <v>4713</v>
      </c>
      <c r="AD39" s="333">
        <f t="shared" si="37"/>
        <v>4713</v>
      </c>
      <c r="AE39" s="333">
        <f t="shared" si="37"/>
        <v>4713</v>
      </c>
      <c r="AF39" s="338">
        <f t="shared" si="37"/>
        <v>4713</v>
      </c>
      <c r="AG39" s="469">
        <f>SUM(G39:AF39)</f>
        <v>122538</v>
      </c>
      <c r="AH39" s="7"/>
      <c r="AI39" s="7"/>
      <c r="AJ39" s="7"/>
      <c r="AK39" s="10"/>
      <c r="AL39" s="10"/>
      <c r="AM39" s="10"/>
      <c r="AN39" s="10"/>
    </row>
    <row r="40" spans="1:40" ht="15">
      <c r="A40" s="1189"/>
      <c r="B40" s="228">
        <v>31</v>
      </c>
      <c r="C40" s="230" t="s">
        <v>441</v>
      </c>
      <c r="D40" s="329">
        <v>5663</v>
      </c>
      <c r="E40" s="326">
        <v>5695</v>
      </c>
      <c r="F40" s="331">
        <v>6592</v>
      </c>
      <c r="G40" s="337">
        <f>F40+(-G23)</f>
        <v>7905.1317816435376</v>
      </c>
      <c r="H40" s="333">
        <f t="shared" ref="H40:AF40" si="38">G40+(-H23)</f>
        <v>9473.1232600196272</v>
      </c>
      <c r="I40" s="333">
        <f t="shared" si="38"/>
        <v>11306.239192342269</v>
      </c>
      <c r="J40" s="338">
        <f t="shared" si="38"/>
        <v>13394.314772895323</v>
      </c>
      <c r="K40" s="425">
        <f t="shared" si="38"/>
        <v>15469.516100606605</v>
      </c>
      <c r="L40" s="333">
        <f t="shared" si="38"/>
        <v>17781.467585497277</v>
      </c>
      <c r="M40" s="333">
        <f t="shared" si="38"/>
        <v>20354.867010596397</v>
      </c>
      <c r="N40" s="333">
        <f t="shared" si="38"/>
        <v>23216.706919313718</v>
      </c>
      <c r="O40" s="333">
        <f t="shared" si="38"/>
        <v>26396.455436447304</v>
      </c>
      <c r="P40" s="333">
        <f t="shared" si="38"/>
        <v>29926.24781590113</v>
      </c>
      <c r="Q40" s="333">
        <f t="shared" si="38"/>
        <v>33844.317357094871</v>
      </c>
      <c r="R40" s="333">
        <f t="shared" si="38"/>
        <v>38193.374547819927</v>
      </c>
      <c r="S40" s="333">
        <f t="shared" si="38"/>
        <v>43020.828029524739</v>
      </c>
      <c r="T40" s="333">
        <f t="shared" si="38"/>
        <v>48379.30139421708</v>
      </c>
      <c r="U40" s="333">
        <f t="shared" si="38"/>
        <v>54327.206829025585</v>
      </c>
      <c r="V40" s="333">
        <f t="shared" si="38"/>
        <v>60750.944698618769</v>
      </c>
      <c r="W40" s="333">
        <f t="shared" si="38"/>
        <v>67688.581597779412</v>
      </c>
      <c r="X40" s="333">
        <f t="shared" si="38"/>
        <v>75181.229448872895</v>
      </c>
      <c r="Y40" s="333">
        <f t="shared" si="38"/>
        <v>83273.289128053861</v>
      </c>
      <c r="Z40" s="333">
        <f t="shared" si="38"/>
        <v>92012.713581569304</v>
      </c>
      <c r="AA40" s="333">
        <f t="shared" si="38"/>
        <v>101189.10925776052</v>
      </c>
      <c r="AB40" s="333">
        <f t="shared" si="38"/>
        <v>110824.32471776129</v>
      </c>
      <c r="AC40" s="333">
        <f t="shared" si="38"/>
        <v>120941.30095076212</v>
      </c>
      <c r="AD40" s="333">
        <f t="shared" si="38"/>
        <v>131564.12599541299</v>
      </c>
      <c r="AE40" s="333">
        <f t="shared" si="38"/>
        <v>142718.09229229641</v>
      </c>
      <c r="AF40" s="338">
        <f t="shared" si="38"/>
        <v>154095.13791511749</v>
      </c>
      <c r="AG40" s="469">
        <f>SUM(G40:AF40)</f>
        <v>1533227.9476169501</v>
      </c>
      <c r="AH40" s="7"/>
      <c r="AI40" s="7"/>
      <c r="AJ40" s="7"/>
      <c r="AK40" s="10"/>
      <c r="AL40" s="10"/>
      <c r="AM40" s="10"/>
      <c r="AN40" s="10"/>
    </row>
    <row r="41" spans="1:40" ht="16" thickBot="1">
      <c r="A41" s="1189"/>
      <c r="B41" s="229">
        <v>32</v>
      </c>
      <c r="C41" s="225" t="s">
        <v>442</v>
      </c>
      <c r="D41" s="557">
        <v>1955</v>
      </c>
      <c r="E41" s="558">
        <v>2401</v>
      </c>
      <c r="F41" s="559">
        <v>2702</v>
      </c>
      <c r="G41" s="560">
        <f>F41-G9</f>
        <v>-224.62200279173658</v>
      </c>
      <c r="H41" s="561">
        <f t="shared" ref="H41:AF41" si="39">G41-H9</f>
        <v>-3734.2294978048158</v>
      </c>
      <c r="I41" s="561">
        <f t="shared" si="39"/>
        <v>-7939.971452891531</v>
      </c>
      <c r="J41" s="562">
        <f t="shared" si="39"/>
        <v>-12959.554036194801</v>
      </c>
      <c r="K41" s="563">
        <f t="shared" si="39"/>
        <v>-17105.282621029575</v>
      </c>
      <c r="L41" s="561">
        <f t="shared" si="39"/>
        <v>-21893.315169109203</v>
      </c>
      <c r="M41" s="561">
        <f t="shared" si="39"/>
        <v>-27396.929179934355</v>
      </c>
      <c r="N41" s="561">
        <f t="shared" si="39"/>
        <v>-33697.046463806349</v>
      </c>
      <c r="O41" s="561">
        <f t="shared" si="39"/>
        <v>-40882.943402401637</v>
      </c>
      <c r="P41" s="561">
        <f t="shared" si="39"/>
        <v>-49053.017175988331</v>
      </c>
      <c r="Q41" s="561">
        <f t="shared" si="39"/>
        <v>-58315.61127735216</v>
      </c>
      <c r="R41" s="561">
        <f t="shared" si="39"/>
        <v>-68790.902942548593</v>
      </c>
      <c r="S41" s="561">
        <f t="shared" si="39"/>
        <v>-80612.288903599241</v>
      </c>
      <c r="T41" s="561">
        <f t="shared" si="39"/>
        <v>-93927.839533048056</v>
      </c>
      <c r="U41" s="561">
        <f t="shared" si="39"/>
        <v>-108901.91294441883</v>
      </c>
      <c r="V41" s="561">
        <f t="shared" si="39"/>
        <v>-125716.94664372299</v>
      </c>
      <c r="W41" s="561">
        <f t="shared" si="39"/>
        <v>-144520.2174539952</v>
      </c>
      <c r="X41" s="561">
        <f t="shared" si="39"/>
        <v>-165470.78434411291</v>
      </c>
      <c r="Y41" s="561">
        <f t="shared" si="39"/>
        <v>-188740.43100046375</v>
      </c>
      <c r="Z41" s="561">
        <f t="shared" si="39"/>
        <v>-214514.68380434636</v>
      </c>
      <c r="AA41" s="561">
        <f t="shared" si="39"/>
        <v>-242993.91124756332</v>
      </c>
      <c r="AB41" s="561">
        <f t="shared" si="39"/>
        <v>-274313.36206208135</v>
      </c>
      <c r="AC41" s="561">
        <f t="shared" si="39"/>
        <v>-308615.04741646547</v>
      </c>
      <c r="AD41" s="561">
        <f t="shared" si="39"/>
        <v>-346048.07903770899</v>
      </c>
      <c r="AE41" s="561">
        <f t="shared" si="39"/>
        <v>-386769.02423915488</v>
      </c>
      <c r="AF41" s="562">
        <f t="shared" si="39"/>
        <v>-430942.27869981329</v>
      </c>
      <c r="AG41" s="469">
        <f>SUM(G41:AF41)</f>
        <v>-3454080.2325523482</v>
      </c>
      <c r="AH41" s="7"/>
      <c r="AI41" s="7"/>
      <c r="AJ41" s="7"/>
      <c r="AK41" s="10"/>
      <c r="AL41" s="10"/>
      <c r="AM41" s="10"/>
      <c r="AN41" s="10"/>
    </row>
    <row r="42" spans="1:40" s="7" customFormat="1" ht="16" thickBot="1">
      <c r="A42" s="1183"/>
      <c r="B42" s="1184"/>
      <c r="C42" s="1184"/>
      <c r="D42" s="1184"/>
      <c r="E42" s="1184"/>
      <c r="F42" s="1184"/>
      <c r="G42" s="1184"/>
      <c r="H42" s="1184"/>
      <c r="I42" s="1184"/>
      <c r="J42" s="1184"/>
      <c r="K42" s="1184"/>
      <c r="L42" s="1184"/>
      <c r="M42" s="1184"/>
      <c r="N42" s="1184"/>
      <c r="O42" s="1184"/>
      <c r="P42" s="1184"/>
      <c r="Q42" s="1184"/>
      <c r="R42" s="1184"/>
      <c r="S42" s="1184"/>
      <c r="T42" s="1184"/>
      <c r="U42" s="1184"/>
      <c r="V42" s="1184"/>
      <c r="W42" s="1184"/>
      <c r="X42" s="1184"/>
      <c r="Y42" s="1184"/>
      <c r="Z42" s="1184"/>
      <c r="AA42" s="1184"/>
      <c r="AB42" s="1184"/>
      <c r="AC42" s="1184"/>
      <c r="AD42" s="1184"/>
      <c r="AE42" s="1184"/>
      <c r="AF42" s="1185"/>
      <c r="AG42" s="468"/>
      <c r="AK42" s="10"/>
      <c r="AL42" s="10"/>
      <c r="AM42" s="10"/>
      <c r="AN42" s="10"/>
    </row>
    <row r="43" spans="1:40" ht="15" customHeight="1">
      <c r="A43" s="1177" t="s">
        <v>443</v>
      </c>
      <c r="B43" s="226">
        <v>33</v>
      </c>
      <c r="C43" s="230" t="s">
        <v>444</v>
      </c>
      <c r="D43" s="545">
        <f>'Fin. Data'!D39</f>
        <v>11966</v>
      </c>
      <c r="E43" s="303">
        <f>E36+D43</f>
        <v>11268</v>
      </c>
      <c r="F43" s="788">
        <f>F36+E43</f>
        <v>12828</v>
      </c>
      <c r="G43" s="564">
        <f>G36+F43</f>
        <v>23622.660136668488</v>
      </c>
      <c r="H43" s="565">
        <f>H36+G43</f>
        <v>36487.804977590487</v>
      </c>
      <c r="I43" s="565">
        <f>I36+H43</f>
        <v>50566.797432140957</v>
      </c>
      <c r="J43" s="566">
        <f t="shared" ref="J43:AF43" si="40">J36+I43</f>
        <v>65252.287580103046</v>
      </c>
      <c r="K43" s="567">
        <f>K36+J43</f>
        <v>77014.641179202983</v>
      </c>
      <c r="L43" s="565">
        <f t="shared" si="40"/>
        <v>90554.19813631766</v>
      </c>
      <c r="M43" s="565">
        <f t="shared" si="40"/>
        <v>106803.95591077115</v>
      </c>
      <c r="N43" s="565">
        <f t="shared" si="40"/>
        <v>127254.60108868989</v>
      </c>
      <c r="O43" s="565">
        <f t="shared" si="40"/>
        <v>151084.25319344029</v>
      </c>
      <c r="P43" s="565">
        <f t="shared" si="40"/>
        <v>178848.32608287092</v>
      </c>
      <c r="Q43" s="565">
        <f t="shared" si="40"/>
        <v>211184.40422232012</v>
      </c>
      <c r="R43" s="565">
        <f t="shared" si="40"/>
        <v>248898.38602947554</v>
      </c>
      <c r="S43" s="565">
        <f t="shared" si="40"/>
        <v>293956.71418996429</v>
      </c>
      <c r="T43" s="565">
        <f t="shared" si="40"/>
        <v>345141.1484854304</v>
      </c>
      <c r="U43" s="565">
        <f t="shared" si="40"/>
        <v>404486.88383968489</v>
      </c>
      <c r="V43" s="565">
        <f t="shared" si="40"/>
        <v>471523.26316440146</v>
      </c>
      <c r="W43" s="565">
        <f t="shared" si="40"/>
        <v>548041.08553785202</v>
      </c>
      <c r="X43" s="565">
        <f t="shared" si="40"/>
        <v>635140.6179330342</v>
      </c>
      <c r="Y43" s="565">
        <f t="shared" si="40"/>
        <v>734034.13777183578</v>
      </c>
      <c r="Z43" s="565">
        <f t="shared" si="40"/>
        <v>846095.03050786513</v>
      </c>
      <c r="AA43" s="565">
        <f t="shared" si="40"/>
        <v>970079.46892708295</v>
      </c>
      <c r="AB43" s="565">
        <f t="shared" si="40"/>
        <v>1108361.3483358873</v>
      </c>
      <c r="AC43" s="565">
        <f t="shared" si="40"/>
        <v>1262192.9668519362</v>
      </c>
      <c r="AD43" s="565">
        <f t="shared" si="40"/>
        <v>1432913.9173171041</v>
      </c>
      <c r="AE43" s="565">
        <f t="shared" si="40"/>
        <v>1622007.5733881218</v>
      </c>
      <c r="AF43" s="566">
        <f t="shared" si="40"/>
        <v>1827144.505633641</v>
      </c>
      <c r="AG43" s="468"/>
      <c r="AH43" s="7"/>
      <c r="AI43" s="7"/>
      <c r="AJ43" s="7"/>
      <c r="AK43" s="10"/>
      <c r="AL43" s="10"/>
      <c r="AM43" s="10"/>
      <c r="AN43" s="10"/>
    </row>
    <row r="44" spans="1:40" ht="15">
      <c r="A44" s="1177"/>
      <c r="B44" s="226">
        <v>34</v>
      </c>
      <c r="C44" s="230" t="s">
        <v>294</v>
      </c>
      <c r="D44" s="545">
        <f>'Fin. Data'!D58</f>
        <v>2801</v>
      </c>
      <c r="E44" s="302">
        <f>'Fin. Data'!C58</f>
        <v>10977</v>
      </c>
      <c r="F44" s="546">
        <f>'Fin. Data'!B58</f>
        <v>11392</v>
      </c>
      <c r="G44" s="314">
        <f>+Assumptions!I123</f>
        <v>14843.303143827427</v>
      </c>
      <c r="H44" s="314">
        <f>+Assumptions!J123</f>
        <v>19040.874434389247</v>
      </c>
      <c r="I44" s="314">
        <f>+Assumptions!K123</f>
        <v>23372.377691924317</v>
      </c>
      <c r="J44" s="314">
        <f>+Assumptions!L123</f>
        <v>26216.140278667888</v>
      </c>
      <c r="K44" s="314">
        <f>+Assumptions!M123</f>
        <v>26817.591072870069</v>
      </c>
      <c r="L44" s="314">
        <f>+Assumptions!N123</f>
        <v>27242.443685989991</v>
      </c>
      <c r="M44" s="314">
        <f>+Assumptions!O123</f>
        <v>28776.393128382642</v>
      </c>
      <c r="N44" s="314">
        <f>+Assumptions!P123</f>
        <v>30252.246813689202</v>
      </c>
      <c r="O44" s="314">
        <f>+Assumptions!Q123</f>
        <v>31651.917025845698</v>
      </c>
      <c r="P44" s="314">
        <f>+Assumptions!R123</f>
        <v>32957.445262545072</v>
      </c>
      <c r="Q44" s="314">
        <f>+Assumptions!S123</f>
        <v>34207.53364927345</v>
      </c>
      <c r="R44" s="314">
        <f>+Assumptions!T123</f>
        <v>35503.228816109724</v>
      </c>
      <c r="S44" s="314">
        <f>+Assumptions!U123</f>
        <v>36846.123601572632</v>
      </c>
      <c r="T44" s="314">
        <f>+Assumptions!V123</f>
        <v>38237.863454804763</v>
      </c>
      <c r="U44" s="314">
        <f>+Assumptions!W123</f>
        <v>39680.148034752281</v>
      </c>
      <c r="V44" s="314">
        <f>+Assumptions!X123</f>
        <v>41174.732851083783</v>
      </c>
      <c r="W44" s="314">
        <f>+Assumptions!Y123</f>
        <v>42723.430947562476</v>
      </c>
      <c r="X44" s="314">
        <f>+Assumptions!Z123</f>
        <v>44328.114628573938</v>
      </c>
      <c r="Y44" s="314">
        <f>+Assumptions!AA123</f>
        <v>45990.717229497641</v>
      </c>
      <c r="Z44" s="314">
        <f>+Assumptions!AB123</f>
        <v>47713.234931594154</v>
      </c>
      <c r="AA44" s="314">
        <f>+Assumptions!AC123</f>
        <v>49497.728622061215</v>
      </c>
      <c r="AB44" s="314">
        <f>+Assumptions!AD123</f>
        <v>51346.325799890394</v>
      </c>
      <c r="AC44" s="314">
        <f>+Assumptions!AE123</f>
        <v>53261.222528131584</v>
      </c>
      <c r="AD44" s="314">
        <f>+Assumptions!AF123</f>
        <v>55244.685433145743</v>
      </c>
      <c r="AE44" s="314">
        <f>+Assumptions!AG123</f>
        <v>57299.053751394938</v>
      </c>
      <c r="AF44" s="314">
        <f>+Assumptions!AH123</f>
        <v>59426.741424285625</v>
      </c>
      <c r="AG44" s="483"/>
      <c r="AH44" s="10"/>
      <c r="AI44" s="10"/>
      <c r="AJ44" s="10"/>
      <c r="AK44" s="10"/>
      <c r="AL44" s="10"/>
      <c r="AM44" s="10"/>
      <c r="AN44" s="10"/>
    </row>
    <row r="45" spans="1:40" ht="15">
      <c r="A45" s="1177"/>
      <c r="B45" s="226">
        <v>35</v>
      </c>
      <c r="C45" s="230" t="s">
        <v>445</v>
      </c>
      <c r="D45" s="547"/>
      <c r="E45" s="389"/>
      <c r="F45" s="548">
        <f>1/((1+$F$50)^G50)</f>
        <v>1</v>
      </c>
      <c r="G45" s="344">
        <f t="shared" ref="G45:AF45" si="41">1/((1+$F$50)^G49)</f>
        <v>0.90415913200723319</v>
      </c>
      <c r="H45" s="297">
        <f t="shared" si="41"/>
        <v>0.81750373599207338</v>
      </c>
      <c r="I45" s="297">
        <f t="shared" si="41"/>
        <v>0.73915346834726336</v>
      </c>
      <c r="J45" s="345">
        <f t="shared" si="41"/>
        <v>0.66831235836099756</v>
      </c>
      <c r="K45" s="387">
        <f t="shared" si="41"/>
        <v>0.60426072184538648</v>
      </c>
      <c r="L45" s="297">
        <f t="shared" si="41"/>
        <v>0.5463478497697889</v>
      </c>
      <c r="M45" s="297">
        <f t="shared" si="41"/>
        <v>0.49398539762187055</v>
      </c>
      <c r="N45" s="297">
        <f t="shared" si="41"/>
        <v>0.4466414083380385</v>
      </c>
      <c r="O45" s="297">
        <f t="shared" si="41"/>
        <v>0.40383490808140904</v>
      </c>
      <c r="P45" s="297">
        <f t="shared" si="41"/>
        <v>0.36513101996510761</v>
      </c>
      <c r="Q45" s="297">
        <f t="shared" si="41"/>
        <v>0.33013654608056747</v>
      </c>
      <c r="R45" s="297">
        <f t="shared" si="41"/>
        <v>0.29849597294807184</v>
      </c>
      <c r="S45" s="297">
        <f t="shared" si="41"/>
        <v>0.26988785980838315</v>
      </c>
      <c r="T45" s="297">
        <f t="shared" si="41"/>
        <v>0.24402157306363756</v>
      </c>
      <c r="U45" s="297">
        <f t="shared" si="41"/>
        <v>0.22063433369225818</v>
      </c>
      <c r="V45" s="297">
        <f t="shared" si="41"/>
        <v>0.19948854764218643</v>
      </c>
      <c r="W45" s="297">
        <f t="shared" si="41"/>
        <v>0.18036939208154287</v>
      </c>
      <c r="X45" s="297">
        <f t="shared" si="41"/>
        <v>0.16308263298512013</v>
      </c>
      <c r="Y45" s="297">
        <f t="shared" si="41"/>
        <v>0.14745265188528039</v>
      </c>
      <c r="Z45" s="297">
        <f t="shared" si="41"/>
        <v>0.13332066174075982</v>
      </c>
      <c r="AA45" s="297">
        <f t="shared" si="41"/>
        <v>0.12054309379815534</v>
      </c>
      <c r="AB45" s="297">
        <f t="shared" si="41"/>
        <v>0.10899013905800663</v>
      </c>
      <c r="AC45" s="297">
        <f t="shared" si="41"/>
        <v>9.8544429528034938E-2</v>
      </c>
      <c r="AD45" s="297">
        <f t="shared" si="41"/>
        <v>8.9099845866216026E-2</v>
      </c>
      <c r="AE45" s="297">
        <f t="shared" si="41"/>
        <v>8.0560439300376138E-2</v>
      </c>
      <c r="AF45" s="345">
        <f t="shared" si="41"/>
        <v>7.2839456871949496E-2</v>
      </c>
      <c r="AG45" s="483"/>
      <c r="AH45" s="10"/>
      <c r="AI45" s="10"/>
      <c r="AJ45" s="10"/>
      <c r="AK45" s="10"/>
      <c r="AL45" s="10"/>
      <c r="AM45" s="10"/>
      <c r="AN45" s="10"/>
    </row>
    <row r="46" spans="1:40" ht="15">
      <c r="A46" s="1177"/>
      <c r="B46" s="226">
        <v>36</v>
      </c>
      <c r="C46" s="230" t="s">
        <v>446</v>
      </c>
      <c r="D46" s="549"/>
      <c r="E46" s="550" t="s">
        <v>447</v>
      </c>
      <c r="F46" s="345">
        <f>1/((1+$F$50+0.001)^G50)</f>
        <v>1</v>
      </c>
      <c r="G46" s="344">
        <f>1/((1+$F$50+0.001)^G49)</f>
        <v>0.90334236675700097</v>
      </c>
      <c r="H46" s="297">
        <f t="shared" ref="H46:AF46" si="42">1/((1+$F$50+0.001)^H49)</f>
        <v>0.81602743157813995</v>
      </c>
      <c r="I46" s="297">
        <f t="shared" si="42"/>
        <v>0.73715215138043355</v>
      </c>
      <c r="J46" s="345">
        <f t="shared" si="42"/>
        <v>0.66590076908801588</v>
      </c>
      <c r="K46" s="387">
        <f t="shared" si="42"/>
        <v>0.60153637677327532</v>
      </c>
      <c r="L46" s="297">
        <f t="shared" si="42"/>
        <v>0.54339329428480154</v>
      </c>
      <c r="M46" s="297">
        <f t="shared" si="42"/>
        <v>0.49087018453911618</v>
      </c>
      <c r="N46" s="297">
        <f t="shared" si="42"/>
        <v>0.44342383427201099</v>
      </c>
      <c r="O46" s="297">
        <f t="shared" si="42"/>
        <v>0.40056353592774258</v>
      </c>
      <c r="P46" s="297">
        <f t="shared" si="42"/>
        <v>0.36184601258151988</v>
      </c>
      <c r="Q46" s="297">
        <f t="shared" si="42"/>
        <v>0.32687083340697376</v>
      </c>
      <c r="R46" s="297">
        <f t="shared" si="42"/>
        <v>0.29527627227368902</v>
      </c>
      <c r="S46" s="297">
        <f t="shared" si="42"/>
        <v>0.26673556664289882</v>
      </c>
      <c r="T46" s="297">
        <f t="shared" si="42"/>
        <v>0.24095353806946596</v>
      </c>
      <c r="U46" s="297">
        <f t="shared" si="42"/>
        <v>0.2176635393581445</v>
      </c>
      <c r="V46" s="297">
        <f t="shared" si="42"/>
        <v>0.19662469680049188</v>
      </c>
      <c r="W46" s="297">
        <f t="shared" si="42"/>
        <v>0.17761941897063405</v>
      </c>
      <c r="X46" s="297">
        <f t="shared" si="42"/>
        <v>0.1604511463149359</v>
      </c>
      <c r="Y46" s="297">
        <f t="shared" si="42"/>
        <v>0.14494231826100806</v>
      </c>
      <c r="Z46" s="297">
        <f t="shared" si="42"/>
        <v>0.13093253682114547</v>
      </c>
      <c r="AA46" s="297">
        <f t="shared" si="42"/>
        <v>0.11827690769751172</v>
      </c>
      <c r="AB46" s="297">
        <f t="shared" si="42"/>
        <v>0.10684454173216958</v>
      </c>
      <c r="AC46" s="297">
        <f t="shared" si="42"/>
        <v>9.651720120340522E-2</v>
      </c>
      <c r="AD46" s="297">
        <f t="shared" si="42"/>
        <v>8.7188076967845723E-2</v>
      </c>
      <c r="AE46" s="297">
        <f t="shared" si="42"/>
        <v>7.8760683801125317E-2</v>
      </c>
      <c r="AF46" s="345">
        <f t="shared" si="42"/>
        <v>7.1147862512308327E-2</v>
      </c>
      <c r="AG46" s="483"/>
      <c r="AH46" s="10"/>
      <c r="AI46" s="10"/>
      <c r="AJ46" s="10"/>
      <c r="AK46" s="10"/>
      <c r="AL46" s="10"/>
      <c r="AM46" s="10"/>
      <c r="AN46" s="10"/>
    </row>
    <row r="47" spans="1:40" ht="16" thickBot="1">
      <c r="A47" s="1177"/>
      <c r="B47" s="227">
        <v>37</v>
      </c>
      <c r="C47" s="225" t="s">
        <v>448</v>
      </c>
      <c r="D47" s="549"/>
      <c r="E47" s="550" t="s">
        <v>449</v>
      </c>
      <c r="F47" s="568">
        <f>1/((1+$F$50+0.005)^G50)</f>
        <v>1</v>
      </c>
      <c r="G47" s="569">
        <f t="shared" ref="G47:AF47" si="43">1/((1+$F$50+0.005)^G49)</f>
        <v>0.90009000900090008</v>
      </c>
      <c r="H47" s="570">
        <f t="shared" si="43"/>
        <v>0.81016202430324036</v>
      </c>
      <c r="I47" s="570">
        <f t="shared" si="43"/>
        <v>0.72921874374729112</v>
      </c>
      <c r="J47" s="568">
        <f t="shared" si="43"/>
        <v>0.65636250562312426</v>
      </c>
      <c r="K47" s="571">
        <f t="shared" si="43"/>
        <v>0.59078533359417129</v>
      </c>
      <c r="L47" s="570">
        <f t="shared" si="43"/>
        <v>0.53175997623237736</v>
      </c>
      <c r="M47" s="570">
        <f t="shared" si="43"/>
        <v>0.47863184179331897</v>
      </c>
      <c r="N47" s="570">
        <f t="shared" si="43"/>
        <v>0.43081173878786588</v>
      </c>
      <c r="O47" s="570">
        <f t="shared" si="43"/>
        <v>0.38776934184326362</v>
      </c>
      <c r="P47" s="570">
        <f t="shared" si="43"/>
        <v>0.3490273103899762</v>
      </c>
      <c r="Q47" s="570">
        <f t="shared" si="43"/>
        <v>0.31415599495047364</v>
      </c>
      <c r="R47" s="570">
        <f t="shared" si="43"/>
        <v>0.28276867232265857</v>
      </c>
      <c r="S47" s="570">
        <f t="shared" si="43"/>
        <v>0.25451725681607429</v>
      </c>
      <c r="T47" s="570">
        <f t="shared" si="43"/>
        <v>0.22908843997846476</v>
      </c>
      <c r="U47" s="570">
        <f t="shared" si="43"/>
        <v>0.20620021600221849</v>
      </c>
      <c r="V47" s="570">
        <f t="shared" si="43"/>
        <v>0.18559875427742437</v>
      </c>
      <c r="W47" s="570">
        <f t="shared" si="43"/>
        <v>0.16705558440812274</v>
      </c>
      <c r="X47" s="570">
        <f t="shared" si="43"/>
        <v>0.15036506247355783</v>
      </c>
      <c r="Y47" s="570">
        <f t="shared" si="43"/>
        <v>0.13534209043524559</v>
      </c>
      <c r="Z47" s="570">
        <f t="shared" si="43"/>
        <v>0.12182006339806081</v>
      </c>
      <c r="AA47" s="570">
        <f t="shared" si="43"/>
        <v>0.10964902196045079</v>
      </c>
      <c r="AB47" s="570">
        <f t="shared" si="43"/>
        <v>9.8693989163322046E-2</v>
      </c>
      <c r="AC47" s="570">
        <f t="shared" si="43"/>
        <v>8.8833473594349274E-2</v>
      </c>
      <c r="AD47" s="570">
        <f t="shared" si="43"/>
        <v>7.9958122047119051E-2</v>
      </c>
      <c r="AE47" s="570">
        <f t="shared" si="43"/>
        <v>7.1969506793086446E-2</v>
      </c>
      <c r="AF47" s="568">
        <f t="shared" si="43"/>
        <v>6.4779034017179521E-2</v>
      </c>
      <c r="AG47" s="483"/>
      <c r="AH47" s="10"/>
      <c r="AI47" s="10"/>
      <c r="AJ47" s="10"/>
      <c r="AK47" s="10"/>
      <c r="AL47" s="10"/>
      <c r="AM47" s="10"/>
      <c r="AN47" s="10"/>
    </row>
    <row r="48" spans="1:40" ht="16" thickBot="1">
      <c r="A48" s="1186" t="s">
        <v>418</v>
      </c>
      <c r="B48" s="1187"/>
      <c r="C48" s="1187"/>
      <c r="D48" s="1187"/>
      <c r="E48" s="1187"/>
      <c r="F48" s="1187"/>
      <c r="G48" s="1187"/>
      <c r="H48" s="1187"/>
      <c r="I48" s="1187"/>
      <c r="J48" s="1187"/>
      <c r="K48" s="1187"/>
      <c r="L48" s="1187"/>
      <c r="M48" s="1187"/>
      <c r="N48" s="1187"/>
      <c r="O48" s="1187"/>
      <c r="P48" s="1187"/>
      <c r="Q48" s="1187"/>
      <c r="R48" s="1187"/>
      <c r="S48" s="1187"/>
      <c r="T48" s="1187"/>
      <c r="U48" s="1187"/>
      <c r="V48" s="1187"/>
      <c r="W48" s="1187"/>
      <c r="X48" s="1187"/>
      <c r="Y48" s="1187"/>
      <c r="Z48" s="1187"/>
      <c r="AA48" s="1187"/>
      <c r="AB48" s="1187"/>
      <c r="AC48" s="1187"/>
      <c r="AD48" s="1187"/>
      <c r="AE48" s="1187"/>
      <c r="AF48" s="1188"/>
      <c r="AG48" s="483"/>
      <c r="AH48" s="10"/>
      <c r="AI48" s="10"/>
      <c r="AJ48" s="485"/>
      <c r="AK48" s="10"/>
      <c r="AL48" s="10"/>
      <c r="AM48" s="10"/>
      <c r="AN48" s="10"/>
    </row>
    <row r="49" spans="1:40" ht="15">
      <c r="A49" s="1191" t="s">
        <v>450</v>
      </c>
      <c r="C49" s="242" t="s">
        <v>451</v>
      </c>
      <c r="D49" s="231" t="s">
        <v>452</v>
      </c>
      <c r="E49" s="232" t="s">
        <v>453</v>
      </c>
      <c r="F49" s="243" t="s">
        <v>454</v>
      </c>
      <c r="G49" s="298">
        <v>1</v>
      </c>
      <c r="H49" s="299">
        <v>2</v>
      </c>
      <c r="I49" s="299">
        <v>3</v>
      </c>
      <c r="J49" s="298">
        <v>4</v>
      </c>
      <c r="K49" s="299">
        <v>5</v>
      </c>
      <c r="L49" s="299">
        <v>6</v>
      </c>
      <c r="M49" s="298">
        <v>7</v>
      </c>
      <c r="N49" s="299">
        <v>8</v>
      </c>
      <c r="O49" s="299">
        <v>9</v>
      </c>
      <c r="P49" s="298">
        <v>10</v>
      </c>
      <c r="Q49" s="299">
        <v>11</v>
      </c>
      <c r="R49" s="299">
        <v>12</v>
      </c>
      <c r="S49" s="298">
        <v>13</v>
      </c>
      <c r="T49" s="299">
        <v>14</v>
      </c>
      <c r="U49" s="299">
        <v>15</v>
      </c>
      <c r="V49" s="298">
        <v>16</v>
      </c>
      <c r="W49" s="299">
        <v>17</v>
      </c>
      <c r="X49" s="299">
        <v>18</v>
      </c>
      <c r="Y49" s="298">
        <v>19</v>
      </c>
      <c r="Z49" s="299">
        <v>20</v>
      </c>
      <c r="AA49" s="299">
        <v>21</v>
      </c>
      <c r="AB49" s="298">
        <v>22</v>
      </c>
      <c r="AC49" s="299">
        <v>23</v>
      </c>
      <c r="AD49" s="299">
        <v>24</v>
      </c>
      <c r="AE49" s="298">
        <v>25</v>
      </c>
      <c r="AF49" s="299">
        <v>26</v>
      </c>
      <c r="AG49" s="483"/>
      <c r="AH49" s="10"/>
      <c r="AI49" s="10"/>
      <c r="AJ49" s="10"/>
      <c r="AK49" s="10"/>
      <c r="AL49" s="10"/>
      <c r="AM49" s="10"/>
      <c r="AN49" s="10"/>
    </row>
    <row r="50" spans="1:40" ht="16" thickBot="1">
      <c r="A50" s="1192"/>
      <c r="C50" s="238">
        <v>4.8300000000000003E-2</v>
      </c>
      <c r="D50" s="239">
        <v>4.4699999999999997E-2</v>
      </c>
      <c r="E50" s="240">
        <v>1.2999999999999999E-2</v>
      </c>
      <c r="F50" s="241">
        <f>E50+D50+C50</f>
        <v>0.106</v>
      </c>
      <c r="G50" s="298">
        <v>0</v>
      </c>
      <c r="S50" s="224"/>
      <c r="T50" s="224"/>
      <c r="U50" s="224"/>
      <c r="V50" s="224"/>
      <c r="W50" s="224"/>
      <c r="X50" s="224"/>
      <c r="Y50" s="224"/>
      <c r="Z50" s="224"/>
      <c r="AA50" s="224"/>
      <c r="AB50" s="224"/>
      <c r="AC50" s="224"/>
      <c r="AD50" s="224"/>
      <c r="AE50" s="224"/>
      <c r="AF50" s="224"/>
      <c r="AG50" s="482"/>
      <c r="AH50" s="10"/>
      <c r="AI50" s="10"/>
      <c r="AJ50" s="10"/>
      <c r="AK50" s="10"/>
      <c r="AL50" s="10"/>
      <c r="AM50" s="10"/>
      <c r="AN50" s="10"/>
    </row>
    <row r="51" spans="1:40" ht="15">
      <c r="A51" s="224"/>
      <c r="C51" s="224"/>
      <c r="D51" s="224"/>
      <c r="G51"/>
      <c r="H51" s="224"/>
      <c r="I51" s="224"/>
      <c r="J51" s="224"/>
      <c r="K51" s="224"/>
      <c r="S51" s="224"/>
      <c r="T51" s="224"/>
      <c r="U51" s="224"/>
      <c r="V51" s="224"/>
      <c r="W51" s="224"/>
      <c r="X51" s="224"/>
      <c r="Y51" s="224"/>
      <c r="Z51" s="224"/>
      <c r="AA51" s="224"/>
      <c r="AB51" s="224"/>
      <c r="AC51" s="224"/>
      <c r="AD51" s="224"/>
      <c r="AE51" s="224"/>
      <c r="AF51" s="224"/>
      <c r="AG51" s="482"/>
      <c r="AH51" s="10"/>
      <c r="AI51" s="10"/>
      <c r="AJ51" s="10"/>
      <c r="AK51" s="10"/>
      <c r="AL51" s="10"/>
      <c r="AM51" s="10"/>
      <c r="AN51" s="10"/>
    </row>
    <row r="52" spans="1:40" ht="15" customHeight="1">
      <c r="A52" s="1193" t="s">
        <v>455</v>
      </c>
      <c r="C52" s="406" t="s">
        <v>418</v>
      </c>
      <c r="D52" s="407" t="s">
        <v>395</v>
      </c>
      <c r="E52" s="408" t="s">
        <v>396</v>
      </c>
      <c r="F52" s="407" t="s">
        <v>456</v>
      </c>
      <c r="G52" s="224"/>
      <c r="I52" s="440"/>
      <c r="J52" s="440"/>
      <c r="K52" s="224"/>
      <c r="S52" s="224"/>
      <c r="T52" s="224"/>
      <c r="U52" s="224"/>
      <c r="V52" s="224"/>
      <c r="W52" s="224"/>
      <c r="X52" s="224"/>
      <c r="Y52" s="224"/>
      <c r="Z52" s="224"/>
      <c r="AA52" s="224"/>
      <c r="AB52" s="224"/>
      <c r="AC52" s="224"/>
      <c r="AD52" s="224"/>
      <c r="AE52" s="224"/>
      <c r="AF52" s="224"/>
      <c r="AG52" s="482"/>
      <c r="AH52" s="10"/>
      <c r="AI52" s="10"/>
      <c r="AJ52" s="10"/>
      <c r="AK52" s="10"/>
      <c r="AL52" s="10"/>
      <c r="AM52" s="10"/>
      <c r="AN52" s="10"/>
    </row>
    <row r="53" spans="1:40" ht="15" customHeight="1">
      <c r="A53" s="1193"/>
      <c r="C53" s="409" t="s">
        <v>457</v>
      </c>
      <c r="D53" s="376">
        <f>Assumptions!I17</f>
        <v>0.44396571644292121</v>
      </c>
      <c r="E53" s="377">
        <f>Assumptions!J17</f>
        <v>0.30951404794697324</v>
      </c>
      <c r="F53" s="410" t="s">
        <v>458</v>
      </c>
      <c r="G53" s="447"/>
      <c r="I53" s="224"/>
      <c r="J53" s="224"/>
      <c r="K53" s="224"/>
      <c r="S53" s="224"/>
      <c r="T53" s="224"/>
      <c r="U53" s="224"/>
      <c r="V53" s="224"/>
      <c r="W53" s="224"/>
      <c r="X53" s="224"/>
      <c r="Y53" s="224"/>
      <c r="Z53" s="224"/>
      <c r="AA53" s="224"/>
      <c r="AB53" s="224"/>
      <c r="AC53" s="224"/>
      <c r="AD53" s="224"/>
      <c r="AE53" s="224"/>
      <c r="AF53" s="224"/>
      <c r="AG53" s="482"/>
      <c r="AH53" s="10"/>
      <c r="AI53" s="10"/>
      <c r="AJ53" s="10"/>
      <c r="AK53" s="10"/>
      <c r="AL53" s="10"/>
      <c r="AM53" s="10"/>
      <c r="AN53" s="10"/>
    </row>
    <row r="54" spans="1:40" ht="15" customHeight="1">
      <c r="A54" s="1193"/>
      <c r="C54" s="411" t="s">
        <v>459</v>
      </c>
      <c r="D54" s="378"/>
      <c r="E54" s="378"/>
      <c r="F54" s="412" t="s">
        <v>460</v>
      </c>
      <c r="G54" s="224"/>
      <c r="I54" s="224"/>
      <c r="J54" s="224"/>
      <c r="K54" s="224"/>
      <c r="S54" s="224"/>
      <c r="T54" s="224"/>
      <c r="U54" s="224"/>
      <c r="V54" s="224"/>
      <c r="W54" s="224"/>
      <c r="X54" s="224"/>
      <c r="Y54" s="224"/>
      <c r="Z54" s="224"/>
      <c r="AA54" s="224"/>
      <c r="AB54" s="224"/>
      <c r="AC54" s="224"/>
      <c r="AD54" s="224"/>
      <c r="AE54" s="224"/>
      <c r="AF54" s="224"/>
      <c r="AG54" s="482"/>
      <c r="AH54" s="10"/>
      <c r="AI54" s="10"/>
      <c r="AJ54" s="10"/>
      <c r="AK54" s="10"/>
      <c r="AL54" s="10"/>
      <c r="AM54" s="10"/>
      <c r="AN54" s="10"/>
    </row>
    <row r="55" spans="1:40" ht="15" customHeight="1">
      <c r="A55" s="1193"/>
      <c r="C55" s="388" t="s">
        <v>461</v>
      </c>
      <c r="D55" s="378">
        <f>Assumptions!I18</f>
        <v>8.5099081182425262E-2</v>
      </c>
      <c r="E55" s="378">
        <f>Assumptions!J18</f>
        <v>6.5000000000000002E-2</v>
      </c>
      <c r="F55" s="410" t="s">
        <v>462</v>
      </c>
      <c r="G55" s="224"/>
      <c r="I55" s="224"/>
      <c r="J55" s="224"/>
      <c r="K55" s="224"/>
      <c r="L55" s="224"/>
      <c r="M55" s="224"/>
      <c r="N55" s="224"/>
      <c r="O55" s="224"/>
      <c r="P55" s="224"/>
      <c r="Q55" s="224"/>
      <c r="R55" s="224"/>
      <c r="S55" s="224"/>
      <c r="T55" s="224"/>
      <c r="U55" s="224"/>
      <c r="V55" s="224"/>
      <c r="W55" s="224"/>
      <c r="X55" s="224"/>
      <c r="Y55" s="224"/>
      <c r="Z55" s="224"/>
      <c r="AA55" s="224"/>
      <c r="AB55" s="224"/>
      <c r="AC55" s="224"/>
      <c r="AD55" s="224"/>
      <c r="AE55" s="224"/>
      <c r="AF55" s="224"/>
      <c r="AG55" s="482"/>
      <c r="AH55" s="10"/>
      <c r="AI55" s="10"/>
      <c r="AJ55" s="10"/>
      <c r="AK55" s="10"/>
      <c r="AL55" s="10"/>
      <c r="AM55" s="10"/>
      <c r="AN55" s="10"/>
    </row>
    <row r="56" spans="1:40" ht="15" customHeight="1">
      <c r="A56" s="1193"/>
      <c r="C56" s="411" t="s">
        <v>463</v>
      </c>
      <c r="D56" s="378">
        <f>Assumptions!I19</f>
        <v>0.30000000000000004</v>
      </c>
      <c r="E56" s="378">
        <f>Assumptions!J19</f>
        <v>0.40750000000000003</v>
      </c>
      <c r="F56" s="410" t="s">
        <v>464</v>
      </c>
      <c r="G56" s="224"/>
      <c r="I56" s="224"/>
      <c r="J56" s="224"/>
      <c r="K56" s="224"/>
      <c r="L56" s="224"/>
      <c r="M56" s="224"/>
      <c r="N56" s="224"/>
      <c r="O56" s="224"/>
      <c r="P56" s="224"/>
      <c r="Q56" s="224"/>
      <c r="R56" s="224"/>
      <c r="S56" s="224"/>
      <c r="T56" s="224"/>
      <c r="U56" s="224"/>
      <c r="V56" s="224"/>
      <c r="W56" s="224"/>
      <c r="X56" s="224"/>
      <c r="Y56" s="224"/>
      <c r="Z56" s="224"/>
      <c r="AA56" s="224"/>
      <c r="AB56" s="224"/>
      <c r="AC56" s="224"/>
      <c r="AD56" s="224"/>
      <c r="AE56" s="224"/>
      <c r="AF56" s="224"/>
      <c r="AG56" s="482"/>
      <c r="AH56" s="10"/>
      <c r="AI56" s="10"/>
      <c r="AJ56" s="10"/>
      <c r="AK56" s="10"/>
      <c r="AL56" s="10"/>
      <c r="AM56" s="10"/>
      <c r="AN56" s="10"/>
    </row>
    <row r="57" spans="1:40" ht="15" customHeight="1">
      <c r="A57" s="1193"/>
      <c r="C57" s="388" t="s">
        <v>465</v>
      </c>
      <c r="D57" s="378">
        <f>Assumptions!I20</f>
        <v>2.5767359161519749E-2</v>
      </c>
      <c r="E57" s="378">
        <f>Assumptions!J20</f>
        <v>4.9149999999999999E-2</v>
      </c>
      <c r="F57" s="412" t="s">
        <v>466</v>
      </c>
      <c r="G57" s="224"/>
      <c r="I57" s="224"/>
      <c r="J57" s="224"/>
      <c r="K57" s="224"/>
      <c r="L57" s="224"/>
      <c r="M57" s="224"/>
      <c r="N57" s="224"/>
      <c r="O57" s="224"/>
      <c r="P57" s="224"/>
      <c r="Q57" s="224"/>
      <c r="R57" s="224"/>
      <c r="S57" s="224"/>
      <c r="T57" s="224"/>
      <c r="U57" s="224"/>
      <c r="V57" s="224"/>
      <c r="W57" s="224"/>
      <c r="X57" s="224"/>
      <c r="Y57" s="224"/>
      <c r="Z57" s="224"/>
      <c r="AA57" s="224"/>
      <c r="AB57" s="224"/>
      <c r="AC57" s="224"/>
      <c r="AD57" s="224"/>
      <c r="AE57" s="224"/>
      <c r="AF57" s="224"/>
      <c r="AG57" s="482"/>
      <c r="AH57" s="10"/>
      <c r="AI57" s="10"/>
      <c r="AJ57" s="10"/>
      <c r="AK57" s="10"/>
      <c r="AL57" s="10"/>
      <c r="AM57" s="10"/>
      <c r="AN57" s="10"/>
    </row>
    <row r="58" spans="1:40" ht="15" customHeight="1">
      <c r="A58" s="1193"/>
      <c r="C58" s="411" t="s">
        <v>467</v>
      </c>
      <c r="D58" s="378">
        <v>5.2200000000000003E-2</v>
      </c>
      <c r="E58" s="378">
        <f>Assumptions!J21</f>
        <v>4.9149999999999999E-2</v>
      </c>
      <c r="F58" s="410" t="s">
        <v>468</v>
      </c>
      <c r="G58" s="224"/>
      <c r="H58" s="224"/>
      <c r="I58" s="225"/>
      <c r="J58" s="245"/>
      <c r="K58" s="245"/>
      <c r="L58" s="245"/>
      <c r="M58" s="245"/>
      <c r="N58" s="245"/>
      <c r="O58" s="224"/>
      <c r="P58" s="224"/>
      <c r="Q58" s="224"/>
      <c r="R58" s="224"/>
      <c r="S58" s="224"/>
      <c r="T58" s="224"/>
      <c r="U58" s="224"/>
      <c r="V58" s="224"/>
      <c r="W58" s="224"/>
      <c r="X58" s="224"/>
      <c r="Y58" s="224"/>
      <c r="Z58" s="224"/>
      <c r="AA58" s="224"/>
      <c r="AB58" s="224"/>
      <c r="AC58" s="224"/>
      <c r="AD58" s="224"/>
      <c r="AE58" s="224"/>
      <c r="AF58" s="224"/>
      <c r="AG58" s="482"/>
      <c r="AH58" s="10"/>
      <c r="AI58" s="10"/>
      <c r="AJ58" s="10"/>
      <c r="AK58" s="10"/>
      <c r="AL58" s="10"/>
      <c r="AM58" s="10"/>
      <c r="AN58" s="10"/>
    </row>
    <row r="59" spans="1:40" ht="15" customHeight="1">
      <c r="A59" s="1193"/>
      <c r="C59" s="388" t="s">
        <v>469</v>
      </c>
      <c r="D59" s="378">
        <f>Assumptions!I22</f>
        <v>-3.3666104838189027E-2</v>
      </c>
      <c r="E59" s="378">
        <f>Assumptions!J22</f>
        <v>-2.9898105284624756E-2</v>
      </c>
      <c r="F59" s="412" t="s">
        <v>470</v>
      </c>
      <c r="G59" s="224"/>
      <c r="H59" s="224"/>
      <c r="I59" s="224"/>
      <c r="J59" s="246"/>
      <c r="K59" s="246"/>
      <c r="L59" s="246"/>
      <c r="M59" s="246"/>
      <c r="N59" s="245"/>
      <c r="O59" s="224"/>
      <c r="P59" s="224"/>
      <c r="Q59" s="224"/>
      <c r="R59" s="224"/>
      <c r="S59" s="224"/>
      <c r="T59" s="224"/>
      <c r="U59" s="224"/>
      <c r="V59" s="224"/>
      <c r="W59" s="224"/>
      <c r="X59" s="224"/>
      <c r="Y59" s="224"/>
      <c r="Z59" s="224"/>
      <c r="AA59" s="224"/>
      <c r="AB59" s="224"/>
      <c r="AC59" s="224"/>
      <c r="AD59" s="224"/>
      <c r="AE59" s="224"/>
      <c r="AF59" s="224"/>
      <c r="AG59" s="482"/>
      <c r="AH59" s="10"/>
      <c r="AI59" s="10"/>
      <c r="AJ59" s="10"/>
      <c r="AK59" s="10"/>
      <c r="AL59" s="10"/>
      <c r="AM59" s="10"/>
      <c r="AN59" s="10"/>
    </row>
    <row r="60" spans="1:40" ht="15" customHeight="1">
      <c r="A60" s="1193"/>
      <c r="C60" s="406" t="s">
        <v>471</v>
      </c>
      <c r="D60" s="378">
        <f>Assumptions!I23</f>
        <v>-7.281389571462861E-2</v>
      </c>
      <c r="E60" s="378">
        <f>Assumptions!J23</f>
        <v>-6.1277818245181831E-2</v>
      </c>
      <c r="F60" s="414" t="s">
        <v>472</v>
      </c>
      <c r="G60" s="224"/>
      <c r="H60" s="224"/>
      <c r="I60" s="224"/>
      <c r="J60" s="245"/>
      <c r="K60" s="245"/>
      <c r="L60" s="245"/>
      <c r="M60" s="245"/>
      <c r="N60" s="245"/>
      <c r="O60" s="224"/>
      <c r="P60" s="224"/>
      <c r="Q60" s="224"/>
      <c r="R60" s="224"/>
      <c r="S60" s="224"/>
      <c r="T60" s="224"/>
      <c r="U60" s="224"/>
      <c r="V60" s="224"/>
      <c r="W60" s="224"/>
      <c r="X60" s="224"/>
      <c r="Y60" s="224"/>
      <c r="Z60" s="224"/>
      <c r="AA60" s="224"/>
      <c r="AB60" s="224"/>
      <c r="AC60" s="224"/>
      <c r="AD60" s="224"/>
      <c r="AE60" s="224"/>
      <c r="AF60" s="224"/>
      <c r="AG60" s="482"/>
      <c r="AH60" s="10"/>
      <c r="AI60" s="10"/>
      <c r="AJ60" s="10"/>
      <c r="AK60" s="10"/>
      <c r="AL60" s="10"/>
      <c r="AM60" s="10"/>
      <c r="AN60" s="10"/>
    </row>
    <row r="61" spans="1:40" ht="15" customHeight="1">
      <c r="A61" s="1193"/>
      <c r="C61" s="415" t="s">
        <v>473</v>
      </c>
      <c r="D61" s="378">
        <f>Assumptions!I24</f>
        <v>0.18412689785585598</v>
      </c>
      <c r="E61" s="378">
        <f>Assumptions!J24</f>
        <v>0.20548773895390565</v>
      </c>
      <c r="F61" s="410" t="s">
        <v>474</v>
      </c>
      <c r="G61" s="224"/>
      <c r="H61" s="224"/>
      <c r="I61" s="224"/>
      <c r="J61" s="224"/>
      <c r="K61" s="224"/>
      <c r="L61" s="224"/>
      <c r="M61" s="224"/>
      <c r="N61" s="224"/>
      <c r="O61" s="224"/>
      <c r="P61" s="224"/>
      <c r="Q61" s="224"/>
      <c r="R61" s="224"/>
      <c r="S61" s="224"/>
      <c r="T61" s="224"/>
      <c r="U61" s="224"/>
      <c r="V61" s="224"/>
      <c r="W61" s="224"/>
      <c r="X61" s="224"/>
      <c r="Y61" s="224"/>
      <c r="Z61" s="224"/>
      <c r="AA61" s="224"/>
      <c r="AB61" s="224"/>
      <c r="AC61" s="224"/>
      <c r="AD61" s="224"/>
      <c r="AE61" s="224"/>
      <c r="AF61" s="224"/>
      <c r="AG61" s="482"/>
      <c r="AH61" s="10"/>
      <c r="AI61" s="10"/>
      <c r="AJ61" s="10"/>
      <c r="AK61" s="10"/>
      <c r="AL61" s="10"/>
      <c r="AM61" s="10"/>
      <c r="AN61" s="10"/>
    </row>
    <row r="62" spans="1:40" ht="15" customHeight="1">
      <c r="A62" s="1193"/>
      <c r="C62" s="415" t="s">
        <v>475</v>
      </c>
      <c r="D62" s="378">
        <f>Assumptions!I25</f>
        <v>-3.3666104838189027E-2</v>
      </c>
      <c r="E62" s="378">
        <f>Assumptions!J25</f>
        <v>-2.9898105284624756E-2</v>
      </c>
      <c r="F62" s="410" t="s">
        <v>476</v>
      </c>
      <c r="G62" s="224"/>
      <c r="H62" s="224"/>
      <c r="I62" s="224"/>
      <c r="J62" s="224"/>
      <c r="K62" s="224"/>
      <c r="L62" s="224"/>
      <c r="M62" s="224"/>
      <c r="N62" s="224"/>
      <c r="O62" s="224"/>
      <c r="P62" s="224"/>
      <c r="Q62" s="224"/>
      <c r="R62" s="224"/>
      <c r="S62" s="224"/>
      <c r="T62" s="224"/>
      <c r="U62" s="224"/>
      <c r="V62" s="224"/>
      <c r="W62" s="224"/>
      <c r="X62" s="224"/>
      <c r="Y62" s="224"/>
      <c r="Z62" s="224"/>
      <c r="AA62" s="224"/>
      <c r="AB62" s="224"/>
      <c r="AC62" s="224"/>
      <c r="AD62" s="224"/>
      <c r="AE62" s="224"/>
      <c r="AF62" s="224"/>
      <c r="AG62" s="482"/>
      <c r="AH62" s="10"/>
      <c r="AI62" s="10"/>
      <c r="AJ62" s="10"/>
      <c r="AK62" s="10"/>
      <c r="AL62" s="10"/>
      <c r="AM62" s="10"/>
      <c r="AN62" s="10"/>
    </row>
    <row r="63" spans="1:40" ht="15" customHeight="1">
      <c r="A63" s="1193"/>
      <c r="C63" s="415" t="s">
        <v>477</v>
      </c>
      <c r="D63" s="378">
        <f>Assumptions!I26</f>
        <v>-3.1953482621081331E-2</v>
      </c>
      <c r="E63" s="378">
        <f>Assumptions!J26</f>
        <v>-2.6558114741797204E-2</v>
      </c>
      <c r="F63" s="410" t="s">
        <v>476</v>
      </c>
      <c r="G63" s="224"/>
      <c r="H63" s="224"/>
      <c r="I63" s="224"/>
      <c r="J63" s="224"/>
      <c r="K63" s="224"/>
      <c r="L63" s="224"/>
      <c r="M63" s="224"/>
      <c r="N63" s="224"/>
      <c r="O63" s="224"/>
      <c r="P63" s="224"/>
      <c r="Q63" s="224"/>
      <c r="R63" s="224"/>
      <c r="S63" s="224"/>
      <c r="T63" s="224"/>
      <c r="U63" s="224"/>
      <c r="V63" s="224"/>
      <c r="W63" s="224"/>
      <c r="X63" s="224"/>
      <c r="Y63" s="224"/>
      <c r="Z63" s="224"/>
      <c r="AA63" s="224"/>
      <c r="AB63" s="224"/>
      <c r="AC63" s="224"/>
      <c r="AD63" s="224"/>
      <c r="AE63" s="224"/>
      <c r="AF63" s="224"/>
      <c r="AG63" s="482"/>
      <c r="AH63" s="10"/>
      <c r="AI63" s="10"/>
      <c r="AJ63" s="10"/>
      <c r="AK63" s="10"/>
      <c r="AL63" s="10"/>
      <c r="AM63" s="10"/>
      <c r="AN63" s="10"/>
    </row>
    <row r="64" spans="1:40" ht="15" customHeight="1">
      <c r="A64" s="1193"/>
      <c r="C64" s="415" t="s">
        <v>142</v>
      </c>
      <c r="D64" s="378">
        <f>Assumptions!I27</f>
        <v>0</v>
      </c>
      <c r="E64" s="378">
        <f>+Assumptions!J27</f>
        <v>0.34011176822892464</v>
      </c>
      <c r="F64" s="410" t="s">
        <v>478</v>
      </c>
      <c r="G64" s="224"/>
      <c r="I64" s="224"/>
      <c r="J64" s="224"/>
      <c r="K64" s="224"/>
      <c r="L64" s="224"/>
      <c r="M64" s="224"/>
      <c r="N64" s="224"/>
      <c r="O64" s="224"/>
      <c r="P64" s="224"/>
      <c r="Q64" s="224"/>
      <c r="R64" s="224"/>
      <c r="S64" s="224"/>
      <c r="T64" s="224"/>
      <c r="U64" s="224"/>
      <c r="V64" s="224"/>
      <c r="W64" s="224"/>
      <c r="X64" s="224"/>
      <c r="Y64" s="224"/>
      <c r="Z64" s="224"/>
      <c r="AA64" s="224"/>
      <c r="AB64" s="224"/>
      <c r="AC64" s="224"/>
      <c r="AD64" s="224"/>
      <c r="AE64" s="224"/>
      <c r="AF64" s="224"/>
      <c r="AG64" s="224"/>
    </row>
    <row r="65" spans="1:33" ht="15" customHeight="1">
      <c r="A65" s="1193"/>
      <c r="C65" s="415" t="s">
        <v>479</v>
      </c>
      <c r="D65" s="378">
        <f>Assumptions!I28</f>
        <v>0</v>
      </c>
      <c r="E65" s="378">
        <f>Assumptions!J28</f>
        <v>0.4845132981219632</v>
      </c>
      <c r="F65" s="410" t="s">
        <v>478</v>
      </c>
      <c r="G65" s="224"/>
      <c r="I65" s="224"/>
      <c r="J65" s="224"/>
      <c r="K65" s="224"/>
      <c r="L65" s="224"/>
      <c r="M65" s="224"/>
      <c r="N65" s="224"/>
      <c r="O65" s="224"/>
      <c r="P65" s="224"/>
      <c r="Q65" s="224"/>
      <c r="R65" s="224"/>
      <c r="S65" s="224"/>
      <c r="T65" s="224"/>
      <c r="U65" s="224"/>
      <c r="V65" s="224"/>
      <c r="W65" s="224"/>
      <c r="X65" s="224"/>
      <c r="Y65" s="224"/>
      <c r="Z65" s="224"/>
      <c r="AA65" s="224"/>
      <c r="AB65" s="224"/>
      <c r="AC65" s="224"/>
      <c r="AD65" s="224"/>
      <c r="AE65" s="224"/>
      <c r="AF65" s="224"/>
      <c r="AG65" s="224"/>
    </row>
    <row r="66" spans="1:33" ht="15" customHeight="1">
      <c r="A66" s="1193"/>
      <c r="C66" s="415" t="s">
        <v>480</v>
      </c>
      <c r="D66" s="378">
        <f>Assumptions!I29</f>
        <v>0</v>
      </c>
      <c r="E66" s="378">
        <f>Assumptions!J29</f>
        <v>0</v>
      </c>
      <c r="F66" s="410" t="s">
        <v>476</v>
      </c>
      <c r="G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row>
    <row r="67" spans="1:33" ht="15.75" customHeight="1">
      <c r="A67" s="1193"/>
      <c r="C67" s="415" t="s">
        <v>481</v>
      </c>
      <c r="D67" s="378">
        <f>Assumptions!I30</f>
        <v>0</v>
      </c>
      <c r="E67" s="378">
        <f>Assumptions!J30</f>
        <v>0</v>
      </c>
      <c r="F67" s="410" t="s">
        <v>476</v>
      </c>
      <c r="G67" s="224"/>
      <c r="J67" s="224"/>
      <c r="K67" s="224"/>
      <c r="L67" s="224"/>
      <c r="M67" s="224"/>
      <c r="N67" s="224"/>
      <c r="O67" s="224"/>
      <c r="P67" s="224"/>
      <c r="Q67" s="224"/>
      <c r="R67" s="224"/>
      <c r="S67" s="224"/>
      <c r="T67" s="224"/>
      <c r="U67" s="224"/>
      <c r="V67" s="224"/>
      <c r="W67" s="224"/>
      <c r="X67" s="224"/>
      <c r="Y67" s="224"/>
      <c r="Z67" s="224"/>
      <c r="AA67" s="224"/>
      <c r="AB67" s="224"/>
      <c r="AC67" s="224"/>
      <c r="AD67" s="224"/>
      <c r="AE67" s="224"/>
      <c r="AF67" s="224"/>
      <c r="AG67" s="224"/>
    </row>
    <row r="68" spans="1:33" ht="15.75" customHeight="1">
      <c r="A68" s="1193"/>
      <c r="C68" s="415" t="s">
        <v>294</v>
      </c>
      <c r="D68" s="378">
        <f>Assumptions!I31</f>
        <v>0.27257340818173781</v>
      </c>
      <c r="E68" s="378">
        <f>Assumptions!J31</f>
        <v>0.32756340141298657</v>
      </c>
      <c r="F68" s="410" t="s">
        <v>482</v>
      </c>
      <c r="G68" s="224"/>
      <c r="J68" s="224"/>
      <c r="K68" s="224"/>
      <c r="L68" s="224"/>
      <c r="M68" s="224"/>
      <c r="N68" s="224"/>
      <c r="O68" s="224"/>
      <c r="P68" s="224"/>
      <c r="Q68" s="224"/>
      <c r="R68" s="224"/>
      <c r="S68" s="224"/>
      <c r="T68" s="224"/>
      <c r="U68" s="224"/>
      <c r="V68" s="224"/>
      <c r="W68" s="224"/>
      <c r="X68" s="224"/>
      <c r="Y68" s="224"/>
      <c r="Z68" s="224"/>
      <c r="AA68" s="224"/>
      <c r="AB68" s="224"/>
      <c r="AC68" s="224"/>
      <c r="AD68" s="224"/>
      <c r="AE68" s="224"/>
      <c r="AF68" s="224"/>
      <c r="AG68" s="224"/>
    </row>
    <row r="69" spans="1:33" ht="15">
      <c r="A69" s="224"/>
      <c r="C69" s="224"/>
      <c r="D69" s="224"/>
      <c r="E69" s="224"/>
      <c r="F69" s="224"/>
      <c r="G69" s="224"/>
      <c r="H69" s="224"/>
      <c r="I69" s="224"/>
      <c r="J69" s="224"/>
      <c r="K69" s="224"/>
      <c r="L69" s="224"/>
      <c r="M69" s="224"/>
      <c r="N69" s="224"/>
      <c r="O69" s="224"/>
      <c r="P69" s="224"/>
      <c r="Q69" s="224"/>
      <c r="R69" s="224"/>
      <c r="S69" s="224"/>
      <c r="T69" s="224"/>
      <c r="U69" s="224"/>
      <c r="V69" s="224"/>
      <c r="W69" s="224"/>
      <c r="X69" s="224"/>
      <c r="Y69" s="224"/>
      <c r="Z69" s="224"/>
      <c r="AA69" s="224"/>
      <c r="AB69" s="224"/>
      <c r="AC69" s="224"/>
      <c r="AD69" s="224"/>
      <c r="AE69" s="224"/>
      <c r="AF69" s="224"/>
      <c r="AG69" s="224"/>
    </row>
    <row r="70" spans="1:33" ht="15">
      <c r="A70" s="1172" t="s">
        <v>119</v>
      </c>
      <c r="C70" s="300"/>
      <c r="D70" s="381" t="s">
        <v>483</v>
      </c>
      <c r="E70" s="2"/>
      <c r="G70" s="224"/>
      <c r="H70" s="224"/>
      <c r="I70" s="224"/>
      <c r="J70" s="224"/>
      <c r="K70" s="224"/>
      <c r="L70" s="224"/>
      <c r="M70" s="224"/>
      <c r="N70" s="224"/>
      <c r="O70" s="224"/>
      <c r="P70" s="224"/>
      <c r="Q70" s="224"/>
      <c r="R70" s="224"/>
      <c r="S70" s="224"/>
      <c r="T70" s="224"/>
      <c r="U70" s="224"/>
      <c r="V70" s="224"/>
      <c r="W70" s="224"/>
      <c r="X70" s="224"/>
      <c r="Y70" s="224"/>
      <c r="Z70" s="224"/>
      <c r="AA70" s="224"/>
      <c r="AB70" s="224"/>
      <c r="AC70" s="224"/>
      <c r="AD70" s="224"/>
      <c r="AE70" s="224"/>
      <c r="AF70" s="224"/>
      <c r="AG70" s="224"/>
    </row>
    <row r="71" spans="1:33" ht="15">
      <c r="A71" s="1173"/>
      <c r="C71" s="300" t="s">
        <v>484</v>
      </c>
      <c r="D71" s="382">
        <f>SUMPRODUCT(G35:AF35,G45:AF45)+((AF43-AF44)*AF45)</f>
        <v>55221.442247357496</v>
      </c>
      <c r="E71" s="346">
        <f>D71/D73</f>
        <v>0.32208375689880003</v>
      </c>
      <c r="G71" s="224"/>
      <c r="H71" s="224"/>
      <c r="I71" s="224"/>
      <c r="J71" s="224"/>
      <c r="K71" s="224"/>
      <c r="L71" s="224"/>
      <c r="M71" s="224"/>
      <c r="N71" s="224"/>
      <c r="O71" s="224"/>
      <c r="P71" s="224"/>
      <c r="Q71" s="224"/>
      <c r="R71" s="224"/>
      <c r="S71" s="224"/>
      <c r="T71" s="224"/>
      <c r="U71" s="224"/>
      <c r="V71" s="224"/>
      <c r="W71" s="224"/>
      <c r="X71" s="224"/>
      <c r="Y71" s="224"/>
      <c r="Z71" s="224"/>
      <c r="AA71" s="224"/>
      <c r="AB71" s="224"/>
      <c r="AC71" s="224"/>
      <c r="AD71" s="224"/>
      <c r="AE71" s="224"/>
      <c r="AF71" s="224"/>
      <c r="AG71" s="224"/>
    </row>
    <row r="72" spans="1:33" ht="15">
      <c r="A72" s="1173"/>
      <c r="C72" s="300" t="s">
        <v>485</v>
      </c>
      <c r="D72" s="382">
        <f>(AF34/(F50-AF5))*AF45</f>
        <v>116229.12321753892</v>
      </c>
      <c r="E72" s="346">
        <f>D72/D73</f>
        <v>0.67791624310120002</v>
      </c>
      <c r="G72" s="224"/>
      <c r="H72" s="224"/>
      <c r="I72" s="224"/>
      <c r="J72" s="224"/>
      <c r="K72" s="224"/>
      <c r="L72" s="224"/>
      <c r="M72" s="224"/>
      <c r="N72" s="224"/>
      <c r="O72" s="224"/>
      <c r="P72" s="224"/>
      <c r="Q72" s="224"/>
      <c r="R72" s="224"/>
      <c r="S72" s="224"/>
      <c r="T72" s="224"/>
      <c r="U72" s="224"/>
      <c r="V72" s="224"/>
      <c r="W72" s="224"/>
      <c r="X72" s="224"/>
      <c r="Y72" s="224"/>
      <c r="Z72" s="224"/>
      <c r="AA72" s="224"/>
      <c r="AB72" s="224"/>
      <c r="AC72" s="224"/>
      <c r="AD72" s="224"/>
      <c r="AE72" s="224"/>
      <c r="AF72" s="224"/>
      <c r="AG72" s="224"/>
    </row>
    <row r="73" spans="1:33" ht="15">
      <c r="A73" s="1173"/>
      <c r="C73" s="300" t="s">
        <v>486</v>
      </c>
      <c r="D73" s="382">
        <f>D71+D72</f>
        <v>171450.56546489641</v>
      </c>
      <c r="E73" s="2"/>
      <c r="G73" s="224"/>
      <c r="H73" s="224"/>
      <c r="I73" s="224"/>
      <c r="J73" s="224"/>
      <c r="K73" s="224"/>
      <c r="L73" s="224"/>
      <c r="M73" s="224"/>
      <c r="N73" s="224"/>
      <c r="O73" s="224"/>
      <c r="P73" s="224"/>
      <c r="Q73" s="224"/>
      <c r="R73" s="224"/>
      <c r="S73" s="224"/>
      <c r="T73" s="224"/>
      <c r="U73" s="224"/>
      <c r="V73" s="224"/>
      <c r="W73" s="224"/>
      <c r="X73" s="224"/>
      <c r="Y73" s="224"/>
      <c r="Z73" s="224"/>
      <c r="AA73" s="224"/>
      <c r="AB73" s="224"/>
      <c r="AC73" s="224"/>
      <c r="AD73" s="224"/>
      <c r="AE73" s="224"/>
      <c r="AF73" s="224"/>
      <c r="AG73" s="224"/>
    </row>
    <row r="74" spans="1:33" ht="15">
      <c r="A74" s="1173"/>
      <c r="C74" s="646" t="s">
        <v>487</v>
      </c>
      <c r="D74" s="647" t="e" vm="4">
        <f>OP!C20</f>
        <v>#VALUE!</v>
      </c>
      <c r="E74" s="301"/>
      <c r="G74" s="224"/>
      <c r="H74" s="224"/>
      <c r="I74" s="224"/>
      <c r="J74" s="224"/>
      <c r="K74" s="224"/>
      <c r="L74" s="224"/>
      <c r="M74" s="224"/>
      <c r="N74" s="224"/>
      <c r="O74" s="224"/>
      <c r="P74" s="224"/>
      <c r="Q74" s="224"/>
      <c r="R74" s="224"/>
      <c r="S74" s="224"/>
      <c r="T74" s="224"/>
      <c r="U74" s="224"/>
      <c r="V74" s="224"/>
      <c r="W74" s="224"/>
      <c r="X74" s="224"/>
      <c r="Y74" s="224"/>
      <c r="Z74" s="224"/>
      <c r="AA74" s="224"/>
      <c r="AB74" s="224"/>
      <c r="AC74" s="224"/>
      <c r="AD74" s="224"/>
      <c r="AE74" s="224"/>
      <c r="AF74" s="224"/>
      <c r="AG74" s="224"/>
    </row>
    <row r="75" spans="1:33" ht="15">
      <c r="A75" s="1173"/>
      <c r="C75" s="646" t="s">
        <v>488</v>
      </c>
      <c r="D75" s="383" t="e" vm="4">
        <f>D76/D74-1</f>
        <v>#VALUE!</v>
      </c>
      <c r="H75" s="224"/>
      <c r="I75" s="224"/>
      <c r="J75" s="224"/>
      <c r="K75" s="224"/>
      <c r="L75" s="224"/>
      <c r="M75" s="224"/>
      <c r="N75" s="224"/>
      <c r="O75" s="224"/>
      <c r="P75" s="224"/>
      <c r="Q75" s="224"/>
      <c r="R75" s="224"/>
      <c r="S75" s="224"/>
      <c r="T75" s="224"/>
      <c r="U75" s="224"/>
      <c r="V75" s="224"/>
      <c r="W75" s="224"/>
      <c r="X75" s="224"/>
      <c r="Y75" s="224"/>
      <c r="Z75" s="224"/>
      <c r="AA75" s="224"/>
      <c r="AB75" s="224"/>
      <c r="AC75" s="224"/>
      <c r="AD75" s="224"/>
      <c r="AE75" s="224"/>
      <c r="AF75" s="224"/>
      <c r="AG75" s="224"/>
    </row>
    <row r="76" spans="1:33" ht="15">
      <c r="A76" s="1174"/>
      <c r="C76" s="384" t="s">
        <v>489</v>
      </c>
      <c r="D76" s="385" t="e" vm="4">
        <f>D73*1000000/OP!C21</f>
        <v>#VALUE!</v>
      </c>
    </row>
    <row r="77" spans="1:33" ht="15">
      <c r="A77" s="364"/>
      <c r="C77" s="301"/>
      <c r="D77" s="648"/>
    </row>
    <row r="78" spans="1:33" ht="15">
      <c r="A78" s="1168" t="s">
        <v>490</v>
      </c>
      <c r="C78" s="405" t="s">
        <v>491</v>
      </c>
      <c r="D78" s="647" t="e" vm="4">
        <f>(SUMPRODUCT(G35:AF35,G45:AF45)+((AF43-AF44)*AF45)+(AF34/(F50+0.001-AF5))*AF45)*1000000/OP!C21</f>
        <v>#VALUE!</v>
      </c>
      <c r="E78" s="386" t="e" vm="4">
        <f>D78/D76-1</f>
        <v>#VALUE!</v>
      </c>
    </row>
    <row r="79" spans="1:33" ht="15">
      <c r="A79" s="1169"/>
      <c r="C79" s="405" t="s">
        <v>492</v>
      </c>
      <c r="D79" s="647" t="e" vm="4">
        <f>(SUMPRODUCT(G35:AF35,G45:AF45)+((AF43-AF44)*AF45)+(AF34/(F50+0.005-AF5))*AF45)*1000000/OP!C21</f>
        <v>#VALUE!</v>
      </c>
      <c r="E79" s="386" t="e" vm="4">
        <f>D79/D76-1</f>
        <v>#VALUE!</v>
      </c>
    </row>
    <row r="80" spans="1:33" ht="15">
      <c r="A80" s="403"/>
      <c r="C80" s="404"/>
      <c r="D80" s="648"/>
      <c r="E80" s="386"/>
    </row>
    <row r="81" spans="1:12" ht="15">
      <c r="A81" s="416" t="s">
        <v>493</v>
      </c>
      <c r="J81" s="5"/>
    </row>
    <row r="82" spans="1:12">
      <c r="G82" s="1"/>
      <c r="H82" s="1"/>
      <c r="I82" s="1"/>
      <c r="J82" s="4"/>
    </row>
    <row r="83" spans="1:12">
      <c r="G83" s="1"/>
      <c r="H83" s="1"/>
      <c r="I83" s="1"/>
      <c r="J83" s="4"/>
    </row>
    <row r="84" spans="1:12">
      <c r="G84" s="1"/>
      <c r="H84" s="1"/>
      <c r="I84" s="1"/>
      <c r="K84" s="4"/>
    </row>
    <row r="85" spans="1:12">
      <c r="L85" s="5"/>
    </row>
    <row r="86" spans="1:12">
      <c r="G86" s="1"/>
      <c r="H86" s="1"/>
      <c r="I86" s="1"/>
    </row>
    <row r="87" spans="1:12">
      <c r="G87" s="1"/>
      <c r="H87" s="1"/>
      <c r="I87" s="1"/>
    </row>
    <row r="88" spans="1:12">
      <c r="G88" s="1"/>
      <c r="H88" s="1"/>
      <c r="I88" s="1"/>
    </row>
  </sheetData>
  <mergeCells count="15">
    <mergeCell ref="A33:AF33"/>
    <mergeCell ref="A78:A79"/>
    <mergeCell ref="A1:AF2"/>
    <mergeCell ref="A70:A76"/>
    <mergeCell ref="A5:A17"/>
    <mergeCell ref="A19:A32"/>
    <mergeCell ref="A43:A47"/>
    <mergeCell ref="G3:J3"/>
    <mergeCell ref="K3:AF3"/>
    <mergeCell ref="A42:AF42"/>
    <mergeCell ref="A48:AF48"/>
    <mergeCell ref="A34:A36"/>
    <mergeCell ref="A38:A41"/>
    <mergeCell ref="A49:A50"/>
    <mergeCell ref="A52:A68"/>
  </mergeCells>
  <phoneticPr fontId="0" type="noConversion"/>
  <conditionalFormatting sqref="D75">
    <cfRule type="cellIs" dxfId="1" priority="1" operator="lessThan">
      <formula>0</formula>
    </cfRule>
    <cfRule type="cellIs" dxfId="0" priority="2" operator="greaterThan">
      <formula>0%</formula>
    </cfRule>
  </conditionalFormatting>
  <pageMargins left="0.75" right="0.75" top="1" bottom="1" header="0" footer="0"/>
  <pageSetup orientation="portrait"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4465F-F60F-4DA4-8EB4-9D275D264FB2}">
  <dimension ref="A2:AJ156"/>
  <sheetViews>
    <sheetView showGridLines="0" topLeftCell="B4" zoomScale="114" zoomScaleNormal="100" workbookViewId="0">
      <selection activeCell="N82" sqref="N82"/>
    </sheetView>
  </sheetViews>
  <sheetFormatPr baseColWidth="10" defaultColWidth="9.1640625" defaultRowHeight="13"/>
  <cols>
    <col min="1" max="1" width="9.1640625" style="613"/>
    <col min="2" max="2" width="60.5" style="613" bestFit="1" customWidth="1"/>
    <col min="3" max="3" width="13.83203125" style="613" bestFit="1" customWidth="1"/>
    <col min="4" max="4" width="12.6640625" style="613" bestFit="1" customWidth="1"/>
    <col min="5" max="5" width="12.5" style="613" bestFit="1" customWidth="1"/>
    <col min="6" max="6" width="20.1640625" style="613" bestFit="1" customWidth="1"/>
    <col min="7" max="7" width="12.5" style="613" bestFit="1" customWidth="1"/>
    <col min="8" max="8" width="20" style="613" bestFit="1" customWidth="1"/>
    <col min="9" max="9" width="23.1640625" style="613" bestFit="1" customWidth="1"/>
    <col min="10" max="10" width="16.83203125" style="613" bestFit="1" customWidth="1"/>
    <col min="11" max="11" width="17" style="613" bestFit="1" customWidth="1"/>
    <col min="12" max="12" width="16.83203125" style="613" bestFit="1" customWidth="1"/>
    <col min="13" max="14" width="12.1640625" style="613" bestFit="1" customWidth="1"/>
    <col min="15" max="15" width="12.5" style="613" bestFit="1" customWidth="1"/>
    <col min="16" max="16" width="11.5" style="613" bestFit="1" customWidth="1"/>
    <col min="17" max="22" width="12.5" style="613" bestFit="1" customWidth="1"/>
    <col min="23" max="23" width="13.5" style="613" bestFit="1" customWidth="1"/>
    <col min="24" max="29" width="12.5" style="613" bestFit="1" customWidth="1"/>
    <col min="30" max="30" width="12.1640625" style="613" bestFit="1" customWidth="1"/>
    <col min="31" max="33" width="12.5" style="613" bestFit="1" customWidth="1"/>
    <col min="34" max="34" width="12.1640625" style="613" bestFit="1" customWidth="1"/>
    <col min="35" max="36" width="12.5" style="613" bestFit="1" customWidth="1"/>
    <col min="37" max="16384" width="9.1640625" style="613"/>
  </cols>
  <sheetData>
    <row r="2" spans="1:35" s="612" customFormat="1" ht="12.5" customHeight="1">
      <c r="A2" s="609"/>
      <c r="B2" s="610" t="s">
        <v>494</v>
      </c>
      <c r="C2" s="611"/>
      <c r="D2" s="609"/>
      <c r="E2" s="609"/>
      <c r="F2" s="609"/>
      <c r="G2" s="609"/>
      <c r="H2" s="609"/>
      <c r="I2" s="609"/>
      <c r="J2" s="609"/>
      <c r="K2" s="609"/>
      <c r="L2" s="609"/>
      <c r="M2" s="609"/>
      <c r="N2" s="609"/>
      <c r="O2" s="609"/>
      <c r="P2" s="609"/>
      <c r="Q2" s="609"/>
      <c r="R2" s="609"/>
      <c r="S2" s="609"/>
      <c r="T2" s="609"/>
      <c r="U2" s="609"/>
      <c r="V2" s="609"/>
      <c r="W2" s="609"/>
      <c r="X2" s="609"/>
      <c r="Y2" s="609"/>
      <c r="Z2" s="609"/>
      <c r="AA2" s="609"/>
      <c r="AB2" s="609"/>
      <c r="AC2" s="609"/>
      <c r="AD2" s="609"/>
      <c r="AE2" s="609"/>
      <c r="AF2" s="609"/>
      <c r="AG2" s="609"/>
      <c r="AH2" s="609"/>
      <c r="AI2" s="609"/>
    </row>
    <row r="3" spans="1:35" ht="12.5" customHeight="1">
      <c r="C3" s="614"/>
    </row>
    <row r="4" spans="1:35">
      <c r="B4" s="613" t="s">
        <v>495</v>
      </c>
      <c r="F4" s="615"/>
      <c r="G4" s="616"/>
      <c r="H4" s="616"/>
      <c r="I4" s="616"/>
      <c r="J4" s="616"/>
      <c r="K4" s="616"/>
      <c r="L4" s="616"/>
    </row>
    <row r="5" spans="1:35">
      <c r="B5" s="617"/>
      <c r="G5" s="618"/>
      <c r="H5" s="618"/>
      <c r="I5" s="618"/>
      <c r="J5" s="618"/>
      <c r="K5" s="618"/>
      <c r="L5" s="618"/>
    </row>
    <row r="6" spans="1:35">
      <c r="B6" s="613" t="s">
        <v>496</v>
      </c>
    </row>
    <row r="8" spans="1:35">
      <c r="B8" s="616"/>
      <c r="C8" s="637">
        <v>2022</v>
      </c>
      <c r="D8" s="637">
        <f>C8-1</f>
        <v>2021</v>
      </c>
      <c r="E8" s="637">
        <f t="shared" ref="E8:G8" si="0">D8-1</f>
        <v>2020</v>
      </c>
      <c r="F8" s="637">
        <f t="shared" si="0"/>
        <v>2019</v>
      </c>
      <c r="G8" s="637">
        <f t="shared" si="0"/>
        <v>2018</v>
      </c>
      <c r="I8" s="636" t="s">
        <v>497</v>
      </c>
      <c r="K8" s="631" t="s">
        <v>498</v>
      </c>
      <c r="L8" s="631" t="s">
        <v>499</v>
      </c>
    </row>
    <row r="9" spans="1:35">
      <c r="B9" s="635" t="s">
        <v>500</v>
      </c>
      <c r="C9" s="285">
        <f>(Inputs!B6-Inputs!C6)/Inputs!C6</f>
        <v>0.18345160803261362</v>
      </c>
      <c r="D9" s="285">
        <f>(Inputs!C6-Inputs!D6)/Inputs!D6</f>
        <v>0.24656502917372483</v>
      </c>
      <c r="E9" s="285">
        <f>(Inputs!D6-Inputs!E6)/Inputs!E6</f>
        <v>0.24295239209264241</v>
      </c>
      <c r="F9" s="285">
        <f>(Inputs!E6-Inputs!F6)/Inputs!F6</f>
        <v>0.28730612859509108</v>
      </c>
      <c r="G9" s="285">
        <f>(Inputs!F6-Inputs!G6)/Inputs!G6</f>
        <v>0.26015180265654647</v>
      </c>
      <c r="H9" s="285"/>
      <c r="I9" s="618">
        <f>AVERAGE(C9:G9)</f>
        <v>0.24408539211012367</v>
      </c>
      <c r="K9" s="632">
        <f>+AVERAGE(C9:I9)</f>
        <v>0.24408539211012367</v>
      </c>
      <c r="L9" s="632"/>
    </row>
    <row r="10" spans="1:35" ht="10.5" customHeight="1">
      <c r="B10" s="635" t="s">
        <v>132</v>
      </c>
      <c r="C10" s="285">
        <f>Inputs!B8/Inputs!B6</f>
        <v>3.2852768563409032E-2</v>
      </c>
      <c r="D10" s="285">
        <f>Inputs!C8/Inputs!C6</f>
        <v>2.0685489959232976E-2</v>
      </c>
      <c r="E10" s="285">
        <f>Inputs!D8/Inputs!D6</f>
        <v>2.1409749670619236E-2</v>
      </c>
      <c r="F10" s="285">
        <f>Inputs!E8/Inputs!E6</f>
        <v>1.7370452684524505E-2</v>
      </c>
      <c r="G10" s="285">
        <f>Inputs!F8/Inputs!F6</f>
        <v>4.0280078301460624E-2</v>
      </c>
      <c r="H10" s="285"/>
      <c r="I10" s="618">
        <f>AVERAGE(C10:G10)</f>
        <v>2.6519707835849272E-2</v>
      </c>
      <c r="K10" s="632">
        <f>+AVERAGE(C10:I10)</f>
        <v>2.6519707835849272E-2</v>
      </c>
      <c r="L10" s="632"/>
    </row>
    <row r="13" spans="1:35" s="612" customFormat="1" ht="14">
      <c r="A13" s="609"/>
      <c r="B13" s="611" t="s">
        <v>501</v>
      </c>
      <c r="C13" s="611"/>
      <c r="D13" s="609"/>
      <c r="E13" s="609"/>
      <c r="F13" s="609"/>
      <c r="G13" s="609"/>
      <c r="H13" s="609"/>
      <c r="I13" s="609"/>
      <c r="J13" s="609"/>
      <c r="K13" s="609"/>
      <c r="L13" s="609"/>
      <c r="M13" s="609"/>
      <c r="N13" s="609"/>
      <c r="O13" s="609"/>
      <c r="P13" s="609"/>
      <c r="Q13" s="609"/>
      <c r="R13" s="609"/>
      <c r="S13" s="609"/>
      <c r="T13" s="609"/>
      <c r="U13" s="609"/>
      <c r="V13" s="609"/>
      <c r="W13" s="609"/>
      <c r="X13" s="609"/>
      <c r="Y13" s="609"/>
      <c r="Z13" s="609"/>
      <c r="AA13" s="609"/>
      <c r="AB13" s="609"/>
      <c r="AC13" s="609"/>
      <c r="AD13" s="609"/>
      <c r="AE13" s="609"/>
      <c r="AF13" s="609"/>
      <c r="AG13" s="609"/>
      <c r="AH13" s="609"/>
      <c r="AI13" s="609"/>
    </row>
    <row r="14" spans="1:35" ht="14">
      <c r="A14" s="633"/>
      <c r="B14" s="634"/>
      <c r="C14" s="634"/>
      <c r="D14" s="633"/>
      <c r="E14" s="633"/>
      <c r="F14" s="633"/>
      <c r="G14" s="633"/>
      <c r="H14" s="633"/>
      <c r="I14" s="633"/>
      <c r="J14" s="633"/>
      <c r="K14" s="633"/>
      <c r="L14" s="633"/>
      <c r="M14" s="633"/>
      <c r="N14" s="633"/>
      <c r="O14" s="633"/>
      <c r="P14" s="633"/>
      <c r="Q14" s="633"/>
      <c r="R14" s="633"/>
      <c r="S14" s="633"/>
      <c r="T14" s="633"/>
      <c r="U14" s="633"/>
      <c r="V14" s="633"/>
      <c r="W14" s="633"/>
      <c r="X14" s="633"/>
      <c r="Y14" s="633"/>
      <c r="Z14" s="633"/>
      <c r="AA14" s="633"/>
      <c r="AB14" s="633"/>
      <c r="AC14" s="633"/>
      <c r="AD14" s="633"/>
      <c r="AE14" s="633"/>
      <c r="AF14" s="633"/>
      <c r="AG14" s="633"/>
    </row>
    <row r="15" spans="1:35" ht="15">
      <c r="C15" s="1198" t="s">
        <v>502</v>
      </c>
      <c r="D15" s="1198"/>
      <c r="E15" s="1198"/>
      <c r="F15" s="1198"/>
      <c r="G15" s="1198"/>
    </row>
    <row r="16" spans="1:35" ht="15">
      <c r="B16" s="619"/>
      <c r="C16" s="630">
        <v>2018</v>
      </c>
      <c r="D16" s="630">
        <v>2019</v>
      </c>
      <c r="E16" s="630">
        <v>2020</v>
      </c>
      <c r="F16" s="630">
        <v>2021</v>
      </c>
      <c r="G16" s="630">
        <v>2022</v>
      </c>
      <c r="H16" s="620"/>
      <c r="I16" s="631" t="s">
        <v>498</v>
      </c>
      <c r="J16" s="631" t="s">
        <v>499</v>
      </c>
      <c r="L16" s="613" t="s">
        <v>503</v>
      </c>
    </row>
    <row r="17" spans="2:34">
      <c r="B17" s="635" t="s">
        <v>504</v>
      </c>
      <c r="C17" s="797">
        <f>C50</f>
        <v>0.38674884437596302</v>
      </c>
      <c r="D17" s="797">
        <f t="shared" ref="D17:G17" si="1">D50</f>
        <v>0.46903949293027791</v>
      </c>
      <c r="E17" s="797">
        <f t="shared" si="1"/>
        <v>0.39427516158818099</v>
      </c>
      <c r="F17" s="797">
        <f t="shared" si="1"/>
        <v>0.50256048031078937</v>
      </c>
      <c r="G17" s="797">
        <f t="shared" si="1"/>
        <v>0.57910447761194028</v>
      </c>
      <c r="I17" s="632">
        <v>0.44396571644292121</v>
      </c>
      <c r="J17" s="632">
        <f>AVERAGE(M50,M51,R51,W51,AB51,AG51,)</f>
        <v>0.30951404794697324</v>
      </c>
      <c r="AH17" s="621"/>
    </row>
    <row r="18" spans="2:34">
      <c r="B18" s="635" t="s">
        <v>461</v>
      </c>
      <c r="C18" s="798" t="s">
        <v>77</v>
      </c>
      <c r="D18" s="798" t="s">
        <v>77</v>
      </c>
      <c r="E18" s="797">
        <f>+F64</f>
        <v>8.399209486166008E-2</v>
      </c>
      <c r="F18" s="797">
        <f t="shared" ref="F18:G18" si="2">+G64</f>
        <v>8.26664653480296E-2</v>
      </c>
      <c r="G18" s="797">
        <f t="shared" si="2"/>
        <v>8.8638683337586122E-2</v>
      </c>
      <c r="I18" s="632">
        <f>+AVERAGE(E18:G18)</f>
        <v>8.5099081182425262E-2</v>
      </c>
      <c r="J18" s="632">
        <v>6.5000000000000002E-2</v>
      </c>
    </row>
    <row r="19" spans="2:34" ht="12.5" customHeight="1">
      <c r="B19" s="803" t="s">
        <v>463</v>
      </c>
      <c r="C19" s="804">
        <v>-0.13</v>
      </c>
      <c r="D19" s="804">
        <v>0.82</v>
      </c>
      <c r="E19" s="905">
        <v>0.59</v>
      </c>
      <c r="F19" s="905">
        <v>0.68</v>
      </c>
      <c r="G19" s="905">
        <v>0.06</v>
      </c>
      <c r="H19" s="818"/>
      <c r="I19" s="805">
        <f>AVERAGE(C19,E19:G19)</f>
        <v>0.30000000000000004</v>
      </c>
      <c r="J19" s="805">
        <f>AVERAGE(E19,F19:I19)</f>
        <v>0.40750000000000003</v>
      </c>
    </row>
    <row r="20" spans="2:34">
      <c r="B20" s="635" t="s">
        <v>465</v>
      </c>
      <c r="C20" s="798"/>
      <c r="D20" s="798"/>
      <c r="E20" s="798"/>
      <c r="F20" s="798"/>
      <c r="G20" s="798"/>
      <c r="I20" s="632">
        <f>+F83</f>
        <v>2.5767359161519749E-2</v>
      </c>
      <c r="J20" s="644">
        <v>4.9149999999999999E-2</v>
      </c>
    </row>
    <row r="21" spans="2:34">
      <c r="B21" s="635" t="s">
        <v>467</v>
      </c>
      <c r="C21" s="798"/>
      <c r="D21" s="798"/>
      <c r="E21" s="798"/>
      <c r="F21" s="798"/>
      <c r="G21" s="798"/>
      <c r="I21" s="644">
        <v>5.4769999999999999E-2</v>
      </c>
      <c r="J21" s="644">
        <v>4.9149999999999999E-2</v>
      </c>
    </row>
    <row r="22" spans="2:34">
      <c r="B22" s="635" t="s">
        <v>469</v>
      </c>
      <c r="C22" s="798"/>
      <c r="D22" s="798"/>
      <c r="E22" s="798"/>
      <c r="F22" s="798"/>
      <c r="G22" s="798"/>
      <c r="I22" s="632">
        <f>I25</f>
        <v>-3.3666104838189027E-2</v>
      </c>
      <c r="J22" s="632">
        <f>J25</f>
        <v>-2.9898105284624756E-2</v>
      </c>
    </row>
    <row r="23" spans="2:34">
      <c r="B23" s="803" t="s">
        <v>471</v>
      </c>
      <c r="C23" s="804">
        <v>6.7760879385634692E-3</v>
      </c>
      <c r="D23" s="804">
        <v>-0.1120014036729442</v>
      </c>
      <c r="E23" s="804">
        <v>-4.5925089403350272E-2</v>
      </c>
      <c r="F23" s="804">
        <v>-6.3037898233428966E-2</v>
      </c>
      <c r="G23" s="804">
        <v>-8.0664710385302374E-2</v>
      </c>
      <c r="H23" s="818"/>
      <c r="I23" s="805">
        <v>-7.281389571462861E-2</v>
      </c>
      <c r="J23" s="805">
        <v>-6.1277818245181831E-2</v>
      </c>
    </row>
    <row r="24" spans="2:34">
      <c r="B24" s="635" t="s">
        <v>473</v>
      </c>
      <c r="C24" s="798">
        <f>1027/Assumptions!D41</f>
        <v>7.7322692365607584E-2</v>
      </c>
      <c r="D24" s="798">
        <f>1429/Assumptions!E41</f>
        <v>8.3577026552813197E-2</v>
      </c>
      <c r="E24" s="798">
        <f>DCF!D38/Assumptions!F41</f>
        <v>0.19358178053830227</v>
      </c>
      <c r="F24" s="798">
        <f>DCF!E38/Assumptions!G41</f>
        <v>0.33889476068247015</v>
      </c>
      <c r="G24" s="798">
        <f>DCF!F38/Assumptions!H41</f>
        <v>0.22725822914008675</v>
      </c>
      <c r="I24" s="632">
        <f>AVERAGE(C24:G24)</f>
        <v>0.18412689785585598</v>
      </c>
      <c r="J24" s="632">
        <f>AVERAGE(I24,D24:G24)</f>
        <v>0.20548773895390565</v>
      </c>
    </row>
    <row r="25" spans="2:34" ht="12.5" customHeight="1">
      <c r="B25" s="635" t="s">
        <v>505</v>
      </c>
      <c r="C25" s="798">
        <v>-4.4797470260502938E-2</v>
      </c>
      <c r="D25" s="798">
        <v>-3.7606737630132177E-2</v>
      </c>
      <c r="E25" s="798">
        <v>-3.3408620365142104E-2</v>
      </c>
      <c r="F25" s="798">
        <v>-2.7064774271478183E-2</v>
      </c>
      <c r="G25" s="798">
        <v>-2.5452921663689718E-2</v>
      </c>
      <c r="I25" s="632">
        <f>+AVERAGE(C25:G25)</f>
        <v>-3.3666104838189027E-2</v>
      </c>
      <c r="J25" s="632">
        <f>+AVERAGE(E25:I25)</f>
        <v>-2.9898105284624756E-2</v>
      </c>
    </row>
    <row r="26" spans="2:34">
      <c r="B26" s="635" t="s">
        <v>477</v>
      </c>
      <c r="C26" s="798">
        <f>'Fin. Data'!F33/Assumptions!D41</f>
        <v>-0.38510766450835715</v>
      </c>
      <c r="D26" s="798">
        <f>'Fin. Data'!E33/Assumptions!E41</f>
        <v>-2.1581471517136509E-2</v>
      </c>
      <c r="E26" s="798">
        <f>'Fin. Data'!D33/Assumptions!F41</f>
        <v>-6.0276679841897232E-2</v>
      </c>
      <c r="F26" s="798">
        <f>'Fin. Data'!C33/Assumptions!G41</f>
        <v>-0.56152800845538275</v>
      </c>
      <c r="G26" s="798">
        <f>'Fin. Data'!B33/Assumptions!H41</f>
        <v>-1.4002296504210258E-2</v>
      </c>
      <c r="I26" s="632">
        <f>AVERAGE(D26,E26,G26)</f>
        <v>-3.1953482621081331E-2</v>
      </c>
      <c r="J26" s="632">
        <f>AVERAGE(,E26,G26,I26)</f>
        <v>-2.6558114741797204E-2</v>
      </c>
    </row>
    <row r="27" spans="2:34">
      <c r="B27" s="635" t="s">
        <v>142</v>
      </c>
      <c r="C27" s="798">
        <v>0</v>
      </c>
      <c r="D27" s="798">
        <v>0</v>
      </c>
      <c r="E27" s="798">
        <v>0</v>
      </c>
      <c r="F27" s="798">
        <v>0</v>
      </c>
      <c r="G27" s="798">
        <v>0</v>
      </c>
      <c r="I27" s="632">
        <f>AVERAGE(C27:G27)</f>
        <v>0</v>
      </c>
      <c r="J27" s="632">
        <f>+Q135</f>
        <v>0.34011176822892464</v>
      </c>
      <c r="K27" s="1195" t="s">
        <v>506</v>
      </c>
      <c r="L27" s="1195"/>
      <c r="M27" s="1195"/>
      <c r="N27" s="1195"/>
      <c r="O27" s="1195"/>
      <c r="P27" s="1195"/>
      <c r="Q27" s="1195"/>
    </row>
    <row r="28" spans="2:34">
      <c r="B28" s="803" t="s">
        <v>479</v>
      </c>
      <c r="C28" s="804">
        <v>0</v>
      </c>
      <c r="D28" s="804">
        <v>0</v>
      </c>
      <c r="E28" s="804">
        <v>0</v>
      </c>
      <c r="F28" s="804">
        <v>0</v>
      </c>
      <c r="G28" s="804">
        <f>'Fin. Data'!B36</f>
        <v>-19.23076923076923</v>
      </c>
      <c r="H28" s="818"/>
      <c r="I28" s="805">
        <f>AVERAGE(C28:F28)</f>
        <v>0</v>
      </c>
      <c r="J28" s="805">
        <f>+Q133</f>
        <v>0.4845132981219632</v>
      </c>
      <c r="K28" s="1195"/>
      <c r="L28" s="1195"/>
      <c r="M28" s="1195"/>
      <c r="N28" s="1195"/>
      <c r="O28" s="1195"/>
      <c r="P28" s="1195"/>
      <c r="Q28" s="1195"/>
    </row>
    <row r="29" spans="2:34">
      <c r="B29" s="635" t="s">
        <v>480</v>
      </c>
      <c r="C29" s="798"/>
      <c r="D29" s="798"/>
      <c r="E29" s="798"/>
      <c r="F29" s="798"/>
      <c r="G29" s="798"/>
      <c r="I29" s="632"/>
      <c r="J29" s="632"/>
      <c r="K29" s="1195"/>
      <c r="L29" s="1195"/>
      <c r="M29" s="1195"/>
      <c r="N29" s="1195"/>
      <c r="O29" s="1195"/>
      <c r="P29" s="1195"/>
      <c r="Q29" s="1195"/>
    </row>
    <row r="30" spans="2:34">
      <c r="B30" s="635" t="s">
        <v>481</v>
      </c>
      <c r="C30" s="799"/>
      <c r="D30" s="799"/>
      <c r="E30" s="799"/>
      <c r="F30" s="799"/>
      <c r="G30" s="799"/>
      <c r="I30" s="644"/>
      <c r="J30" s="644"/>
      <c r="K30" s="1195"/>
      <c r="L30" s="1195"/>
      <c r="M30" s="1195"/>
      <c r="N30" s="1195"/>
      <c r="O30" s="1195"/>
      <c r="P30" s="1195"/>
      <c r="Q30" s="1195"/>
    </row>
    <row r="31" spans="2:34">
      <c r="B31" s="635" t="s">
        <v>294</v>
      </c>
      <c r="C31" s="800">
        <f>Assumptions!D123/Assumptions!D41</f>
        <v>0.27450685137780456</v>
      </c>
      <c r="D31" s="800">
        <f>Assumptions!E123/Assumptions!E41</f>
        <v>0.17885132764065972</v>
      </c>
      <c r="E31" s="800">
        <f>Assumptions!F123/Assumptions!F41</f>
        <v>0.13179936006022963</v>
      </c>
      <c r="F31" s="800">
        <f>Assumptions!G123/Assumptions!G41</f>
        <v>0.41435150234032914</v>
      </c>
      <c r="G31" s="800">
        <f>Assumptions!H123/Assumptions!H41</f>
        <v>0.36335799948966574</v>
      </c>
      <c r="I31" s="644">
        <f>AVERAGE(C31:G31)</f>
        <v>0.27257340818173781</v>
      </c>
      <c r="J31" s="644">
        <f>I31+H126</f>
        <v>0.32756340141298657</v>
      </c>
      <c r="K31" s="1195"/>
      <c r="L31" s="1195"/>
      <c r="M31" s="1195"/>
      <c r="N31" s="1195"/>
      <c r="O31" s="1195"/>
      <c r="P31" s="1195"/>
      <c r="Q31" s="1195"/>
    </row>
    <row r="34" spans="2:34" s="612" customFormat="1" ht="14">
      <c r="B34" s="622" t="s">
        <v>507</v>
      </c>
    </row>
    <row r="36" spans="2:34" ht="12.5" customHeight="1"/>
    <row r="37" spans="2:34" ht="12.5" customHeight="1">
      <c r="B37"/>
      <c r="C37"/>
      <c r="D37"/>
      <c r="E37"/>
      <c r="F37"/>
      <c r="G37"/>
      <c r="H37"/>
    </row>
    <row r="38" spans="2:34">
      <c r="B38"/>
      <c r="C38"/>
      <c r="D38"/>
      <c r="E38"/>
      <c r="F38"/>
      <c r="G38"/>
      <c r="H38"/>
    </row>
    <row r="39" spans="2:34" ht="15">
      <c r="B39" s="718"/>
      <c r="C39" s="1198" t="s">
        <v>502</v>
      </c>
      <c r="D39" s="1198"/>
      <c r="E39" s="1198"/>
      <c r="F39" s="1198"/>
      <c r="G39" s="1198"/>
      <c r="H39" s="1198"/>
      <c r="I39" s="1197" t="s">
        <v>498</v>
      </c>
      <c r="J39" s="1197"/>
      <c r="K39" s="1197"/>
      <c r="L39" s="1197"/>
      <c r="M39" s="1197"/>
      <c r="N39"/>
      <c r="O39"/>
      <c r="P39"/>
      <c r="Q39"/>
      <c r="R39"/>
      <c r="S39"/>
      <c r="T39"/>
      <c r="U39"/>
      <c r="V39"/>
      <c r="W39"/>
      <c r="X39"/>
      <c r="Y39"/>
      <c r="Z39"/>
      <c r="AA39"/>
      <c r="AB39"/>
      <c r="AC39"/>
      <c r="AD39"/>
      <c r="AE39"/>
      <c r="AF39"/>
      <c r="AG39"/>
      <c r="AH39"/>
    </row>
    <row r="40" spans="2:34" ht="15">
      <c r="B40" s="719"/>
      <c r="C40" s="719">
        <v>2017</v>
      </c>
      <c r="D40" s="719">
        <v>2018</v>
      </c>
      <c r="E40" s="719">
        <v>2019</v>
      </c>
      <c r="F40" s="6">
        <v>2020</v>
      </c>
      <c r="G40" s="6">
        <v>2021</v>
      </c>
      <c r="H40" s="720">
        <v>2022</v>
      </c>
      <c r="I40" s="6">
        <v>2023</v>
      </c>
      <c r="J40" s="6">
        <f t="shared" ref="J40:AH40" si="3">I40+1</f>
        <v>2024</v>
      </c>
      <c r="K40" s="6">
        <f t="shared" si="3"/>
        <v>2025</v>
      </c>
      <c r="L40" s="6">
        <f t="shared" si="3"/>
        <v>2026</v>
      </c>
      <c r="M40" s="720">
        <f t="shared" si="3"/>
        <v>2027</v>
      </c>
      <c r="N40" s="6">
        <f t="shared" si="3"/>
        <v>2028</v>
      </c>
      <c r="O40" s="6">
        <f t="shared" si="3"/>
        <v>2029</v>
      </c>
      <c r="P40" s="6">
        <f t="shared" si="3"/>
        <v>2030</v>
      </c>
      <c r="Q40" s="6">
        <f t="shared" si="3"/>
        <v>2031</v>
      </c>
      <c r="R40" s="720">
        <f t="shared" si="3"/>
        <v>2032</v>
      </c>
      <c r="S40" s="6">
        <f t="shared" si="3"/>
        <v>2033</v>
      </c>
      <c r="T40" s="6">
        <f t="shared" si="3"/>
        <v>2034</v>
      </c>
      <c r="U40" s="6">
        <f t="shared" si="3"/>
        <v>2035</v>
      </c>
      <c r="V40" s="6">
        <f t="shared" si="3"/>
        <v>2036</v>
      </c>
      <c r="W40" s="720">
        <f t="shared" si="3"/>
        <v>2037</v>
      </c>
      <c r="X40" s="6">
        <f t="shared" si="3"/>
        <v>2038</v>
      </c>
      <c r="Y40" s="6">
        <f t="shared" si="3"/>
        <v>2039</v>
      </c>
      <c r="Z40" s="6">
        <f t="shared" si="3"/>
        <v>2040</v>
      </c>
      <c r="AA40" s="6">
        <f t="shared" si="3"/>
        <v>2041</v>
      </c>
      <c r="AB40" s="720">
        <f t="shared" si="3"/>
        <v>2042</v>
      </c>
      <c r="AC40" s="6">
        <f t="shared" si="3"/>
        <v>2043</v>
      </c>
      <c r="AD40" s="6">
        <f t="shared" si="3"/>
        <v>2044</v>
      </c>
      <c r="AE40" s="6">
        <f t="shared" si="3"/>
        <v>2045</v>
      </c>
      <c r="AF40" s="6">
        <f t="shared" si="3"/>
        <v>2046</v>
      </c>
      <c r="AG40" s="720">
        <f t="shared" si="3"/>
        <v>2047</v>
      </c>
      <c r="AH40" s="6">
        <f t="shared" si="3"/>
        <v>2048</v>
      </c>
    </row>
    <row r="41" spans="2:34" ht="16" thickBot="1">
      <c r="B41" s="721" t="s">
        <v>131</v>
      </c>
      <c r="C41" s="43">
        <f>'Fin. Data'!G5</f>
        <v>10540</v>
      </c>
      <c r="D41" s="43">
        <f>'Fin. Data'!F5</f>
        <v>13282</v>
      </c>
      <c r="E41" s="43">
        <f>'Fin. Data'!E5</f>
        <v>17098</v>
      </c>
      <c r="F41" s="43">
        <f>'Fin. Data'!D5</f>
        <v>21252</v>
      </c>
      <c r="G41" s="43">
        <f>'Fin. Data'!C5</f>
        <v>26492</v>
      </c>
      <c r="H41" s="43">
        <f>'Fin. Data'!B5</f>
        <v>31352</v>
      </c>
      <c r="I41" s="731">
        <f>+H41*(1+$H$43)</f>
        <v>39004.565213436603</v>
      </c>
      <c r="J41" s="731">
        <f>+I41*(1+$H$43-0.05)</f>
        <v>46574.781546971339</v>
      </c>
      <c r="K41" s="731">
        <f>+J41*(1+$J$42-0.025)</f>
        <v>54449.896747284351</v>
      </c>
      <c r="L41" s="731">
        <f>+K41*(1+$K$42-0.03)</f>
        <v>62023.08198673615</v>
      </c>
      <c r="M41" s="731">
        <f>+L41*(1+$L$42-0.02)</f>
        <v>69409.125025004978</v>
      </c>
      <c r="N41" s="43">
        <f>+M41*(1+$M$42-0.005)</f>
        <v>77327.692269503284</v>
      </c>
      <c r="O41" s="43">
        <f>+N41*(1+$N$42-0.001)</f>
        <v>86072.324670771064</v>
      </c>
      <c r="P41" s="43">
        <f>+O41*(1+$O$42-0.001)</f>
        <v>95719.774931324355</v>
      </c>
      <c r="Q41" s="43">
        <f>+P41*(1+$P$42-0.001)</f>
        <v>106352.84366226336</v>
      </c>
      <c r="R41" s="43">
        <f>+Q41*(1+$Q$42-0.001)</f>
        <v>118060.73815885038</v>
      </c>
      <c r="S41" s="43">
        <f>+R41*(1+$R$44)</f>
        <v>131047.41935632392</v>
      </c>
      <c r="T41" s="43">
        <f>+S41*(1+$R$44)</f>
        <v>145462.63548551957</v>
      </c>
      <c r="U41" s="43">
        <f>+T41*(1+$R$44)</f>
        <v>161463.52538892673</v>
      </c>
      <c r="V41" s="43">
        <f>+U41*(1+$R$44)</f>
        <v>179224.51318170869</v>
      </c>
      <c r="W41" s="43">
        <f>+V41*(1+$R$44)</f>
        <v>198939.20963169666</v>
      </c>
      <c r="X41" s="43">
        <f>+W41*(1+$W$44)</f>
        <v>214854.34640223242</v>
      </c>
      <c r="Y41" s="43">
        <f>+X41*(1+$W$44)</f>
        <v>232042.69411441102</v>
      </c>
      <c r="Z41" s="43">
        <f>+Y41*(1+$W$44)</f>
        <v>250606.10964356392</v>
      </c>
      <c r="AA41" s="43">
        <f>+Z41*(1+$W$44)</f>
        <v>270654.59841504903</v>
      </c>
      <c r="AB41" s="43">
        <f>+AA41*(1+$W$44)</f>
        <v>292306.96628825297</v>
      </c>
      <c r="AC41" s="43">
        <f>+AB41*(1+$AB$44)</f>
        <v>306922.3146026656</v>
      </c>
      <c r="AD41" s="43">
        <f>+AC41*(1+$AB$44)</f>
        <v>322268.43033279892</v>
      </c>
      <c r="AE41" s="43">
        <f>+AD41*(1+$AB$44)</f>
        <v>338381.85184943886</v>
      </c>
      <c r="AF41" s="43">
        <f>+AE41*(1+$AB$44)</f>
        <v>355300.94444191083</v>
      </c>
      <c r="AG41" s="43">
        <f>+AF41*(1+$AB$44)</f>
        <v>373065.99166400637</v>
      </c>
      <c r="AH41" s="43">
        <f>+AG41*(1+$AG$44)</f>
        <v>380527.31149728649</v>
      </c>
    </row>
    <row r="42" spans="2:34" ht="14" thickTop="1">
      <c r="B42" s="635" t="s">
        <v>508</v>
      </c>
      <c r="C42" s="635"/>
      <c r="D42" s="722">
        <f>D41/C41-1</f>
        <v>0.26015180265654658</v>
      </c>
      <c r="E42" s="722">
        <f t="shared" ref="E42:F42" si="4">E41/D41-1</f>
        <v>0.28730612859509108</v>
      </c>
      <c r="F42" s="722">
        <f t="shared" si="4"/>
        <v>0.24295239209264241</v>
      </c>
      <c r="G42" s="722">
        <f t="shared" ref="G42:AH42" si="5">G41/F41-1</f>
        <v>0.24656502917372491</v>
      </c>
      <c r="H42" s="722">
        <f t="shared" si="5"/>
        <v>0.18345160803261362</v>
      </c>
      <c r="I42" s="732">
        <f>I41/H41-1</f>
        <v>0.24408539211012381</v>
      </c>
      <c r="J42" s="732">
        <f t="shared" si="5"/>
        <v>0.19408539211012377</v>
      </c>
      <c r="K42" s="732">
        <f t="shared" si="5"/>
        <v>0.16908539211012386</v>
      </c>
      <c r="L42" s="732">
        <f t="shared" si="5"/>
        <v>0.13908539211012383</v>
      </c>
      <c r="M42" s="732">
        <f t="shared" si="5"/>
        <v>0.11908539211012381</v>
      </c>
      <c r="N42" s="732">
        <f t="shared" si="5"/>
        <v>0.11408539211012392</v>
      </c>
      <c r="O42" s="732">
        <f t="shared" si="5"/>
        <v>0.11308539211012403</v>
      </c>
      <c r="P42" s="732">
        <f t="shared" si="5"/>
        <v>0.11208539211012414</v>
      </c>
      <c r="Q42" s="732">
        <f t="shared" si="5"/>
        <v>0.11108539211012425</v>
      </c>
      <c r="R42" s="732">
        <f>R41/Q41-1</f>
        <v>0.11008539211012436</v>
      </c>
      <c r="S42" s="732">
        <v>0.11</v>
      </c>
      <c r="T42" s="732">
        <v>0.11</v>
      </c>
      <c r="U42" s="732">
        <v>0.11</v>
      </c>
      <c r="V42" s="732">
        <v>0.11</v>
      </c>
      <c r="W42" s="732">
        <v>0.11</v>
      </c>
      <c r="X42" s="732">
        <f t="shared" si="5"/>
        <v>8.0000000000000071E-2</v>
      </c>
      <c r="Y42" s="732">
        <f t="shared" si="5"/>
        <v>8.0000000000000071E-2</v>
      </c>
      <c r="Z42" s="732">
        <f t="shared" si="5"/>
        <v>8.0000000000000071E-2</v>
      </c>
      <c r="AA42" s="732">
        <f t="shared" si="5"/>
        <v>8.0000000000000071E-2</v>
      </c>
      <c r="AB42" s="732">
        <f t="shared" si="5"/>
        <v>8.0000000000000071E-2</v>
      </c>
      <c r="AC42" s="732">
        <f t="shared" si="5"/>
        <v>5.0000000000000044E-2</v>
      </c>
      <c r="AD42" s="732">
        <f t="shared" si="5"/>
        <v>5.0000000000000044E-2</v>
      </c>
      <c r="AE42" s="732">
        <f t="shared" si="5"/>
        <v>5.0000000000000044E-2</v>
      </c>
      <c r="AF42" s="732">
        <f t="shared" si="5"/>
        <v>5.0000000000000044E-2</v>
      </c>
      <c r="AG42" s="732">
        <f t="shared" si="5"/>
        <v>5.0000000000000044E-2</v>
      </c>
      <c r="AH42" s="732">
        <f t="shared" si="5"/>
        <v>2.0000000000000018E-2</v>
      </c>
    </row>
    <row r="43" spans="2:34" ht="12.5" customHeight="1">
      <c r="B43" s="723" t="s">
        <v>509</v>
      </c>
      <c r="C43" s="723"/>
      <c r="D43" s="723"/>
      <c r="E43" s="723"/>
      <c r="F43" s="723"/>
      <c r="G43" s="723"/>
      <c r="H43" s="724">
        <f>AVERAGE(D42:H42)</f>
        <v>0.24408539211012373</v>
      </c>
      <c r="I43" s="733"/>
      <c r="J43" s="733"/>
      <c r="K43" s="733"/>
      <c r="L43" s="733"/>
      <c r="N43" s="734"/>
      <c r="O43" s="734"/>
      <c r="P43" s="734"/>
      <c r="Q43" s="734"/>
      <c r="R43" s="724">
        <f>+AVERAGE(N42:R42)</f>
        <v>0.11208539211012414</v>
      </c>
      <c r="S43" s="734"/>
      <c r="T43" s="734"/>
      <c r="U43" s="734"/>
      <c r="V43" s="734"/>
      <c r="W43" s="724"/>
      <c r="X43" s="734"/>
      <c r="Y43" s="734"/>
      <c r="Z43" s="734"/>
      <c r="AA43" s="734"/>
      <c r="AB43" s="724">
        <f>+AVERAGE(X42:AB42)</f>
        <v>8.0000000000000071E-2</v>
      </c>
      <c r="AC43" s="734"/>
      <c r="AD43" s="734"/>
      <c r="AE43" s="734"/>
      <c r="AF43" s="734"/>
      <c r="AG43" s="724">
        <f>+AVERAGE(AC42:AG42)</f>
        <v>5.0000000000000044E-2</v>
      </c>
      <c r="AH43"/>
    </row>
    <row r="44" spans="2:34">
      <c r="B44" s="723" t="s">
        <v>510</v>
      </c>
      <c r="C44" s="723"/>
      <c r="D44" s="723"/>
      <c r="E44" s="723"/>
      <c r="F44" s="723"/>
      <c r="G44" s="723"/>
      <c r="H44" s="787">
        <v>0.22409000000000001</v>
      </c>
      <c r="M44" s="724">
        <f>+H44</f>
        <v>0.22409000000000001</v>
      </c>
      <c r="R44" s="724">
        <v>0.11</v>
      </c>
      <c r="W44" s="724">
        <v>0.08</v>
      </c>
      <c r="AB44" s="724">
        <v>0.05</v>
      </c>
      <c r="AG44" s="724">
        <v>0.02</v>
      </c>
    </row>
    <row r="45" spans="2:34">
      <c r="B45" s="723"/>
      <c r="C45" s="723"/>
      <c r="D45" s="723"/>
      <c r="E45" s="723"/>
      <c r="F45" s="723"/>
      <c r="G45" s="723"/>
      <c r="H45" s="724"/>
    </row>
    <row r="46" spans="2:34">
      <c r="B46"/>
      <c r="C46"/>
      <c r="D46"/>
      <c r="E46"/>
      <c r="F46"/>
      <c r="G46"/>
      <c r="H46"/>
    </row>
    <row r="47" spans="2:34" ht="15">
      <c r="B47" s="718"/>
      <c r="C47" s="1198" t="s">
        <v>502</v>
      </c>
      <c r="D47" s="1198"/>
      <c r="E47" s="1198"/>
      <c r="F47" s="1198"/>
      <c r="G47" s="1198"/>
      <c r="H47" s="1198"/>
      <c r="I47" s="1197" t="s">
        <v>498</v>
      </c>
      <c r="J47" s="1197"/>
      <c r="K47" s="1197"/>
      <c r="L47" s="1197"/>
      <c r="M47" s="1197"/>
      <c r="N47"/>
      <c r="O47"/>
      <c r="P47"/>
      <c r="Q47"/>
      <c r="R47"/>
      <c r="S47"/>
      <c r="T47"/>
      <c r="U47"/>
      <c r="V47"/>
      <c r="W47"/>
      <c r="X47"/>
      <c r="Y47"/>
      <c r="Z47"/>
      <c r="AA47"/>
      <c r="AB47"/>
      <c r="AC47"/>
      <c r="AD47"/>
      <c r="AE47"/>
      <c r="AF47"/>
      <c r="AG47"/>
      <c r="AH47"/>
    </row>
    <row r="48" spans="2:34" ht="15">
      <c r="B48" s="719"/>
      <c r="C48" s="719">
        <v>2017</v>
      </c>
      <c r="D48" s="719">
        <v>2018</v>
      </c>
      <c r="E48" s="719">
        <v>2019</v>
      </c>
      <c r="F48" s="6">
        <v>2020</v>
      </c>
      <c r="G48" s="6">
        <v>2021</v>
      </c>
      <c r="H48" s="720">
        <v>2022</v>
      </c>
      <c r="I48" s="6">
        <v>2023</v>
      </c>
      <c r="J48" s="6">
        <f t="shared" ref="J48:AH48" si="6">I48+1</f>
        <v>2024</v>
      </c>
      <c r="K48" s="6">
        <f t="shared" si="6"/>
        <v>2025</v>
      </c>
      <c r="L48" s="6">
        <f t="shared" si="6"/>
        <v>2026</v>
      </c>
      <c r="M48" s="720">
        <f t="shared" si="6"/>
        <v>2027</v>
      </c>
      <c r="N48" s="6">
        <f t="shared" si="6"/>
        <v>2028</v>
      </c>
      <c r="O48" s="6">
        <f t="shared" si="6"/>
        <v>2029</v>
      </c>
      <c r="P48" s="6">
        <f t="shared" si="6"/>
        <v>2030</v>
      </c>
      <c r="Q48" s="6">
        <f t="shared" si="6"/>
        <v>2031</v>
      </c>
      <c r="R48" s="720">
        <f t="shared" si="6"/>
        <v>2032</v>
      </c>
      <c r="S48" s="6">
        <f t="shared" si="6"/>
        <v>2033</v>
      </c>
      <c r="T48" s="6">
        <f t="shared" si="6"/>
        <v>2034</v>
      </c>
      <c r="U48" s="6">
        <f t="shared" si="6"/>
        <v>2035</v>
      </c>
      <c r="V48" s="6">
        <f t="shared" si="6"/>
        <v>2036</v>
      </c>
      <c r="W48" s="720">
        <f t="shared" si="6"/>
        <v>2037</v>
      </c>
      <c r="X48" s="6">
        <f t="shared" si="6"/>
        <v>2038</v>
      </c>
      <c r="Y48" s="6">
        <f t="shared" si="6"/>
        <v>2039</v>
      </c>
      <c r="Z48" s="6">
        <f t="shared" si="6"/>
        <v>2040</v>
      </c>
      <c r="AA48" s="6">
        <f t="shared" si="6"/>
        <v>2041</v>
      </c>
      <c r="AB48" s="720">
        <f t="shared" si="6"/>
        <v>2042</v>
      </c>
      <c r="AC48" s="6">
        <f t="shared" si="6"/>
        <v>2043</v>
      </c>
      <c r="AD48" s="6">
        <f t="shared" si="6"/>
        <v>2044</v>
      </c>
      <c r="AE48" s="6">
        <f t="shared" si="6"/>
        <v>2045</v>
      </c>
      <c r="AF48" s="6">
        <f t="shared" si="6"/>
        <v>2046</v>
      </c>
      <c r="AG48" s="720">
        <f t="shared" si="6"/>
        <v>2047</v>
      </c>
      <c r="AH48" s="6">
        <f t="shared" si="6"/>
        <v>2048</v>
      </c>
    </row>
    <row r="49" spans="2:34" ht="16" thickBot="1">
      <c r="B49" s="725" t="s">
        <v>511</v>
      </c>
      <c r="C49" s="43">
        <f>'Fin. Data'!G17</f>
        <v>753</v>
      </c>
      <c r="D49" s="43">
        <f>'Fin. Data'!F17</f>
        <v>962</v>
      </c>
      <c r="E49" s="43">
        <f>'Fin. Data'!E17</f>
        <v>2135</v>
      </c>
      <c r="F49" s="43">
        <f>'Fin. Data'!D17</f>
        <v>2846</v>
      </c>
      <c r="G49" s="43">
        <f>'Fin. Data'!C17</f>
        <v>3298</v>
      </c>
      <c r="H49" s="43">
        <f>'Fin. Data'!B17</f>
        <v>3786</v>
      </c>
      <c r="I49" s="731">
        <f>I50*DCF!G40</f>
        <v>3509.6074950130792</v>
      </c>
      <c r="J49" s="731">
        <f>J50*DCF!H40</f>
        <v>4205.7419550867153</v>
      </c>
      <c r="K49" s="731">
        <f>K50*DCF!I40</f>
        <v>5019.5825833032704</v>
      </c>
      <c r="L49" s="731">
        <f>L50*DCF!J40</f>
        <v>5946.6165544104751</v>
      </c>
      <c r="M49" s="731">
        <f>M50*DCF!K40</f>
        <v>6867.9347986311159</v>
      </c>
      <c r="N49" s="43">
        <f>+M49*(1+$M$44-0.04)</f>
        <v>8132.2529157111167</v>
      </c>
      <c r="O49" s="43">
        <f>+N49*(1+$M$44-0.06)</f>
        <v>9466.6742966501533</v>
      </c>
      <c r="P49" s="43">
        <f>+O49*(1+$M$44-0.07)</f>
        <v>10925.394139020975</v>
      </c>
      <c r="Q49" s="43">
        <f>+P49*(1+$M$44-0.075)</f>
        <v>12554.261151207611</v>
      </c>
      <c r="R49" s="43">
        <f>+Q49*(1+$M$44-0.08)</f>
        <v>14363.204640485113</v>
      </c>
      <c r="S49" s="43">
        <f>+R49*(1+$R$44)</f>
        <v>15943.157150938478</v>
      </c>
      <c r="T49" s="43">
        <f>+S49*(1+$R$44)</f>
        <v>17696.904437541711</v>
      </c>
      <c r="U49" s="43">
        <f>+T49*(1+$R$44)</f>
        <v>19643.5639256713</v>
      </c>
      <c r="V49" s="43">
        <f>+U49*(1+$R$44)</f>
        <v>21804.355957495147</v>
      </c>
      <c r="W49" s="43">
        <f>+V49*(1+$R$44)</f>
        <v>24202.835112819615</v>
      </c>
      <c r="X49" s="43">
        <f>+W49*(1+$W$44)</f>
        <v>26139.061921845187</v>
      </c>
      <c r="Y49" s="43">
        <f>+X49*(1+$W$44)</f>
        <v>28230.186875592804</v>
      </c>
      <c r="Z49" s="43">
        <f>+Y49*(1+$W$44)</f>
        <v>30488.601825640231</v>
      </c>
      <c r="AA49" s="43">
        <f>+Z49*(1+$W$44)</f>
        <v>32927.689971691449</v>
      </c>
      <c r="AB49" s="43">
        <f>+AA49*(1+$W$44)</f>
        <v>35561.905169426769</v>
      </c>
      <c r="AC49" s="43">
        <f>+AB49*(1+$AB$44)</f>
        <v>37340.000427898107</v>
      </c>
      <c r="AD49" s="43">
        <f>+AC49*(1+$AB$44)</f>
        <v>39207.000449293017</v>
      </c>
      <c r="AE49" s="43">
        <f>+AD49*(1+$AB$44)</f>
        <v>41167.350471757672</v>
      </c>
      <c r="AF49" s="43">
        <f>+AE49*(1+$AB$44)</f>
        <v>43225.717995345556</v>
      </c>
      <c r="AG49" s="43">
        <f>+AF49*(1+$AB$44)</f>
        <v>45387.003895112837</v>
      </c>
      <c r="AH49" s="43">
        <f>+AG49*(1+$AG$44)</f>
        <v>46294.743973015095</v>
      </c>
    </row>
    <row r="50" spans="2:34" ht="14" thickTop="1">
      <c r="B50" s="635" t="s">
        <v>512</v>
      </c>
      <c r="C50" s="722">
        <f>C49/'Fin. Data'!G42</f>
        <v>0.38674884437596302</v>
      </c>
      <c r="D50" s="722">
        <f>D49/'Fin. Data'!F42</f>
        <v>0.46903949293027791</v>
      </c>
      <c r="E50" s="722">
        <f>E49/'Fin. Data'!E42</f>
        <v>0.39427516158818099</v>
      </c>
      <c r="F50" s="722">
        <f>F49/'Fin. Data'!D42</f>
        <v>0.50256048031078937</v>
      </c>
      <c r="G50" s="722">
        <f>G49/'Fin. Data'!C42</f>
        <v>0.57910447761194028</v>
      </c>
      <c r="H50" s="722">
        <f>H49/'Fin. Data'!B42</f>
        <v>0.57433252427184467</v>
      </c>
      <c r="I50" s="732">
        <f>$H$51*(1-(-$H$52))</f>
        <v>0.44396571644292121</v>
      </c>
      <c r="J50" s="732">
        <f>$H$51*(1-(-$H$52))</f>
        <v>0.44396571644292121</v>
      </c>
      <c r="K50" s="732">
        <f>$H$51*(1-(-$H$52))</f>
        <v>0.44396571644292121</v>
      </c>
      <c r="L50" s="732">
        <f t="shared" ref="L50:M50" si="7">$H$51*(1-(-$H$52))</f>
        <v>0.44396571644292121</v>
      </c>
      <c r="M50" s="732">
        <f t="shared" si="7"/>
        <v>0.44396571644292121</v>
      </c>
      <c r="N50" s="732">
        <f>$M$52</f>
        <v>0.4069540701162046</v>
      </c>
      <c r="O50" s="732">
        <f t="shared" ref="O50:R50" si="8">$M$52</f>
        <v>0.4069540701162046</v>
      </c>
      <c r="P50" s="732">
        <f t="shared" si="8"/>
        <v>0.4069540701162046</v>
      </c>
      <c r="Q50" s="732">
        <f t="shared" si="8"/>
        <v>0.4069540701162046</v>
      </c>
      <c r="R50" s="732">
        <f t="shared" si="8"/>
        <v>0.4069540701162046</v>
      </c>
      <c r="S50" s="732">
        <f>$R$51</f>
        <v>0.37302793673131912</v>
      </c>
      <c r="T50" s="732">
        <f t="shared" ref="T50:W50" si="9">$R$51</f>
        <v>0.37302793673131912</v>
      </c>
      <c r="U50" s="732">
        <f t="shared" si="9"/>
        <v>0.37302793673131912</v>
      </c>
      <c r="V50" s="732">
        <f t="shared" si="9"/>
        <v>0.37302793673131912</v>
      </c>
      <c r="W50" s="732">
        <f t="shared" si="9"/>
        <v>0.37302793673131912</v>
      </c>
      <c r="X50" s="794">
        <f t="shared" ref="X50:AB50" si="10">$S$50*(1-(-$H$52))</f>
        <v>0.34193008941350844</v>
      </c>
      <c r="Y50" s="794">
        <f t="shared" si="10"/>
        <v>0.34193008941350844</v>
      </c>
      <c r="Z50" s="794">
        <f t="shared" si="10"/>
        <v>0.34193008941350844</v>
      </c>
      <c r="AA50" s="794">
        <f t="shared" si="10"/>
        <v>0.34193008941350844</v>
      </c>
      <c r="AB50" s="794">
        <f t="shared" si="10"/>
        <v>0.34193008941350844</v>
      </c>
      <c r="AC50" s="794">
        <f t="shared" ref="AC50:AG50" si="11">$X$50*(1-(-$H$52))</f>
        <v>0.31342474526389458</v>
      </c>
      <c r="AD50" s="794">
        <f t="shared" si="11"/>
        <v>0.31342474526389458</v>
      </c>
      <c r="AE50" s="794">
        <f t="shared" si="11"/>
        <v>0.31342474526389458</v>
      </c>
      <c r="AF50" s="794">
        <f t="shared" si="11"/>
        <v>0.31342474526389458</v>
      </c>
      <c r="AG50" s="794">
        <f t="shared" si="11"/>
        <v>0.31342474526389458</v>
      </c>
      <c r="AH50" s="732">
        <f>AH49/AG49-1</f>
        <v>2.0000000000000018E-2</v>
      </c>
    </row>
    <row r="51" spans="2:34">
      <c r="B51" s="723" t="s">
        <v>510</v>
      </c>
      <c r="C51" s="723"/>
      <c r="D51" s="723"/>
      <c r="E51" s="723"/>
      <c r="F51"/>
      <c r="G51"/>
      <c r="H51" s="724">
        <f>AVERAGE(C50:H50)</f>
        <v>0.48434349684816608</v>
      </c>
      <c r="I51" s="733"/>
      <c r="J51" s="733"/>
      <c r="K51" s="733"/>
      <c r="L51" s="733"/>
      <c r="M51" s="793">
        <f>$I$50*(1-(-$H$52))</f>
        <v>0.4069540701162046</v>
      </c>
      <c r="N51" s="734"/>
      <c r="O51" s="734"/>
      <c r="P51" s="734"/>
      <c r="Q51" s="734"/>
      <c r="R51" s="793">
        <f>$N$50*(1-(-$H$52))</f>
        <v>0.37302793673131912</v>
      </c>
      <c r="S51" s="734"/>
      <c r="T51" s="734"/>
      <c r="U51" s="734"/>
      <c r="V51" s="734"/>
      <c r="W51" s="793">
        <f>$S$50*(1-(-$H$52))</f>
        <v>0.34193008941350844</v>
      </c>
      <c r="X51" s="734"/>
      <c r="Y51" s="734"/>
      <c r="Z51" s="734"/>
      <c r="AA51" s="734"/>
      <c r="AB51" s="793">
        <f>$X$50*(1-(-$H$52))</f>
        <v>0.31342474526389458</v>
      </c>
      <c r="AC51" s="734"/>
      <c r="AD51" s="734"/>
      <c r="AE51" s="734"/>
      <c r="AF51" s="734"/>
      <c r="AG51" s="793">
        <f>$AC$50*(1-(-$H$52))</f>
        <v>0.28729577766096498</v>
      </c>
      <c r="AH51"/>
    </row>
    <row r="52" spans="2:34">
      <c r="B52" s="723" t="s">
        <v>513</v>
      </c>
      <c r="C52" s="723"/>
      <c r="D52" s="726">
        <f>C50/D50-1</f>
        <v>-0.17544503137723477</v>
      </c>
      <c r="E52" s="726">
        <f t="shared" ref="E52:G52" si="12">D50/E50-1</f>
        <v>0.1896247560737494</v>
      </c>
      <c r="F52" s="726">
        <f t="shared" si="12"/>
        <v>-0.21546723820313818</v>
      </c>
      <c r="G52" s="726">
        <f t="shared" si="12"/>
        <v>-0.13217649018497712</v>
      </c>
      <c r="H52" s="726">
        <f>AVERAGE(D52:G52)</f>
        <v>-8.3366000922900169E-2</v>
      </c>
      <c r="M52" s="793">
        <f>$I$50*(1-(-$H$52))</f>
        <v>0.4069540701162046</v>
      </c>
      <c r="R52" s="724"/>
      <c r="W52" s="724"/>
      <c r="AB52" s="724"/>
      <c r="AG52" s="724"/>
    </row>
    <row r="53" spans="2:34">
      <c r="B53"/>
      <c r="C53"/>
      <c r="D53"/>
      <c r="E53"/>
      <c r="F53"/>
      <c r="G53"/>
      <c r="H53"/>
    </row>
    <row r="54" spans="2:34" ht="15">
      <c r="B54" s="718"/>
      <c r="C54" s="1198" t="s">
        <v>502</v>
      </c>
      <c r="D54" s="1198"/>
      <c r="E54" s="1198"/>
      <c r="F54" s="1198"/>
      <c r="G54" s="1198"/>
      <c r="H54" s="1198"/>
      <c r="I54" s="1197" t="s">
        <v>498</v>
      </c>
      <c r="J54" s="1197"/>
      <c r="K54" s="1197"/>
      <c r="L54" s="1197"/>
      <c r="M54" s="1197"/>
      <c r="N54"/>
      <c r="O54"/>
      <c r="P54"/>
      <c r="Q54"/>
      <c r="R54"/>
      <c r="S54"/>
      <c r="T54"/>
      <c r="U54"/>
      <c r="V54"/>
      <c r="W54"/>
      <c r="X54"/>
      <c r="Y54"/>
      <c r="Z54"/>
      <c r="AA54"/>
      <c r="AB54"/>
      <c r="AC54"/>
      <c r="AD54"/>
      <c r="AE54"/>
      <c r="AF54"/>
      <c r="AG54"/>
      <c r="AH54"/>
    </row>
    <row r="55" spans="2:34" ht="15">
      <c r="B55" s="719"/>
      <c r="C55" s="719">
        <v>2017</v>
      </c>
      <c r="D55" s="719">
        <v>2018</v>
      </c>
      <c r="E55" s="719">
        <v>2019</v>
      </c>
      <c r="F55" s="6">
        <v>2020</v>
      </c>
      <c r="G55" s="6">
        <v>2021</v>
      </c>
      <c r="H55" s="720">
        <v>2022</v>
      </c>
      <c r="I55" s="6">
        <v>2023</v>
      </c>
      <c r="J55" s="6">
        <f t="shared" ref="J55:AH55" si="13">I55+1</f>
        <v>2024</v>
      </c>
      <c r="K55" s="6">
        <f t="shared" si="13"/>
        <v>2025</v>
      </c>
      <c r="L55" s="6">
        <f t="shared" si="13"/>
        <v>2026</v>
      </c>
      <c r="M55" s="720">
        <f t="shared" si="13"/>
        <v>2027</v>
      </c>
      <c r="N55" s="6">
        <f t="shared" si="13"/>
        <v>2028</v>
      </c>
      <c r="O55" s="6">
        <f t="shared" si="13"/>
        <v>2029</v>
      </c>
      <c r="P55" s="6">
        <f t="shared" si="13"/>
        <v>2030</v>
      </c>
      <c r="Q55" s="6">
        <f t="shared" si="13"/>
        <v>2031</v>
      </c>
      <c r="R55" s="720">
        <f t="shared" si="13"/>
        <v>2032</v>
      </c>
      <c r="S55" s="6">
        <f t="shared" si="13"/>
        <v>2033</v>
      </c>
      <c r="T55" s="6">
        <f t="shared" si="13"/>
        <v>2034</v>
      </c>
      <c r="U55" s="6">
        <f t="shared" si="13"/>
        <v>2035</v>
      </c>
      <c r="V55" s="6">
        <f t="shared" si="13"/>
        <v>2036</v>
      </c>
      <c r="W55" s="720">
        <f t="shared" si="13"/>
        <v>2037</v>
      </c>
      <c r="X55" s="6">
        <f t="shared" si="13"/>
        <v>2038</v>
      </c>
      <c r="Y55" s="6">
        <f t="shared" si="13"/>
        <v>2039</v>
      </c>
      <c r="Z55" s="6">
        <f t="shared" si="13"/>
        <v>2040</v>
      </c>
      <c r="AA55" s="6">
        <f t="shared" si="13"/>
        <v>2041</v>
      </c>
      <c r="AB55" s="720">
        <f t="shared" si="13"/>
        <v>2042</v>
      </c>
      <c r="AC55" s="6">
        <f t="shared" si="13"/>
        <v>2043</v>
      </c>
      <c r="AD55" s="6">
        <f t="shared" si="13"/>
        <v>2044</v>
      </c>
      <c r="AE55" s="6">
        <f t="shared" si="13"/>
        <v>2045</v>
      </c>
      <c r="AF55" s="6">
        <f t="shared" si="13"/>
        <v>2046</v>
      </c>
      <c r="AG55" s="720">
        <f t="shared" si="13"/>
        <v>2047</v>
      </c>
      <c r="AH55" s="6">
        <f t="shared" si="13"/>
        <v>2048</v>
      </c>
    </row>
    <row r="56" spans="2:34" ht="16" thickBot="1">
      <c r="B56" s="725" t="s">
        <v>514</v>
      </c>
      <c r="C56" s="43"/>
      <c r="D56" s="43"/>
      <c r="E56" s="43"/>
      <c r="F56" s="43"/>
      <c r="G56" s="43"/>
      <c r="H56" s="43"/>
      <c r="I56" s="731">
        <f>+H56*(1+$H$43)</f>
        <v>0</v>
      </c>
      <c r="J56" s="731">
        <f>+I56*(1+$H$43-0.005)</f>
        <v>0</v>
      </c>
      <c r="K56" s="731">
        <f>+J56*(1+$H$43-0.01)</f>
        <v>0</v>
      </c>
      <c r="L56" s="731">
        <f>+K56*(1+$H$43-0.015)</f>
        <v>0</v>
      </c>
      <c r="M56" s="731">
        <f>+L56*(1+$H$43-0.02)</f>
        <v>0</v>
      </c>
      <c r="N56" s="43">
        <f>+M56*(1+$M$44-0.04)</f>
        <v>0</v>
      </c>
      <c r="O56" s="43">
        <f>+N56*(1+$M$44-0.06)</f>
        <v>0</v>
      </c>
      <c r="P56" s="43">
        <f>+O56*(1+$M$44-0.07)</f>
        <v>0</v>
      </c>
      <c r="Q56" s="43">
        <f>+P56*(1+$M$44-0.075)</f>
        <v>0</v>
      </c>
      <c r="R56" s="43">
        <f>+Q56*(1+$M$44-0.08)</f>
        <v>0</v>
      </c>
      <c r="S56" s="43">
        <f>+R56*(1+$R$44)</f>
        <v>0</v>
      </c>
      <c r="T56" s="43">
        <f>+S56*(1+$R$44)</f>
        <v>0</v>
      </c>
      <c r="U56" s="43">
        <f>+T56*(1+$R$44)</f>
        <v>0</v>
      </c>
      <c r="V56" s="43">
        <f>+U56*(1+$R$44)</f>
        <v>0</v>
      </c>
      <c r="W56" s="43">
        <f>+V56*(1+$R$44)</f>
        <v>0</v>
      </c>
      <c r="X56" s="43">
        <f>+W56*(1+$W$44)</f>
        <v>0</v>
      </c>
      <c r="Y56" s="43">
        <f>+X56*(1+$W$44)</f>
        <v>0</v>
      </c>
      <c r="Z56" s="43">
        <f>+Y56*(1+$W$44)</f>
        <v>0</v>
      </c>
      <c r="AA56" s="43">
        <f>+Z56*(1+$W$44)</f>
        <v>0</v>
      </c>
      <c r="AB56" s="43">
        <f>+AA56*(1+$W$44)</f>
        <v>0</v>
      </c>
      <c r="AC56" s="43">
        <f>+AB56*(1+$AB$44)</f>
        <v>0</v>
      </c>
      <c r="AD56" s="43">
        <f>+AC56*(1+$AB$44)</f>
        <v>0</v>
      </c>
      <c r="AE56" s="43">
        <f>+AD56*(1+$AB$44)</f>
        <v>0</v>
      </c>
      <c r="AF56" s="43">
        <f>+AE56*(1+$AB$44)</f>
        <v>0</v>
      </c>
      <c r="AG56" s="43">
        <f>+AF56*(1+$AB$44)</f>
        <v>0</v>
      </c>
      <c r="AH56" s="43">
        <f>+AG56*(1+$AG$44)</f>
        <v>0</v>
      </c>
    </row>
    <row r="57" spans="2:34" ht="14" thickTop="1">
      <c r="B57" s="635" t="s">
        <v>512</v>
      </c>
      <c r="C57" s="722"/>
      <c r="D57" s="722"/>
      <c r="E57" s="722"/>
      <c r="F57" s="722"/>
      <c r="G57" s="722"/>
      <c r="H57" s="722"/>
      <c r="I57" s="732" t="e">
        <f t="shared" ref="I57:AH57" si="14">I56/H56-1</f>
        <v>#DIV/0!</v>
      </c>
      <c r="J57" s="732" t="e">
        <f t="shared" si="14"/>
        <v>#DIV/0!</v>
      </c>
      <c r="K57" s="732" t="e">
        <f t="shared" si="14"/>
        <v>#DIV/0!</v>
      </c>
      <c r="L57" s="732" t="e">
        <f t="shared" si="14"/>
        <v>#DIV/0!</v>
      </c>
      <c r="M57" s="732" t="e">
        <f t="shared" si="14"/>
        <v>#DIV/0!</v>
      </c>
      <c r="N57" s="732" t="e">
        <f t="shared" si="14"/>
        <v>#DIV/0!</v>
      </c>
      <c r="O57" s="732" t="e">
        <f t="shared" si="14"/>
        <v>#DIV/0!</v>
      </c>
      <c r="P57" s="732" t="e">
        <f t="shared" si="14"/>
        <v>#DIV/0!</v>
      </c>
      <c r="Q57" s="732" t="e">
        <f t="shared" si="14"/>
        <v>#DIV/0!</v>
      </c>
      <c r="R57" s="732" t="e">
        <f t="shared" si="14"/>
        <v>#DIV/0!</v>
      </c>
      <c r="S57" s="732" t="e">
        <f t="shared" si="14"/>
        <v>#DIV/0!</v>
      </c>
      <c r="T57" s="732" t="e">
        <f t="shared" si="14"/>
        <v>#DIV/0!</v>
      </c>
      <c r="U57" s="732" t="e">
        <f t="shared" si="14"/>
        <v>#DIV/0!</v>
      </c>
      <c r="V57" s="732" t="e">
        <f t="shared" si="14"/>
        <v>#DIV/0!</v>
      </c>
      <c r="W57" s="732" t="e">
        <f t="shared" si="14"/>
        <v>#DIV/0!</v>
      </c>
      <c r="X57" s="732" t="e">
        <f t="shared" si="14"/>
        <v>#DIV/0!</v>
      </c>
      <c r="Y57" s="732" t="e">
        <f t="shared" si="14"/>
        <v>#DIV/0!</v>
      </c>
      <c r="Z57" s="732" t="e">
        <f t="shared" si="14"/>
        <v>#DIV/0!</v>
      </c>
      <c r="AA57" s="732" t="e">
        <f t="shared" si="14"/>
        <v>#DIV/0!</v>
      </c>
      <c r="AB57" s="732" t="e">
        <f t="shared" si="14"/>
        <v>#DIV/0!</v>
      </c>
      <c r="AC57" s="732" t="e">
        <f t="shared" si="14"/>
        <v>#DIV/0!</v>
      </c>
      <c r="AD57" s="732" t="e">
        <f t="shared" si="14"/>
        <v>#DIV/0!</v>
      </c>
      <c r="AE57" s="732" t="e">
        <f t="shared" si="14"/>
        <v>#DIV/0!</v>
      </c>
      <c r="AF57" s="732" t="e">
        <f t="shared" si="14"/>
        <v>#DIV/0!</v>
      </c>
      <c r="AG57" s="732" t="e">
        <f t="shared" si="14"/>
        <v>#DIV/0!</v>
      </c>
      <c r="AH57" s="732" t="e">
        <f t="shared" si="14"/>
        <v>#DIV/0!</v>
      </c>
    </row>
    <row r="58" spans="2:34">
      <c r="B58" s="723" t="s">
        <v>510</v>
      </c>
      <c r="C58" s="723"/>
      <c r="D58" s="723"/>
      <c r="E58" s="723"/>
      <c r="F58"/>
      <c r="G58"/>
      <c r="H58" s="724"/>
      <c r="I58" s="733"/>
      <c r="J58" s="733"/>
      <c r="K58" s="733"/>
      <c r="L58" s="733"/>
      <c r="N58" s="734"/>
      <c r="O58" s="734"/>
      <c r="P58" s="734"/>
      <c r="Q58" s="734"/>
      <c r="R58" s="724" t="e">
        <f>+AVERAGE(N57:R57)</f>
        <v>#DIV/0!</v>
      </c>
      <c r="S58" s="734"/>
      <c r="T58" s="734"/>
      <c r="U58" s="734"/>
      <c r="V58" s="734"/>
      <c r="W58" s="724"/>
      <c r="X58" s="734"/>
      <c r="Y58" s="734"/>
      <c r="Z58" s="734"/>
      <c r="AA58" s="734"/>
      <c r="AB58" s="724" t="e">
        <f>+AVERAGE(X57:AB57)</f>
        <v>#DIV/0!</v>
      </c>
      <c r="AC58" s="734"/>
      <c r="AD58" s="734"/>
      <c r="AE58" s="734"/>
      <c r="AF58" s="734"/>
      <c r="AG58" s="724" t="e">
        <f>+AVERAGE(AC57:AG57)</f>
        <v>#DIV/0!</v>
      </c>
      <c r="AH58"/>
    </row>
    <row r="59" spans="2:34">
      <c r="B59" s="723" t="s">
        <v>513</v>
      </c>
      <c r="C59" s="723"/>
      <c r="D59" s="726"/>
      <c r="E59" s="726"/>
      <c r="F59" s="726"/>
      <c r="G59" s="726"/>
      <c r="H59" s="724"/>
      <c r="M59" s="724">
        <f>+H59</f>
        <v>0</v>
      </c>
      <c r="R59" s="724"/>
      <c r="W59" s="724"/>
      <c r="AB59" s="724"/>
      <c r="AG59" s="724"/>
    </row>
    <row r="60" spans="2:34">
      <c r="B60"/>
      <c r="C60"/>
      <c r="D60"/>
      <c r="E60"/>
      <c r="F60"/>
      <c r="G60"/>
      <c r="H60"/>
    </row>
    <row r="61" spans="2:34" ht="15">
      <c r="B61" s="718"/>
      <c r="C61" s="1198" t="s">
        <v>502</v>
      </c>
      <c r="D61" s="1198"/>
      <c r="E61" s="1198"/>
      <c r="F61" s="1198"/>
      <c r="G61" s="1198"/>
      <c r="H61" s="1198"/>
      <c r="I61" s="1197" t="s">
        <v>498</v>
      </c>
      <c r="J61" s="1197"/>
      <c r="K61" s="1197"/>
      <c r="L61" s="1197"/>
      <c r="M61" s="1197"/>
      <c r="N61"/>
      <c r="O61"/>
      <c r="P61"/>
      <c r="Q61"/>
      <c r="R61"/>
      <c r="S61"/>
      <c r="T61"/>
      <c r="U61"/>
      <c r="V61"/>
      <c r="W61"/>
      <c r="X61"/>
      <c r="Y61"/>
      <c r="Z61"/>
      <c r="AA61"/>
      <c r="AB61"/>
      <c r="AC61"/>
      <c r="AD61"/>
      <c r="AE61"/>
      <c r="AF61"/>
      <c r="AG61"/>
      <c r="AH61"/>
    </row>
    <row r="62" spans="2:34" ht="15">
      <c r="B62" s="719"/>
      <c r="C62" s="719">
        <v>2017</v>
      </c>
      <c r="D62" s="719">
        <v>2018</v>
      </c>
      <c r="E62" s="719">
        <v>2019</v>
      </c>
      <c r="F62" s="6">
        <v>2020</v>
      </c>
      <c r="G62" s="6">
        <v>2021</v>
      </c>
      <c r="H62" s="720">
        <v>2022</v>
      </c>
      <c r="I62" s="6">
        <v>2023</v>
      </c>
      <c r="J62" s="6">
        <f t="shared" ref="J62:AH62" si="15">I62+1</f>
        <v>2024</v>
      </c>
      <c r="K62" s="6">
        <f t="shared" si="15"/>
        <v>2025</v>
      </c>
      <c r="L62" s="6">
        <f t="shared" si="15"/>
        <v>2026</v>
      </c>
      <c r="M62" s="720">
        <f t="shared" si="15"/>
        <v>2027</v>
      </c>
      <c r="N62" s="6">
        <f t="shared" si="15"/>
        <v>2028</v>
      </c>
      <c r="O62" s="6">
        <f t="shared" si="15"/>
        <v>2029</v>
      </c>
      <c r="P62" s="6">
        <f t="shared" si="15"/>
        <v>2030</v>
      </c>
      <c r="Q62" s="6">
        <f t="shared" si="15"/>
        <v>2031</v>
      </c>
      <c r="R62" s="720">
        <f t="shared" si="15"/>
        <v>2032</v>
      </c>
      <c r="S62" s="6">
        <f t="shared" si="15"/>
        <v>2033</v>
      </c>
      <c r="T62" s="6">
        <f t="shared" si="15"/>
        <v>2034</v>
      </c>
      <c r="U62" s="6">
        <f t="shared" si="15"/>
        <v>2035</v>
      </c>
      <c r="V62" s="6">
        <f t="shared" si="15"/>
        <v>2036</v>
      </c>
      <c r="W62" s="720">
        <f t="shared" si="15"/>
        <v>2037</v>
      </c>
      <c r="X62" s="6">
        <f t="shared" si="15"/>
        <v>2038</v>
      </c>
      <c r="Y62" s="6">
        <f t="shared" si="15"/>
        <v>2039</v>
      </c>
      <c r="Z62" s="6">
        <f t="shared" si="15"/>
        <v>2040</v>
      </c>
      <c r="AA62" s="6">
        <f t="shared" si="15"/>
        <v>2041</v>
      </c>
      <c r="AB62" s="720">
        <f t="shared" si="15"/>
        <v>2042</v>
      </c>
      <c r="AC62" s="6">
        <f t="shared" si="15"/>
        <v>2043</v>
      </c>
      <c r="AD62" s="6">
        <f t="shared" si="15"/>
        <v>2044</v>
      </c>
      <c r="AE62" s="6">
        <f t="shared" si="15"/>
        <v>2045</v>
      </c>
      <c r="AF62" s="6">
        <f t="shared" si="15"/>
        <v>2046</v>
      </c>
      <c r="AG62" s="720">
        <f t="shared" si="15"/>
        <v>2047</v>
      </c>
      <c r="AH62" s="6">
        <f t="shared" si="15"/>
        <v>2048</v>
      </c>
    </row>
    <row r="63" spans="2:34" ht="16" thickBot="1">
      <c r="B63" s="725" t="s">
        <v>515</v>
      </c>
      <c r="C63" s="43">
        <v>0</v>
      </c>
      <c r="D63" s="43">
        <v>0</v>
      </c>
      <c r="E63" s="43">
        <v>0</v>
      </c>
      <c r="F63" s="43">
        <v>1785</v>
      </c>
      <c r="G63" s="43">
        <v>2190</v>
      </c>
      <c r="H63" s="43">
        <v>2779</v>
      </c>
      <c r="I63" s="731">
        <f>+H63*(1+$H$65)</f>
        <v>3015.49034660596</v>
      </c>
      <c r="J63" s="731">
        <f t="shared" ref="J63:M63" si="16">+I63*(1+$H$65)</f>
        <v>3272.1058044166002</v>
      </c>
      <c r="K63" s="731">
        <f t="shared" si="16"/>
        <v>3550.5590019041333</v>
      </c>
      <c r="L63" s="731">
        <f t="shared" si="16"/>
        <v>3852.7083106501641</v>
      </c>
      <c r="M63" s="731">
        <f t="shared" si="16"/>
        <v>4180.5702479503871</v>
      </c>
      <c r="N63" s="43">
        <f>+M63*(1+$M$65)</f>
        <v>4536.3329348695488</v>
      </c>
      <c r="O63" s="43">
        <f t="shared" ref="O63:Q63" si="17">+N63*(1+$M$65)</f>
        <v>4922.3706995645216</v>
      </c>
      <c r="P63" s="43">
        <f t="shared" si="17"/>
        <v>5341.2599233367546</v>
      </c>
      <c r="Q63" s="43">
        <f t="shared" si="17"/>
        <v>5795.796235169224</v>
      </c>
      <c r="R63" s="43">
        <f>+Q63*(1+$M$65)</f>
        <v>6289.0131695026848</v>
      </c>
      <c r="S63" s="43">
        <f>+R63*(1+$R$66)</f>
        <v>6697.7990255203595</v>
      </c>
      <c r="T63" s="43">
        <f t="shared" ref="T63:AH63" si="18">+S63*(1+$R$66)</f>
        <v>7133.1559621791821</v>
      </c>
      <c r="U63" s="43">
        <f t="shared" si="18"/>
        <v>7596.8110997208287</v>
      </c>
      <c r="V63" s="43">
        <f t="shared" si="18"/>
        <v>8090.6038212026824</v>
      </c>
      <c r="W63" s="43">
        <f t="shared" si="18"/>
        <v>8616.4930695808562</v>
      </c>
      <c r="X63" s="43">
        <f t="shared" si="18"/>
        <v>9176.5651191036122</v>
      </c>
      <c r="Y63" s="43">
        <f t="shared" si="18"/>
        <v>9773.0418518453462</v>
      </c>
      <c r="Z63" s="43">
        <f t="shared" si="18"/>
        <v>10408.289572215293</v>
      </c>
      <c r="AA63" s="43">
        <f t="shared" si="18"/>
        <v>11084.828394409287</v>
      </c>
      <c r="AB63" s="43">
        <f t="shared" si="18"/>
        <v>11805.342240045891</v>
      </c>
      <c r="AC63" s="43">
        <f t="shared" si="18"/>
        <v>12572.689485648874</v>
      </c>
      <c r="AD63" s="43">
        <f t="shared" si="18"/>
        <v>13389.91430221605</v>
      </c>
      <c r="AE63" s="43">
        <f t="shared" si="18"/>
        <v>14260.258731860093</v>
      </c>
      <c r="AF63" s="43">
        <f t="shared" si="18"/>
        <v>15187.175549430998</v>
      </c>
      <c r="AG63" s="43">
        <f t="shared" si="18"/>
        <v>16174.341960144013</v>
      </c>
      <c r="AH63" s="43">
        <f t="shared" si="18"/>
        <v>17225.674187553373</v>
      </c>
    </row>
    <row r="64" spans="2:34" ht="14" thickTop="1">
      <c r="B64" s="635" t="s">
        <v>516</v>
      </c>
      <c r="C64" s="722">
        <f>C63/C41</f>
        <v>0</v>
      </c>
      <c r="D64" s="722">
        <f t="shared" ref="D64:E64" si="19">D63/D41</f>
        <v>0</v>
      </c>
      <c r="E64" s="722">
        <f t="shared" si="19"/>
        <v>0</v>
      </c>
      <c r="F64" s="722">
        <f>F63/F41</f>
        <v>8.399209486166008E-2</v>
      </c>
      <c r="G64" s="722">
        <f>G63/G41</f>
        <v>8.26664653480296E-2</v>
      </c>
      <c r="H64" s="722">
        <f>H63/H41</f>
        <v>8.8638683337586122E-2</v>
      </c>
      <c r="I64" s="732">
        <f>I63/H63-1</f>
        <v>8.5099081182425262E-2</v>
      </c>
      <c r="J64" s="732">
        <f>J63/I63-1</f>
        <v>8.5099081182425262E-2</v>
      </c>
      <c r="K64" s="732">
        <f t="shared" ref="K64" si="20">K63/J63-1</f>
        <v>8.5099081182425262E-2</v>
      </c>
      <c r="L64" s="732">
        <f>L63/K63-1</f>
        <v>8.5099081182425262E-2</v>
      </c>
      <c r="M64" s="732">
        <f>M63/L63-1</f>
        <v>8.5099081182425262E-2</v>
      </c>
      <c r="N64" s="732">
        <f t="shared" ref="N64" si="21">N63/M63-1</f>
        <v>8.5099081182425262E-2</v>
      </c>
      <c r="O64" s="732">
        <f t="shared" ref="O64" si="22">O63/N63-1</f>
        <v>8.5099081182425262E-2</v>
      </c>
      <c r="P64" s="732">
        <f t="shared" ref="P64" si="23">P63/O63-1</f>
        <v>8.5099081182425262E-2</v>
      </c>
      <c r="Q64" s="732">
        <f t="shared" ref="Q64" si="24">Q63/P63-1</f>
        <v>8.5099081182425262E-2</v>
      </c>
      <c r="R64" s="732">
        <f t="shared" ref="R64" si="25">R63/Q63-1</f>
        <v>8.5099081182425262E-2</v>
      </c>
      <c r="S64" s="732">
        <f t="shared" ref="S64" si="26">S63/R63-1</f>
        <v>6.4999999999999947E-2</v>
      </c>
      <c r="T64" s="732">
        <f t="shared" ref="T64" si="27">T63/S63-1</f>
        <v>6.4999999999999947E-2</v>
      </c>
      <c r="U64" s="732">
        <f t="shared" ref="U64" si="28">U63/T63-1</f>
        <v>6.4999999999999947E-2</v>
      </c>
      <c r="V64" s="732">
        <f t="shared" ref="V64" si="29">V63/U63-1</f>
        <v>6.4999999999999947E-2</v>
      </c>
      <c r="W64" s="732">
        <f t="shared" ref="W64" si="30">W63/V63-1</f>
        <v>6.4999999999999947E-2</v>
      </c>
      <c r="X64" s="732">
        <f t="shared" ref="X64" si="31">X63/W63-1</f>
        <v>6.4999999999999947E-2</v>
      </c>
      <c r="Y64" s="732">
        <f t="shared" ref="Y64" si="32">Y63/X63-1</f>
        <v>6.4999999999999947E-2</v>
      </c>
      <c r="Z64" s="732">
        <f t="shared" ref="Z64" si="33">Z63/Y63-1</f>
        <v>6.4999999999999947E-2</v>
      </c>
      <c r="AA64" s="732">
        <f t="shared" ref="AA64" si="34">AA63/Z63-1</f>
        <v>6.4999999999999947E-2</v>
      </c>
      <c r="AB64" s="732">
        <f t="shared" ref="AB64" si="35">AB63/AA63-1</f>
        <v>6.4999999999999947E-2</v>
      </c>
      <c r="AC64" s="732">
        <f t="shared" ref="AC64" si="36">AC63/AB63-1</f>
        <v>6.4999999999999947E-2</v>
      </c>
      <c r="AD64" s="732">
        <f t="shared" ref="AD64" si="37">AD63/AC63-1</f>
        <v>6.4999999999999947E-2</v>
      </c>
      <c r="AE64" s="732">
        <f t="shared" ref="AE64" si="38">AE63/AD63-1</f>
        <v>6.4999999999999947E-2</v>
      </c>
      <c r="AF64" s="732">
        <f t="shared" ref="AF64" si="39">AF63/AE63-1</f>
        <v>6.4999999999999947E-2</v>
      </c>
      <c r="AG64" s="732">
        <f t="shared" ref="AG64" si="40">AG63/AF63-1</f>
        <v>6.4999999999999947E-2</v>
      </c>
      <c r="AH64" s="732">
        <f t="shared" ref="AH64" si="41">AH63/AG63-1</f>
        <v>6.4999999999999947E-2</v>
      </c>
    </row>
    <row r="65" spans="1:36">
      <c r="A65" s="623"/>
      <c r="B65" s="723" t="s">
        <v>510</v>
      </c>
      <c r="C65" s="723"/>
      <c r="D65" s="723"/>
      <c r="E65" s="723"/>
      <c r="F65" s="723"/>
      <c r="G65" s="723"/>
      <c r="H65" s="787">
        <f>AVERAGE(F64:H64)</f>
        <v>8.5099081182425262E-2</v>
      </c>
      <c r="I65" s="889">
        <f>+I41*$H$65</f>
        <v>3319.2526615834417</v>
      </c>
      <c r="J65" s="733"/>
      <c r="K65" s="733"/>
      <c r="L65" s="733"/>
      <c r="M65" s="724">
        <f>+AVERAGE(I64:M64)</f>
        <v>8.5099081182425262E-2</v>
      </c>
      <c r="N65" s="734"/>
      <c r="O65" s="734"/>
      <c r="P65" s="734"/>
      <c r="Q65" s="734"/>
      <c r="R65" s="724">
        <f>+AVERAGE(N64:R64)</f>
        <v>8.5099081182425262E-2</v>
      </c>
      <c r="S65" s="734"/>
      <c r="T65" s="734"/>
      <c r="U65" s="734"/>
      <c r="V65" s="734"/>
      <c r="W65" s="724"/>
      <c r="X65" s="734"/>
      <c r="Y65" s="734"/>
      <c r="Z65" s="734"/>
      <c r="AA65" s="734"/>
      <c r="AB65" s="724">
        <f>+AVERAGE(X64:AB64)</f>
        <v>6.4999999999999947E-2</v>
      </c>
      <c r="AC65" s="734"/>
      <c r="AD65" s="734"/>
      <c r="AE65" s="734"/>
      <c r="AF65" s="734"/>
      <c r="AG65" s="724">
        <f>+AVERAGE(AC64:AG64)</f>
        <v>6.4999999999999947E-2</v>
      </c>
      <c r="AH65"/>
    </row>
    <row r="66" spans="1:36">
      <c r="A66" s="623"/>
      <c r="B66" s="723"/>
      <c r="C66" s="723"/>
      <c r="D66" s="723"/>
      <c r="E66" s="723"/>
      <c r="F66" s="723"/>
      <c r="G66" s="723"/>
      <c r="H66" s="819"/>
      <c r="I66" s="733"/>
      <c r="J66" s="733"/>
      <c r="K66" s="733"/>
      <c r="L66" s="733"/>
      <c r="N66" s="734"/>
      <c r="O66" s="734"/>
      <c r="P66" s="734"/>
      <c r="Q66" s="734"/>
      <c r="R66" s="724">
        <v>6.5000000000000002E-2</v>
      </c>
      <c r="S66" s="734"/>
      <c r="T66" s="734"/>
      <c r="U66" s="734"/>
      <c r="V66" s="734"/>
      <c r="W66" s="724"/>
      <c r="X66" s="734"/>
      <c r="Y66" s="734"/>
      <c r="Z66" s="734"/>
      <c r="AA66" s="734"/>
      <c r="AB66" s="724"/>
      <c r="AC66" s="734"/>
      <c r="AD66" s="734"/>
      <c r="AE66" s="734"/>
      <c r="AF66" s="734"/>
      <c r="AG66" s="724"/>
      <c r="AH66"/>
    </row>
    <row r="67" spans="1:36" ht="28">
      <c r="A67" s="623"/>
      <c r="B67" s="820" t="s">
        <v>517</v>
      </c>
      <c r="C67" s="820" t="s">
        <v>518</v>
      </c>
      <c r="D67" s="821" t="s">
        <v>519</v>
      </c>
      <c r="E67" s="821" t="s">
        <v>520</v>
      </c>
      <c r="F67" s="820" t="s">
        <v>521</v>
      </c>
      <c r="G67" s="822" t="s">
        <v>522</v>
      </c>
      <c r="H67" s="822" t="s">
        <v>523</v>
      </c>
      <c r="I67" s="822" t="s">
        <v>524</v>
      </c>
      <c r="J67" s="836"/>
      <c r="K67" s="1196" t="s">
        <v>498</v>
      </c>
      <c r="L67" s="1196"/>
      <c r="M67" s="1196"/>
      <c r="N67" s="1196"/>
      <c r="O67" s="1196"/>
      <c r="P67"/>
      <c r="Q67"/>
      <c r="R67"/>
      <c r="S67"/>
      <c r="T67"/>
      <c r="U67"/>
      <c r="V67"/>
      <c r="W67"/>
      <c r="X67"/>
      <c r="Y67"/>
      <c r="Z67"/>
      <c r="AA67"/>
      <c r="AB67"/>
      <c r="AC67"/>
      <c r="AD67"/>
      <c r="AE67"/>
      <c r="AF67"/>
      <c r="AG67"/>
      <c r="AH67"/>
      <c r="AI67"/>
      <c r="AJ67"/>
    </row>
    <row r="68" spans="1:36" ht="16">
      <c r="A68" s="623"/>
      <c r="B68" s="823" t="s">
        <v>525</v>
      </c>
      <c r="C68" s="824">
        <v>91</v>
      </c>
      <c r="D68" s="825">
        <v>60.03</v>
      </c>
      <c r="E68" s="825">
        <v>91628.188999999984</v>
      </c>
      <c r="F68" s="826">
        <v>6.5514772970139102E-4</v>
      </c>
      <c r="G68" s="827">
        <v>106194.38899999998</v>
      </c>
      <c r="H68" s="827">
        <f>G68-D68</f>
        <v>106134.35899999998</v>
      </c>
      <c r="I68" s="826">
        <f>H68/E68</f>
        <v>1.1583155812454178</v>
      </c>
      <c r="J68" s="723"/>
      <c r="K68" s="6">
        <v>2023</v>
      </c>
      <c r="L68" s="6">
        <f>K68+1</f>
        <v>2024</v>
      </c>
      <c r="M68" s="6">
        <f t="shared" ref="M68" si="42">L68+1</f>
        <v>2025</v>
      </c>
      <c r="N68" s="6">
        <f t="shared" ref="N68" si="43">M68+1</f>
        <v>2026</v>
      </c>
      <c r="O68" s="720">
        <f t="shared" ref="O68" si="44">N68+1</f>
        <v>2027</v>
      </c>
      <c r="P68" s="6">
        <f>O68+1</f>
        <v>2028</v>
      </c>
      <c r="Q68" s="6">
        <f t="shared" ref="Q68" si="45">P68+1</f>
        <v>2029</v>
      </c>
      <c r="R68" s="6">
        <f t="shared" ref="R68" si="46">Q68+1</f>
        <v>2030</v>
      </c>
      <c r="S68" s="6">
        <f t="shared" ref="S68" si="47">R68+1</f>
        <v>2031</v>
      </c>
      <c r="T68" s="720">
        <f t="shared" ref="T68" si="48">S68+1</f>
        <v>2032</v>
      </c>
      <c r="U68" s="6">
        <f t="shared" ref="U68" si="49">T68+1</f>
        <v>2033</v>
      </c>
      <c r="V68" s="6">
        <f t="shared" ref="V68" si="50">U68+1</f>
        <v>2034</v>
      </c>
      <c r="W68" s="6">
        <f t="shared" ref="W68" si="51">V68+1</f>
        <v>2035</v>
      </c>
      <c r="X68" s="6">
        <f t="shared" ref="X68" si="52">W68+1</f>
        <v>2036</v>
      </c>
      <c r="Y68" s="720">
        <f t="shared" ref="Y68" si="53">X68+1</f>
        <v>2037</v>
      </c>
      <c r="Z68" s="6">
        <f t="shared" ref="Z68" si="54">Y68+1</f>
        <v>2038</v>
      </c>
      <c r="AA68" s="6">
        <f t="shared" ref="AA68" si="55">Z68+1</f>
        <v>2039</v>
      </c>
      <c r="AB68" s="6">
        <f t="shared" ref="AB68" si="56">AA68+1</f>
        <v>2040</v>
      </c>
      <c r="AC68" s="6">
        <f t="shared" ref="AC68" si="57">AB68+1</f>
        <v>2041</v>
      </c>
      <c r="AD68" s="720">
        <f t="shared" ref="AD68" si="58">AC68+1</f>
        <v>2042</v>
      </c>
      <c r="AE68" s="6">
        <f t="shared" ref="AE68" si="59">AD68+1</f>
        <v>2043</v>
      </c>
      <c r="AF68" s="6">
        <f t="shared" ref="AF68" si="60">AE68+1</f>
        <v>2044</v>
      </c>
      <c r="AG68" s="6">
        <f t="shared" ref="AG68" si="61">AF68+1</f>
        <v>2045</v>
      </c>
      <c r="AH68" s="6">
        <f t="shared" ref="AH68" si="62">AG68+1</f>
        <v>2046</v>
      </c>
      <c r="AI68" s="720">
        <f t="shared" ref="AI68" si="63">AH68+1</f>
        <v>2047</v>
      </c>
      <c r="AJ68" s="6">
        <f t="shared" ref="AJ68" si="64">AI68+1</f>
        <v>2048</v>
      </c>
    </row>
    <row r="69" spans="1:36" ht="16">
      <c r="A69" s="623"/>
      <c r="B69" s="828" t="s">
        <v>526</v>
      </c>
      <c r="C69" s="829">
        <v>33</v>
      </c>
      <c r="D69" s="830">
        <v>0.33600000000000002</v>
      </c>
      <c r="E69" s="830">
        <v>-5178.8999999999996</v>
      </c>
      <c r="F69" s="831">
        <v>0</v>
      </c>
      <c r="G69" s="832">
        <v>4187.8380000000006</v>
      </c>
      <c r="H69" s="827">
        <f t="shared" ref="H69:H70" si="65">G69-D69</f>
        <v>4187.5020000000004</v>
      </c>
      <c r="I69" s="826">
        <f t="shared" ref="I69:I71" si="66">H69/E69</f>
        <v>-0.80856977350402603</v>
      </c>
      <c r="J69" s="836" t="s">
        <v>417</v>
      </c>
      <c r="K69" s="839" cm="1">
        <f t="array" ref="K69:AJ69">DCF!G17:AF17</f>
        <v>966.77148943972429</v>
      </c>
      <c r="L69" s="375">
        <v>973.05274183911672</v>
      </c>
      <c r="M69" s="375">
        <v>1412.8538163657904</v>
      </c>
      <c r="N69" s="375">
        <v>1923.9700904705114</v>
      </c>
      <c r="O69" s="840">
        <v>2398.2788587033356</v>
      </c>
      <c r="P69" s="375">
        <v>2857.7446268856893</v>
      </c>
      <c r="Q69" s="375">
        <v>3542.7746231237784</v>
      </c>
      <c r="R69" s="375">
        <v>4537.7384355553286</v>
      </c>
      <c r="S69" s="375">
        <v>5767.736397852248</v>
      </c>
      <c r="T69" s="840">
        <v>7217.3507796977865</v>
      </c>
      <c r="U69" s="375">
        <v>8923.0706993176136</v>
      </c>
      <c r="V69" s="375">
        <v>10926.526675436393</v>
      </c>
      <c r="W69" s="375">
        <v>13270.830823185086</v>
      </c>
      <c r="X69" s="375">
        <v>16041.115746352043</v>
      </c>
      <c r="Y69" s="840">
        <v>19233.831073712383</v>
      </c>
      <c r="Z69" s="375">
        <v>22610.722091038289</v>
      </c>
      <c r="AA69" s="375">
        <v>26423.546245755384</v>
      </c>
      <c r="AB69" s="375">
        <v>30738.131330391596</v>
      </c>
      <c r="AC69" s="375">
        <v>35610.179301188546</v>
      </c>
      <c r="AD69" s="840">
        <v>41105.138332464601</v>
      </c>
      <c r="AE69" s="375">
        <v>46622.598051058565</v>
      </c>
      <c r="AF69" s="375">
        <v>52673.069991216471</v>
      </c>
      <c r="AG69" s="375">
        <v>59327.749600608382</v>
      </c>
      <c r="AH69" s="375">
        <v>66634.805377717508</v>
      </c>
      <c r="AI69" s="840">
        <v>74651.014723423286</v>
      </c>
      <c r="AJ69" s="375">
        <v>82349.757885884523</v>
      </c>
    </row>
    <row r="70" spans="1:36" ht="16">
      <c r="A70" s="623"/>
      <c r="B70" s="823" t="s">
        <v>527</v>
      </c>
      <c r="C70" s="824">
        <v>390</v>
      </c>
      <c r="D70" s="825">
        <v>24238.726000000002</v>
      </c>
      <c r="E70" s="825">
        <v>71266.943000000058</v>
      </c>
      <c r="F70" s="826">
        <v>0.34011176822892464</v>
      </c>
      <c r="G70" s="827">
        <v>81788.361999999979</v>
      </c>
      <c r="H70" s="827">
        <f t="shared" si="65"/>
        <v>57549.635999999977</v>
      </c>
      <c r="I70" s="826">
        <f t="shared" si="66"/>
        <v>0.80752216353660533</v>
      </c>
      <c r="J70" s="723" t="s">
        <v>528</v>
      </c>
      <c r="K70" s="723"/>
      <c r="L70" s="723"/>
      <c r="M70" s="723"/>
      <c r="N70" s="723"/>
      <c r="O70" s="723">
        <f>O69*0.2</f>
        <v>479.65577174066715</v>
      </c>
      <c r="P70" s="723">
        <f>P69*0.3</f>
        <v>857.32338806570681</v>
      </c>
      <c r="Q70" s="723">
        <f>Q69*0.4</f>
        <v>1417.1098492495114</v>
      </c>
      <c r="R70" s="723">
        <f>R69*0.5</f>
        <v>2268.8692177776643</v>
      </c>
      <c r="S70" s="723">
        <f>S69*0.6</f>
        <v>3460.6418387113486</v>
      </c>
      <c r="T70" s="723">
        <f>T69*0.7</f>
        <v>5052.1455457884504</v>
      </c>
      <c r="U70" s="723">
        <f>U69*0.8</f>
        <v>7138.4565594540909</v>
      </c>
      <c r="V70" s="723">
        <f>V69*0.9</f>
        <v>9833.8740078927531</v>
      </c>
      <c r="W70" s="723">
        <f>W69*1</f>
        <v>13270.830823185086</v>
      </c>
      <c r="X70" s="723">
        <f>W71*$X$69</f>
        <v>17073.994729283084</v>
      </c>
      <c r="Y70" s="723">
        <f>$W$71*X69</f>
        <v>17073.994729283084</v>
      </c>
      <c r="Z70" s="723">
        <f t="shared" ref="Z70:AJ70" si="67">$W$71*Y69</f>
        <v>20472.287312755565</v>
      </c>
      <c r="AA70" s="723">
        <f t="shared" si="67"/>
        <v>24066.614561737475</v>
      </c>
      <c r="AB70" s="723">
        <f t="shared" si="67"/>
        <v>28124.944452918986</v>
      </c>
      <c r="AC70" s="723">
        <f t="shared" si="67"/>
        <v>32717.343395671764</v>
      </c>
      <c r="AD70" s="723">
        <f t="shared" si="67"/>
        <v>37903.099965822992</v>
      </c>
      <c r="AE70" s="723">
        <f t="shared" si="67"/>
        <v>43751.876511118477</v>
      </c>
      <c r="AF70" s="723">
        <f t="shared" si="67"/>
        <v>49624.602551121556</v>
      </c>
      <c r="AG70" s="723">
        <f t="shared" si="67"/>
        <v>56064.661188528022</v>
      </c>
      <c r="AH70" s="723">
        <f t="shared" si="67"/>
        <v>63147.832108335402</v>
      </c>
      <c r="AI70" s="723">
        <f t="shared" si="67"/>
        <v>70925.385353240505</v>
      </c>
      <c r="AJ70" s="723">
        <f t="shared" si="67"/>
        <v>79457.754191021377</v>
      </c>
    </row>
    <row r="71" spans="1:36" ht="16">
      <c r="A71" s="623"/>
      <c r="B71" s="833"/>
      <c r="C71" s="834"/>
      <c r="D71" s="825">
        <f t="shared" ref="D71:E71" si="68">AVERAGE(D68:D70)</f>
        <v>8099.6973333333344</v>
      </c>
      <c r="E71" s="825">
        <f t="shared" si="68"/>
        <v>52572.077333333349</v>
      </c>
      <c r="F71" s="834">
        <f>AVERAGE(F68:F70)</f>
        <v>0.11358897198620867</v>
      </c>
      <c r="G71" s="835">
        <f>AVERAGE(G68:G70)</f>
        <v>64056.86299999999</v>
      </c>
      <c r="H71" s="827">
        <f>G71-D71</f>
        <v>55957.165666666653</v>
      </c>
      <c r="I71" s="826">
        <f t="shared" si="66"/>
        <v>1.0643894726067251</v>
      </c>
      <c r="J71" s="841" t="s">
        <v>529</v>
      </c>
      <c r="K71" s="723"/>
      <c r="L71" s="723"/>
      <c r="M71" s="723"/>
      <c r="N71" s="723"/>
      <c r="O71" s="837"/>
      <c r="P71" s="837"/>
      <c r="Q71" s="837"/>
      <c r="R71" s="837"/>
      <c r="S71" s="837"/>
      <c r="T71" s="837"/>
      <c r="U71" s="837"/>
      <c r="V71" s="837"/>
      <c r="W71" s="842">
        <f>I71</f>
        <v>1.0643894726067251</v>
      </c>
      <c r="X71" s="837"/>
      <c r="Y71" s="837"/>
      <c r="Z71" s="837"/>
      <c r="AA71" s="837"/>
      <c r="AB71" s="837"/>
      <c r="AC71" s="837"/>
      <c r="AD71" s="837"/>
      <c r="AE71" s="837"/>
      <c r="AF71" s="837"/>
      <c r="AG71" s="837"/>
      <c r="AH71" s="837"/>
      <c r="AI71" s="837"/>
      <c r="AJ71" s="837"/>
    </row>
    <row r="72" spans="1:36" ht="15">
      <c r="A72" s="623"/>
      <c r="B72" s="613" t="s">
        <v>530</v>
      </c>
      <c r="E72" s="719"/>
      <c r="F72" s="6"/>
      <c r="G72"/>
      <c r="H72"/>
      <c r="J72" s="613" t="s">
        <v>142</v>
      </c>
      <c r="K72" s="838"/>
      <c r="L72"/>
      <c r="M72"/>
      <c r="N72"/>
      <c r="O72"/>
      <c r="P72"/>
      <c r="Q72"/>
      <c r="R72">
        <f>R69*0.025</f>
        <v>113.44346088888322</v>
      </c>
      <c r="S72">
        <f>S69*0.05</f>
        <v>288.38681989261244</v>
      </c>
      <c r="T72">
        <f>T69*0.075</f>
        <v>541.30130847733392</v>
      </c>
      <c r="U72">
        <f>U69*0.1</f>
        <v>892.30706993176136</v>
      </c>
      <c r="V72">
        <f>$U$73*V69</f>
        <v>1241.1329324427061</v>
      </c>
      <c r="W72">
        <f t="shared" ref="W72:AJ72" si="69">$U$73*W69</f>
        <v>1507.4200306084851</v>
      </c>
      <c r="X72">
        <f t="shared" si="69"/>
        <v>1822.0938471399129</v>
      </c>
      <c r="Y72">
        <f t="shared" si="69"/>
        <v>2184.7510990193855</v>
      </c>
      <c r="Z72">
        <f t="shared" si="69"/>
        <v>2568.3286781868978</v>
      </c>
      <c r="AA72">
        <f t="shared" si="69"/>
        <v>3001.4234542853974</v>
      </c>
      <c r="AB72">
        <f t="shared" si="69"/>
        <v>3491.5127385962537</v>
      </c>
      <c r="AC72">
        <f t="shared" si="69"/>
        <v>4044.9236590665732</v>
      </c>
      <c r="AD72">
        <f t="shared" si="69"/>
        <v>4669.0904065355535</v>
      </c>
      <c r="AE72">
        <f t="shared" si="69"/>
        <v>5295.812983945958</v>
      </c>
      <c r="AF72">
        <f t="shared" si="69"/>
        <v>5983.0798716598965</v>
      </c>
      <c r="AG72">
        <f>$U$73*AG69</f>
        <v>6738.9780873883083</v>
      </c>
      <c r="AH72">
        <f t="shared" si="69"/>
        <v>7568.9790413560204</v>
      </c>
      <c r="AI72">
        <f t="shared" si="69"/>
        <v>8479.5320201609793</v>
      </c>
      <c r="AJ72">
        <f t="shared" si="69"/>
        <v>9354.0243415708028</v>
      </c>
    </row>
    <row r="73" spans="1:36" ht="20" customHeight="1">
      <c r="B73" s="613" t="s">
        <v>531</v>
      </c>
      <c r="C73" s="613" t="s">
        <v>532</v>
      </c>
      <c r="D73" s="735" t="s">
        <v>533</v>
      </c>
      <c r="E73" s="43"/>
      <c r="F73" s="43"/>
      <c r="G73"/>
      <c r="H73"/>
      <c r="K73" s="837"/>
      <c r="L73" s="837"/>
      <c r="M73" s="837"/>
      <c r="N73" s="837"/>
      <c r="O73" s="837"/>
      <c r="P73" s="837"/>
      <c r="Q73" s="837"/>
      <c r="R73" s="837"/>
      <c r="S73" s="837"/>
      <c r="T73" s="837"/>
      <c r="U73" s="842">
        <f>F71</f>
        <v>0.11358897198620867</v>
      </c>
      <c r="V73" s="837"/>
      <c r="W73" s="837"/>
      <c r="X73" s="837"/>
      <c r="Y73" s="837"/>
      <c r="Z73" s="837"/>
      <c r="AA73" s="837"/>
      <c r="AB73" s="837"/>
      <c r="AC73" s="837"/>
      <c r="AD73" s="837"/>
      <c r="AE73" s="837"/>
      <c r="AF73" s="837"/>
      <c r="AG73" s="837"/>
      <c r="AH73" s="837"/>
      <c r="AI73" s="837"/>
      <c r="AJ73" s="837"/>
    </row>
    <row r="74" spans="1:36">
      <c r="B74" s="791" t="s">
        <v>534</v>
      </c>
      <c r="C74" s="781">
        <v>3.2500000000000001E-2</v>
      </c>
      <c r="D74" s="736">
        <v>1000</v>
      </c>
      <c r="E74" s="738">
        <f>D74*C74</f>
        <v>32.5</v>
      </c>
      <c r="F74" s="722"/>
      <c r="G74"/>
      <c r="H74"/>
      <c r="K74" s="838"/>
      <c r="L74"/>
      <c r="M74"/>
      <c r="N74"/>
      <c r="O74"/>
      <c r="P74"/>
      <c r="Q74"/>
      <c r="R74"/>
      <c r="S74"/>
      <c r="T74"/>
      <c r="U74"/>
      <c r="V74"/>
      <c r="X74"/>
      <c r="Y74"/>
      <c r="Z74"/>
      <c r="AA74"/>
      <c r="AB74"/>
      <c r="AC74"/>
      <c r="AD74"/>
      <c r="AE74"/>
      <c r="AF74"/>
      <c r="AG74"/>
      <c r="AH74"/>
      <c r="AI74"/>
      <c r="AJ74"/>
    </row>
    <row r="75" spans="1:36">
      <c r="B75" s="613" t="s">
        <v>535</v>
      </c>
      <c r="C75" s="781">
        <v>3.7499999999999999E-2</v>
      </c>
      <c r="D75" s="736">
        <v>186</v>
      </c>
      <c r="E75" s="782">
        <f>D75*C75</f>
        <v>6.9749999999999996</v>
      </c>
      <c r="F75"/>
      <c r="G75"/>
      <c r="H75"/>
      <c r="K75" s="730"/>
    </row>
    <row r="76" spans="1:36">
      <c r="B76" s="613" t="s">
        <v>536</v>
      </c>
      <c r="C76" s="781">
        <v>6.2500000000000003E-3</v>
      </c>
      <c r="D76" s="737">
        <v>1000</v>
      </c>
      <c r="E76" s="782">
        <f t="shared" ref="E76:E82" si="70">D76*C76</f>
        <v>6.25</v>
      </c>
      <c r="F76"/>
      <c r="G76"/>
      <c r="H76"/>
      <c r="K76" s="730"/>
    </row>
    <row r="77" spans="1:36">
      <c r="B77" s="613" t="s">
        <v>537</v>
      </c>
      <c r="C77" s="781">
        <v>3.6999999999999998E-2</v>
      </c>
      <c r="D77" s="737">
        <v>1500</v>
      </c>
      <c r="E77" s="782">
        <f t="shared" si="70"/>
        <v>55.5</v>
      </c>
      <c r="F77"/>
      <c r="G77"/>
      <c r="H77"/>
      <c r="K77" s="730"/>
    </row>
    <row r="78" spans="1:36">
      <c r="B78" s="613" t="s">
        <v>538</v>
      </c>
      <c r="C78" s="781">
        <v>1.4999999999999999E-2</v>
      </c>
      <c r="D78" s="737">
        <v>1000</v>
      </c>
      <c r="E78" s="782">
        <f t="shared" si="70"/>
        <v>15</v>
      </c>
      <c r="F78"/>
      <c r="G78"/>
      <c r="H78"/>
    </row>
    <row r="79" spans="1:36">
      <c r="B79" s="613" t="s">
        <v>539</v>
      </c>
      <c r="C79" s="781">
        <v>1.95E-2</v>
      </c>
      <c r="D79" s="737">
        <v>1500</v>
      </c>
      <c r="E79" s="782">
        <f t="shared" si="70"/>
        <v>29.25</v>
      </c>
      <c r="F79"/>
      <c r="G79"/>
      <c r="H79"/>
    </row>
    <row r="80" spans="1:36">
      <c r="B80" s="613" t="s">
        <v>540</v>
      </c>
      <c r="C80" s="781">
        <v>2.7E-2</v>
      </c>
      <c r="D80" s="737">
        <v>1250</v>
      </c>
      <c r="E80" s="782">
        <f t="shared" si="70"/>
        <v>33.75</v>
      </c>
      <c r="F80"/>
      <c r="G80"/>
      <c r="H80"/>
    </row>
    <row r="81" spans="2:34">
      <c r="B81" s="613" t="s">
        <v>541</v>
      </c>
      <c r="C81" s="781">
        <v>2.9000000000000001E-2</v>
      </c>
      <c r="D81" s="737">
        <v>2000</v>
      </c>
      <c r="E81" s="782">
        <f t="shared" si="70"/>
        <v>58</v>
      </c>
      <c r="F81"/>
      <c r="G81"/>
      <c r="H81"/>
    </row>
    <row r="82" spans="2:34">
      <c r="B82" s="613" t="s">
        <v>542</v>
      </c>
      <c r="C82" s="781">
        <v>3.0499999999999999E-2</v>
      </c>
      <c r="D82" s="737">
        <v>1250</v>
      </c>
      <c r="E82" s="782">
        <f t="shared" si="70"/>
        <v>38.125</v>
      </c>
      <c r="F82"/>
      <c r="G82"/>
      <c r="H82"/>
    </row>
    <row r="83" spans="2:34">
      <c r="B83" s="613" t="s">
        <v>543</v>
      </c>
      <c r="C83" s="781"/>
      <c r="D83" s="737">
        <f>SUM(D74:D82)</f>
        <v>10686</v>
      </c>
      <c r="E83" s="782">
        <f>SUM(E74:E82)</f>
        <v>275.35000000000002</v>
      </c>
      <c r="F83" s="783">
        <f>E83/D83</f>
        <v>2.5767359161519749E-2</v>
      </c>
      <c r="G83"/>
      <c r="H83"/>
    </row>
    <row r="84" spans="2:34">
      <c r="B84" s="613" t="s">
        <v>544</v>
      </c>
      <c r="C84" s="781"/>
      <c r="D84" s="735"/>
      <c r="E84"/>
      <c r="F84"/>
      <c r="G84"/>
      <c r="H84"/>
    </row>
    <row r="85" spans="2:34">
      <c r="B85" s="613" t="s">
        <v>545</v>
      </c>
      <c r="C85" s="759"/>
      <c r="D85" s="735"/>
      <c r="E85"/>
      <c r="F85"/>
      <c r="G85"/>
      <c r="H85"/>
    </row>
    <row r="86" spans="2:34" ht="14">
      <c r="B86" s="727"/>
      <c r="C86" s="722"/>
      <c r="D86" s="43"/>
      <c r="E86"/>
      <c r="F86"/>
      <c r="G86"/>
      <c r="H86"/>
    </row>
    <row r="87" spans="2:34">
      <c r="B87"/>
      <c r="C87"/>
      <c r="D87" s="43"/>
      <c r="E87" s="283"/>
      <c r="F87" s="784"/>
      <c r="G87"/>
      <c r="H87"/>
    </row>
    <row r="88" spans="2:34">
      <c r="B88"/>
      <c r="C88"/>
      <c r="D88"/>
      <c r="E88"/>
      <c r="F88"/>
      <c r="G88"/>
      <c r="H88"/>
    </row>
    <row r="89" spans="2:34">
      <c r="B89"/>
      <c r="C89"/>
      <c r="D89"/>
      <c r="E89"/>
      <c r="F89"/>
      <c r="G89"/>
      <c r="H89"/>
    </row>
    <row r="90" spans="2:34" ht="15">
      <c r="B90" s="718"/>
      <c r="C90" s="1198" t="s">
        <v>502</v>
      </c>
      <c r="D90" s="1198"/>
      <c r="E90" s="1198"/>
      <c r="F90" s="1198"/>
      <c r="G90" s="1198"/>
      <c r="H90" s="1198"/>
      <c r="I90" s="1196" t="s">
        <v>498</v>
      </c>
      <c r="J90" s="1196"/>
      <c r="K90" s="1196"/>
      <c r="L90" s="1196"/>
      <c r="M90" s="1196"/>
      <c r="N90"/>
      <c r="O90"/>
      <c r="P90"/>
      <c r="Q90"/>
      <c r="R90"/>
      <c r="S90"/>
      <c r="T90"/>
      <c r="U90"/>
      <c r="V90"/>
      <c r="W90"/>
      <c r="X90"/>
      <c r="Y90"/>
      <c r="Z90"/>
      <c r="AA90"/>
      <c r="AB90"/>
      <c r="AC90"/>
      <c r="AD90"/>
      <c r="AE90"/>
      <c r="AF90"/>
      <c r="AG90"/>
      <c r="AH90"/>
    </row>
    <row r="91" spans="2:34" ht="15">
      <c r="B91" s="719"/>
      <c r="C91" s="719">
        <v>2017</v>
      </c>
      <c r="D91" s="719">
        <v>2018</v>
      </c>
      <c r="E91" s="719">
        <v>2019</v>
      </c>
      <c r="F91" s="6">
        <v>2020</v>
      </c>
      <c r="G91" s="6">
        <v>2021</v>
      </c>
      <c r="H91" s="720">
        <v>2022</v>
      </c>
      <c r="I91" s="6">
        <v>2023</v>
      </c>
      <c r="J91" s="6">
        <f>I91+1</f>
        <v>2024</v>
      </c>
      <c r="K91" s="6">
        <f>J91+1</f>
        <v>2025</v>
      </c>
      <c r="L91" s="6">
        <f t="shared" ref="L91" si="71">K91+1</f>
        <v>2026</v>
      </c>
      <c r="M91" s="720">
        <f t="shared" ref="M91" si="72">L91+1</f>
        <v>2027</v>
      </c>
      <c r="N91" s="6">
        <f>M91+1</f>
        <v>2028</v>
      </c>
      <c r="O91" s="6">
        <f t="shared" ref="O91" si="73">N91+1</f>
        <v>2029</v>
      </c>
      <c r="P91" s="6">
        <f t="shared" ref="P91" si="74">O91+1</f>
        <v>2030</v>
      </c>
      <c r="Q91" s="6">
        <f t="shared" ref="Q91" si="75">P91+1</f>
        <v>2031</v>
      </c>
      <c r="R91" s="720">
        <f t="shared" ref="R91" si="76">Q91+1</f>
        <v>2032</v>
      </c>
      <c r="S91" s="6">
        <f t="shared" ref="S91" si="77">R91+1</f>
        <v>2033</v>
      </c>
      <c r="T91" s="6">
        <f t="shared" ref="T91" si="78">S91+1</f>
        <v>2034</v>
      </c>
      <c r="U91" s="6">
        <f t="shared" ref="U91" si="79">T91+1</f>
        <v>2035</v>
      </c>
      <c r="V91" s="6">
        <f t="shared" ref="V91" si="80">U91+1</f>
        <v>2036</v>
      </c>
      <c r="W91" s="720">
        <f t="shared" ref="W91" si="81">V91+1</f>
        <v>2037</v>
      </c>
      <c r="X91" s="6">
        <f t="shared" ref="X91" si="82">W91+1</f>
        <v>2038</v>
      </c>
      <c r="Y91" s="6">
        <f t="shared" ref="Y91" si="83">X91+1</f>
        <v>2039</v>
      </c>
      <c r="Z91" s="6">
        <f t="shared" ref="Z91" si="84">Y91+1</f>
        <v>2040</v>
      </c>
      <c r="AA91" s="6">
        <f t="shared" ref="AA91" si="85">Z91+1</f>
        <v>2041</v>
      </c>
      <c r="AB91" s="720">
        <f t="shared" ref="AB91" si="86">AA91+1</f>
        <v>2042</v>
      </c>
      <c r="AC91" s="6">
        <f t="shared" ref="AC91" si="87">AB91+1</f>
        <v>2043</v>
      </c>
      <c r="AD91" s="6">
        <f t="shared" ref="AD91" si="88">AC91+1</f>
        <v>2044</v>
      </c>
      <c r="AE91" s="6">
        <f t="shared" ref="AE91" si="89">AD91+1</f>
        <v>2045</v>
      </c>
      <c r="AF91" s="6">
        <f t="shared" ref="AF91" si="90">AE91+1</f>
        <v>2046</v>
      </c>
      <c r="AG91" s="720">
        <f t="shared" ref="AG91" si="91">AF91+1</f>
        <v>2047</v>
      </c>
      <c r="AH91" s="6">
        <f t="shared" ref="AH91" si="92">AG91+1</f>
        <v>2048</v>
      </c>
    </row>
    <row r="92" spans="2:34" ht="16" thickBot="1">
      <c r="B92" s="725" t="s">
        <v>546</v>
      </c>
      <c r="C92" s="43">
        <f>'Fin. Data'!G32</f>
        <v>-534</v>
      </c>
      <c r="D92" s="43">
        <f>'Fin. Data'!F32</f>
        <v>-595</v>
      </c>
      <c r="E92" s="43">
        <f>'Fin. Data'!E32</f>
        <v>-643</v>
      </c>
      <c r="F92" s="43">
        <f>'Fin. Data'!D32</f>
        <v>-710</v>
      </c>
      <c r="G92" s="43">
        <f>'Fin. Data'!C32</f>
        <v>-717</v>
      </c>
      <c r="H92" s="43">
        <f>'Fin. Data'!B32</f>
        <v>-798</v>
      </c>
      <c r="I92" s="43">
        <f t="shared" ref="I92:AH92" si="93">I41*I93</f>
        <v>-1204.5882645112283</v>
      </c>
      <c r="J92" s="43">
        <f t="shared" si="93"/>
        <v>-1438.3812501601435</v>
      </c>
      <c r="K92" s="43">
        <f t="shared" si="93"/>
        <v>-1681.5905078473215</v>
      </c>
      <c r="L92" s="43">
        <f t="shared" si="93"/>
        <v>-1915.4751829999286</v>
      </c>
      <c r="M92" s="43">
        <f t="shared" si="93"/>
        <v>-2143.580296244686</v>
      </c>
      <c r="N92" s="43">
        <f t="shared" si="93"/>
        <v>-2388.1314948612967</v>
      </c>
      <c r="O92" s="43">
        <f t="shared" si="93"/>
        <v>-2658.1942813682226</v>
      </c>
      <c r="P92" s="43">
        <f t="shared" si="93"/>
        <v>-2956.1390297002699</v>
      </c>
      <c r="Q92" s="43">
        <f t="shared" si="93"/>
        <v>-3284.5228929465666</v>
      </c>
      <c r="R92" s="43">
        <f t="shared" si="93"/>
        <v>-3646.1008835112693</v>
      </c>
      <c r="S92" s="43">
        <f t="shared" si="93"/>
        <v>-4047.1719806975093</v>
      </c>
      <c r="T92" s="43">
        <f t="shared" si="93"/>
        <v>-4492.3608985742358</v>
      </c>
      <c r="U92" s="43">
        <f t="shared" si="93"/>
        <v>-4986.5205974174014</v>
      </c>
      <c r="V92" s="43">
        <f t="shared" si="93"/>
        <v>-5535.0378631333169</v>
      </c>
      <c r="W92" s="43">
        <f t="shared" si="93"/>
        <v>-6143.8920280779821</v>
      </c>
      <c r="X92" s="43">
        <f t="shared" si="93"/>
        <v>-6635.4033903242207</v>
      </c>
      <c r="Y92" s="43">
        <f t="shared" si="93"/>
        <v>-7166.2356615501585</v>
      </c>
      <c r="Z92" s="43">
        <f t="shared" si="93"/>
        <v>-7739.5345144741723</v>
      </c>
      <c r="AA92" s="43">
        <f t="shared" si="93"/>
        <v>-8358.6972756321065</v>
      </c>
      <c r="AB92" s="43">
        <f t="shared" si="93"/>
        <v>-9027.3930576826751</v>
      </c>
      <c r="AC92" s="43">
        <f t="shared" si="93"/>
        <v>-9478.7627105668089</v>
      </c>
      <c r="AD92" s="43">
        <f t="shared" si="93"/>
        <v>-9952.7008460951492</v>
      </c>
      <c r="AE92" s="43">
        <f t="shared" si="93"/>
        <v>-10450.335888399906</v>
      </c>
      <c r="AF92" s="43">
        <f t="shared" si="93"/>
        <v>-10972.852682819903</v>
      </c>
      <c r="AG92" s="43">
        <f t="shared" si="93"/>
        <v>-11521.495316960898</v>
      </c>
      <c r="AH92" s="43">
        <f t="shared" si="93"/>
        <v>-11751.925223300115</v>
      </c>
    </row>
    <row r="93" spans="2:34" ht="14" thickTop="1">
      <c r="B93" s="635" t="s">
        <v>516</v>
      </c>
      <c r="C93" s="722">
        <f t="shared" ref="C93:H93" si="94">C92/C41</f>
        <v>-5.0664136622390894E-2</v>
      </c>
      <c r="D93" s="722">
        <f t="shared" si="94"/>
        <v>-4.4797470260502938E-2</v>
      </c>
      <c r="E93" s="722">
        <f t="shared" si="94"/>
        <v>-3.7606737630132177E-2</v>
      </c>
      <c r="F93" s="722">
        <f t="shared" si="94"/>
        <v>-3.3408620365142104E-2</v>
      </c>
      <c r="G93" s="722">
        <f t="shared" si="94"/>
        <v>-2.7064774271478183E-2</v>
      </c>
      <c r="H93" s="722">
        <f t="shared" si="94"/>
        <v>-2.5452921663689718E-2</v>
      </c>
      <c r="I93" s="722">
        <f>+$H$94</f>
        <v>-3.0883263482610546E-2</v>
      </c>
      <c r="J93" s="722">
        <f t="shared" ref="J93:AH93" si="95">+$H$94</f>
        <v>-3.0883263482610546E-2</v>
      </c>
      <c r="K93" s="722">
        <f t="shared" si="95"/>
        <v>-3.0883263482610546E-2</v>
      </c>
      <c r="L93" s="722">
        <f t="shared" si="95"/>
        <v>-3.0883263482610546E-2</v>
      </c>
      <c r="M93" s="722">
        <f t="shared" si="95"/>
        <v>-3.0883263482610546E-2</v>
      </c>
      <c r="N93" s="722">
        <f t="shared" si="95"/>
        <v>-3.0883263482610546E-2</v>
      </c>
      <c r="O93" s="722">
        <f t="shared" si="95"/>
        <v>-3.0883263482610546E-2</v>
      </c>
      <c r="P93" s="722">
        <f t="shared" si="95"/>
        <v>-3.0883263482610546E-2</v>
      </c>
      <c r="Q93" s="722">
        <f t="shared" si="95"/>
        <v>-3.0883263482610546E-2</v>
      </c>
      <c r="R93" s="722">
        <f t="shared" si="95"/>
        <v>-3.0883263482610546E-2</v>
      </c>
      <c r="S93" s="722">
        <f t="shared" si="95"/>
        <v>-3.0883263482610546E-2</v>
      </c>
      <c r="T93" s="722">
        <f t="shared" si="95"/>
        <v>-3.0883263482610546E-2</v>
      </c>
      <c r="U93" s="722">
        <f t="shared" si="95"/>
        <v>-3.0883263482610546E-2</v>
      </c>
      <c r="V93" s="722">
        <f t="shared" si="95"/>
        <v>-3.0883263482610546E-2</v>
      </c>
      <c r="W93" s="722">
        <f t="shared" si="95"/>
        <v>-3.0883263482610546E-2</v>
      </c>
      <c r="X93" s="722">
        <f t="shared" si="95"/>
        <v>-3.0883263482610546E-2</v>
      </c>
      <c r="Y93" s="722">
        <f t="shared" si="95"/>
        <v>-3.0883263482610546E-2</v>
      </c>
      <c r="Z93" s="722">
        <f t="shared" si="95"/>
        <v>-3.0883263482610546E-2</v>
      </c>
      <c r="AA93" s="722">
        <f t="shared" si="95"/>
        <v>-3.0883263482610546E-2</v>
      </c>
      <c r="AB93" s="722">
        <f t="shared" si="95"/>
        <v>-3.0883263482610546E-2</v>
      </c>
      <c r="AC93" s="722">
        <f t="shared" si="95"/>
        <v>-3.0883263482610546E-2</v>
      </c>
      <c r="AD93" s="722">
        <f t="shared" si="95"/>
        <v>-3.0883263482610546E-2</v>
      </c>
      <c r="AE93" s="722">
        <f t="shared" si="95"/>
        <v>-3.0883263482610546E-2</v>
      </c>
      <c r="AF93" s="722">
        <f t="shared" si="95"/>
        <v>-3.0883263482610546E-2</v>
      </c>
      <c r="AG93" s="722">
        <f t="shared" si="95"/>
        <v>-3.0883263482610546E-2</v>
      </c>
      <c r="AH93" s="722">
        <f t="shared" si="95"/>
        <v>-3.0883263482610546E-2</v>
      </c>
    </row>
    <row r="94" spans="2:34">
      <c r="B94" s="723" t="s">
        <v>510</v>
      </c>
      <c r="C94" s="723"/>
      <c r="D94" s="723"/>
      <c r="E94" s="723"/>
      <c r="F94" s="723"/>
      <c r="G94" s="723"/>
      <c r="H94" s="787">
        <f>AVERAGE(E93:H93)</f>
        <v>-3.0883263482610546E-2</v>
      </c>
      <c r="I94" s="795"/>
      <c r="J94" s="795"/>
      <c r="K94" s="795"/>
      <c r="L94" s="795"/>
      <c r="M94" s="724"/>
      <c r="N94" s="795"/>
      <c r="O94" s="795"/>
      <c r="P94" s="795"/>
      <c r="Q94" s="795"/>
      <c r="R94" s="796">
        <f>+H94</f>
        <v>-3.0883263482610546E-2</v>
      </c>
      <c r="S94" s="795"/>
      <c r="T94" s="795"/>
      <c r="U94" s="795"/>
      <c r="V94" s="795"/>
      <c r="W94" s="724">
        <f>AVERAGE(S93:W93)</f>
        <v>-3.0883263482610546E-2</v>
      </c>
      <c r="X94" s="795"/>
      <c r="Y94" s="795"/>
      <c r="Z94" s="795"/>
      <c r="AA94" s="795"/>
      <c r="AB94" s="724">
        <f>AVERAGE(X93:AB93)</f>
        <v>-3.0883263482610546E-2</v>
      </c>
      <c r="AC94" s="795"/>
      <c r="AD94" s="795"/>
      <c r="AE94" s="795"/>
      <c r="AF94" s="795"/>
      <c r="AG94" s="724">
        <f>AVERAGE(AC93:AG93)</f>
        <v>-3.0883263482610546E-2</v>
      </c>
      <c r="AH94" s="734"/>
    </row>
    <row r="95" spans="2:34">
      <c r="B95"/>
      <c r="C95"/>
      <c r="D95"/>
      <c r="E95"/>
      <c r="F95"/>
      <c r="G95"/>
      <c r="H95"/>
    </row>
    <row r="96" spans="2:34">
      <c r="B96"/>
      <c r="C96"/>
      <c r="D96"/>
      <c r="E96"/>
      <c r="F96"/>
      <c r="G96"/>
      <c r="H96"/>
    </row>
    <row r="97" spans="2:34" ht="15">
      <c r="B97" s="718"/>
      <c r="C97" s="1198" t="s">
        <v>502</v>
      </c>
      <c r="D97" s="1198"/>
      <c r="E97" s="1198"/>
      <c r="F97" s="1198"/>
      <c r="G97" s="1198"/>
      <c r="H97" s="1198"/>
      <c r="I97" s="1196" t="s">
        <v>498</v>
      </c>
      <c r="J97" s="1196"/>
      <c r="K97" s="1196"/>
      <c r="L97" s="1196"/>
      <c r="M97" s="1196"/>
      <c r="N97"/>
      <c r="O97"/>
      <c r="P97"/>
      <c r="Q97"/>
      <c r="R97"/>
      <c r="S97"/>
      <c r="T97"/>
      <c r="U97"/>
      <c r="V97"/>
      <c r="W97"/>
      <c r="X97"/>
      <c r="Y97"/>
      <c r="Z97"/>
      <c r="AA97"/>
      <c r="AB97"/>
      <c r="AC97"/>
      <c r="AD97"/>
      <c r="AE97"/>
      <c r="AF97"/>
      <c r="AG97"/>
      <c r="AH97"/>
    </row>
    <row r="98" spans="2:34" ht="15">
      <c r="B98" s="719"/>
      <c r="C98" s="719">
        <v>2017</v>
      </c>
      <c r="D98" s="719">
        <v>2018</v>
      </c>
      <c r="E98" s="719">
        <v>2019</v>
      </c>
      <c r="F98" s="6">
        <v>2020</v>
      </c>
      <c r="G98" s="6">
        <v>2021</v>
      </c>
      <c r="H98" s="720">
        <v>2022</v>
      </c>
      <c r="I98" s="6">
        <v>2023</v>
      </c>
      <c r="J98" s="6">
        <f>I98+1</f>
        <v>2024</v>
      </c>
      <c r="K98" s="6">
        <f>J98+1</f>
        <v>2025</v>
      </c>
      <c r="L98" s="6">
        <f t="shared" ref="L98:M98" si="96">K98+1</f>
        <v>2026</v>
      </c>
      <c r="M98" s="720">
        <f t="shared" si="96"/>
        <v>2027</v>
      </c>
      <c r="N98" s="6">
        <f>M98+1</f>
        <v>2028</v>
      </c>
      <c r="O98" s="6">
        <f t="shared" ref="O98:AH98" si="97">N98+1</f>
        <v>2029</v>
      </c>
      <c r="P98" s="6">
        <f t="shared" si="97"/>
        <v>2030</v>
      </c>
      <c r="Q98" s="6">
        <f t="shared" si="97"/>
        <v>2031</v>
      </c>
      <c r="R98" s="720">
        <f t="shared" si="97"/>
        <v>2032</v>
      </c>
      <c r="S98" s="6">
        <f t="shared" si="97"/>
        <v>2033</v>
      </c>
      <c r="T98" s="6">
        <f t="shared" si="97"/>
        <v>2034</v>
      </c>
      <c r="U98" s="6">
        <f t="shared" si="97"/>
        <v>2035</v>
      </c>
      <c r="V98" s="6">
        <f t="shared" si="97"/>
        <v>2036</v>
      </c>
      <c r="W98" s="720">
        <f t="shared" si="97"/>
        <v>2037</v>
      </c>
      <c r="X98" s="6">
        <f t="shared" si="97"/>
        <v>2038</v>
      </c>
      <c r="Y98" s="6">
        <f t="shared" si="97"/>
        <v>2039</v>
      </c>
      <c r="Z98" s="6">
        <f t="shared" si="97"/>
        <v>2040</v>
      </c>
      <c r="AA98" s="6">
        <f t="shared" si="97"/>
        <v>2041</v>
      </c>
      <c r="AB98" s="720">
        <f t="shared" si="97"/>
        <v>2042</v>
      </c>
      <c r="AC98" s="6">
        <f t="shared" si="97"/>
        <v>2043</v>
      </c>
      <c r="AD98" s="6">
        <f t="shared" si="97"/>
        <v>2044</v>
      </c>
      <c r="AE98" s="6">
        <f t="shared" si="97"/>
        <v>2045</v>
      </c>
      <c r="AF98" s="6">
        <f t="shared" si="97"/>
        <v>2046</v>
      </c>
      <c r="AG98" s="720">
        <f t="shared" si="97"/>
        <v>2047</v>
      </c>
      <c r="AH98" s="6">
        <f t="shared" si="97"/>
        <v>2048</v>
      </c>
    </row>
    <row r="99" spans="2:34" ht="16" thickBot="1">
      <c r="B99" s="725" t="s">
        <v>547</v>
      </c>
      <c r="C99" s="43">
        <f>'Fin. Data'!G18</f>
        <v>-1497</v>
      </c>
      <c r="D99" s="43">
        <f>'Fin. Data'!F18</f>
        <v>90</v>
      </c>
      <c r="E99" s="43">
        <f>'Fin. Data'!E18</f>
        <v>-1915</v>
      </c>
      <c r="F99" s="43">
        <f>'Fin. Data'!D18</f>
        <v>-976</v>
      </c>
      <c r="G99" s="43">
        <f>'Fin. Data'!C18</f>
        <v>-1670</v>
      </c>
      <c r="H99" s="43">
        <f>'Fin. Data'!B18</f>
        <v>-2529</v>
      </c>
      <c r="I99" s="43">
        <f t="shared" ref="I99:AH99" si="98">I41*I100</f>
        <v>-2840.0743438456034</v>
      </c>
      <c r="J99" s="43">
        <f t="shared" si="98"/>
        <v>-3391.2912864927798</v>
      </c>
      <c r="K99" s="43">
        <f t="shared" si="98"/>
        <v>-3964.7091034290584</v>
      </c>
      <c r="L99" s="43">
        <f t="shared" si="98"/>
        <v>-4516.1422236820663</v>
      </c>
      <c r="M99" s="43">
        <f t="shared" si="98"/>
        <v>-5053.9487912143313</v>
      </c>
      <c r="N99" s="43">
        <f t="shared" si="98"/>
        <v>-5630.5305207645051</v>
      </c>
      <c r="O99" s="43">
        <f t="shared" si="98"/>
        <v>-6267.2612724931796</v>
      </c>
      <c r="P99" s="43">
        <f t="shared" si="98"/>
        <v>-6969.7297096771736</v>
      </c>
      <c r="Q99" s="43">
        <f t="shared" si="98"/>
        <v>-7743.9648673782449</v>
      </c>
      <c r="R99" s="43">
        <f t="shared" si="98"/>
        <v>-8596.4622762906056</v>
      </c>
      <c r="S99" s="43">
        <f t="shared" si="98"/>
        <v>-8030.2999448169412</v>
      </c>
      <c r="T99" s="43">
        <f t="shared" si="98"/>
        <v>-8913.6329387468049</v>
      </c>
      <c r="U99" s="43">
        <f t="shared" si="98"/>
        <v>-9894.1325620089538</v>
      </c>
      <c r="V99" s="43">
        <f t="shared" si="98"/>
        <v>-10982.487143829941</v>
      </c>
      <c r="W99" s="43">
        <f t="shared" si="98"/>
        <v>-12190.560729651235</v>
      </c>
      <c r="X99" s="43">
        <f t="shared" si="98"/>
        <v>-13165.805588023335</v>
      </c>
      <c r="Y99" s="43">
        <f t="shared" si="98"/>
        <v>-14219.070035065202</v>
      </c>
      <c r="Z99" s="43">
        <f t="shared" si="98"/>
        <v>-15356.59563787042</v>
      </c>
      <c r="AA99" s="43">
        <f t="shared" si="98"/>
        <v>-16585.123288900053</v>
      </c>
      <c r="AB99" s="43">
        <f t="shared" si="98"/>
        <v>-17911.933152012058</v>
      </c>
      <c r="AC99" s="43">
        <f t="shared" si="98"/>
        <v>-18807.529809612661</v>
      </c>
      <c r="AD99" s="43">
        <f t="shared" si="98"/>
        <v>-19747.906300093295</v>
      </c>
      <c r="AE99" s="43">
        <f t="shared" si="98"/>
        <v>-20735.30161509796</v>
      </c>
      <c r="AF99" s="43">
        <f t="shared" si="98"/>
        <v>-21772.06669585286</v>
      </c>
      <c r="AG99" s="43">
        <f t="shared" si="98"/>
        <v>-22860.670030645502</v>
      </c>
      <c r="AH99" s="43">
        <f t="shared" si="98"/>
        <v>-23317.883431258411</v>
      </c>
    </row>
    <row r="100" spans="2:34" ht="14" thickTop="1">
      <c r="B100" s="635" t="s">
        <v>516</v>
      </c>
      <c r="C100" s="722">
        <f t="shared" ref="C100:H100" si="99">C99/C41</f>
        <v>-0.1420303605313093</v>
      </c>
      <c r="D100" s="722">
        <f t="shared" si="99"/>
        <v>6.7760879385634692E-3</v>
      </c>
      <c r="E100" s="722">
        <f t="shared" si="99"/>
        <v>-0.1120014036729442</v>
      </c>
      <c r="F100" s="722">
        <f t="shared" si="99"/>
        <v>-4.5925089403350272E-2</v>
      </c>
      <c r="G100" s="722">
        <f t="shared" si="99"/>
        <v>-6.3037898233428966E-2</v>
      </c>
      <c r="H100" s="722">
        <f t="shared" si="99"/>
        <v>-8.0664710385302374E-2</v>
      </c>
      <c r="I100" s="722">
        <v>-7.281389571462861E-2</v>
      </c>
      <c r="J100" s="722">
        <v>-7.281389571462861E-2</v>
      </c>
      <c r="K100" s="722">
        <v>-7.281389571462861E-2</v>
      </c>
      <c r="L100" s="722">
        <v>-7.281389571462861E-2</v>
      </c>
      <c r="M100" s="722">
        <v>-7.281389571462861E-2</v>
      </c>
      <c r="N100" s="722">
        <v>-7.281389571462861E-2</v>
      </c>
      <c r="O100" s="722">
        <v>-7.281389571462861E-2</v>
      </c>
      <c r="P100" s="722">
        <v>-7.281389571462861E-2</v>
      </c>
      <c r="Q100" s="722">
        <v>-7.281389571462861E-2</v>
      </c>
      <c r="R100" s="722">
        <v>-7.281389571462861E-2</v>
      </c>
      <c r="S100" s="722">
        <v>-6.1277818245181831E-2</v>
      </c>
      <c r="T100" s="722">
        <v>-6.1277818245181831E-2</v>
      </c>
      <c r="U100" s="722">
        <v>-6.1277818245181831E-2</v>
      </c>
      <c r="V100" s="722">
        <v>-6.1277818245181831E-2</v>
      </c>
      <c r="W100" s="722">
        <v>-6.1277818245181831E-2</v>
      </c>
      <c r="X100" s="722">
        <v>-6.1277818245181831E-2</v>
      </c>
      <c r="Y100" s="722">
        <v>-6.1277818245181831E-2</v>
      </c>
      <c r="Z100" s="722">
        <v>-6.1277818245181831E-2</v>
      </c>
      <c r="AA100" s="722">
        <v>-6.1277818245181831E-2</v>
      </c>
      <c r="AB100" s="722">
        <v>-6.1277818245181831E-2</v>
      </c>
      <c r="AC100" s="722">
        <v>-6.1277818245181831E-2</v>
      </c>
      <c r="AD100" s="722">
        <v>-6.1277818245181831E-2</v>
      </c>
      <c r="AE100" s="722">
        <v>-6.1277818245181831E-2</v>
      </c>
      <c r="AF100" s="722">
        <v>-6.1277818245181831E-2</v>
      </c>
      <c r="AG100" s="722">
        <v>-6.1277818245181831E-2</v>
      </c>
      <c r="AH100" s="722">
        <v>-6.1277818245181831E-2</v>
      </c>
    </row>
    <row r="101" spans="2:34">
      <c r="B101" s="723" t="s">
        <v>510</v>
      </c>
      <c r="C101" s="723"/>
      <c r="D101" s="723"/>
      <c r="E101" s="723"/>
      <c r="F101" s="723"/>
      <c r="G101" s="723"/>
      <c r="H101" s="787">
        <f>AVERAGE(C100:H100)</f>
        <v>-7.281389571462861E-2</v>
      </c>
      <c r="I101" s="795"/>
      <c r="J101" s="795"/>
      <c r="K101" s="795"/>
      <c r="L101" s="795"/>
      <c r="M101" s="724"/>
      <c r="N101" s="795"/>
      <c r="O101" s="795"/>
      <c r="P101" s="795"/>
      <c r="Q101" s="795"/>
      <c r="R101" s="796">
        <f>AVERAGE(H101,D100:H100)</f>
        <v>-6.1277818245181831E-2</v>
      </c>
      <c r="S101" s="795"/>
      <c r="T101" s="795"/>
      <c r="U101" s="795"/>
      <c r="V101" s="795"/>
      <c r="W101" s="724">
        <f>AVERAGE(S100:W100)</f>
        <v>-6.1277818245181838E-2</v>
      </c>
      <c r="X101" s="795"/>
      <c r="Y101" s="795"/>
      <c r="Z101" s="795"/>
      <c r="AA101" s="795"/>
      <c r="AB101" s="724">
        <f>AVERAGE(X100:AB100)</f>
        <v>-6.1277818245181838E-2</v>
      </c>
      <c r="AC101" s="795"/>
      <c r="AD101" s="795"/>
      <c r="AE101" s="795"/>
      <c r="AF101" s="795"/>
      <c r="AG101" s="724">
        <f>AVERAGE(AC100:AG100)</f>
        <v>-6.1277818245181838E-2</v>
      </c>
      <c r="AH101" s="734"/>
    </row>
    <row r="102" spans="2:34">
      <c r="B102"/>
      <c r="C102"/>
      <c r="D102"/>
      <c r="E102"/>
      <c r="F102"/>
      <c r="G102"/>
      <c r="H102"/>
    </row>
    <row r="103" spans="2:34" ht="15">
      <c r="B103" s="718"/>
      <c r="C103" s="1198" t="s">
        <v>502</v>
      </c>
      <c r="D103" s="1198"/>
      <c r="E103" s="1198"/>
      <c r="F103" s="1198"/>
      <c r="G103" s="1198"/>
      <c r="H103" s="1198"/>
      <c r="I103" s="1196" t="s">
        <v>498</v>
      </c>
      <c r="J103" s="1196"/>
      <c r="K103" s="1196"/>
      <c r="L103" s="1196"/>
      <c r="M103" s="1196"/>
      <c r="N103"/>
      <c r="O103"/>
      <c r="P103"/>
      <c r="Q103"/>
      <c r="R103"/>
      <c r="S103"/>
      <c r="T103"/>
      <c r="U103"/>
      <c r="V103"/>
      <c r="W103"/>
      <c r="X103"/>
      <c r="Y103"/>
      <c r="Z103"/>
      <c r="AA103"/>
      <c r="AB103"/>
      <c r="AC103"/>
      <c r="AD103"/>
      <c r="AE103"/>
      <c r="AF103"/>
      <c r="AG103"/>
      <c r="AH103"/>
    </row>
    <row r="104" spans="2:34" ht="15">
      <c r="B104" s="719"/>
      <c r="C104" s="719">
        <v>2017</v>
      </c>
      <c r="D104" s="719">
        <v>2018</v>
      </c>
      <c r="E104" s="719">
        <v>2019</v>
      </c>
      <c r="F104" s="6">
        <v>2020</v>
      </c>
      <c r="G104" s="6">
        <v>2021</v>
      </c>
      <c r="H104" s="720">
        <v>2022</v>
      </c>
      <c r="I104" s="6">
        <v>2023</v>
      </c>
      <c r="J104" s="6">
        <f>I104+1</f>
        <v>2024</v>
      </c>
      <c r="K104" s="6">
        <f>J104+1</f>
        <v>2025</v>
      </c>
      <c r="L104" s="6">
        <f t="shared" ref="L104:M104" si="100">K104+1</f>
        <v>2026</v>
      </c>
      <c r="M104" s="720">
        <f t="shared" si="100"/>
        <v>2027</v>
      </c>
      <c r="N104" s="6">
        <f>M104+1</f>
        <v>2028</v>
      </c>
      <c r="O104" s="6">
        <f t="shared" ref="O104:AH104" si="101">N104+1</f>
        <v>2029</v>
      </c>
      <c r="P104" s="6">
        <f t="shared" si="101"/>
        <v>2030</v>
      </c>
      <c r="Q104" s="6">
        <f t="shared" si="101"/>
        <v>2031</v>
      </c>
      <c r="R104" s="720">
        <f t="shared" si="101"/>
        <v>2032</v>
      </c>
      <c r="S104" s="6">
        <f t="shared" si="101"/>
        <v>2033</v>
      </c>
      <c r="T104" s="6">
        <f t="shared" si="101"/>
        <v>2034</v>
      </c>
      <c r="U104" s="6">
        <f t="shared" si="101"/>
        <v>2035</v>
      </c>
      <c r="V104" s="6">
        <f t="shared" si="101"/>
        <v>2036</v>
      </c>
      <c r="W104" s="720">
        <f t="shared" si="101"/>
        <v>2037</v>
      </c>
      <c r="X104" s="6">
        <f t="shared" si="101"/>
        <v>2038</v>
      </c>
      <c r="Y104" s="6">
        <f t="shared" si="101"/>
        <v>2039</v>
      </c>
      <c r="Z104" s="6">
        <f t="shared" si="101"/>
        <v>2040</v>
      </c>
      <c r="AA104" s="6">
        <f t="shared" si="101"/>
        <v>2041</v>
      </c>
      <c r="AB104" s="720">
        <f t="shared" si="101"/>
        <v>2042</v>
      </c>
      <c r="AC104" s="6">
        <f t="shared" si="101"/>
        <v>2043</v>
      </c>
      <c r="AD104" s="6">
        <f t="shared" si="101"/>
        <v>2044</v>
      </c>
      <c r="AE104" s="6">
        <f t="shared" si="101"/>
        <v>2045</v>
      </c>
      <c r="AF104" s="6">
        <f t="shared" si="101"/>
        <v>2046</v>
      </c>
      <c r="AG104" s="720">
        <f t="shared" si="101"/>
        <v>2047</v>
      </c>
      <c r="AH104" s="6">
        <f t="shared" si="101"/>
        <v>2048</v>
      </c>
    </row>
    <row r="105" spans="2:34" ht="16" thickBot="1">
      <c r="B105" s="725" t="s">
        <v>50</v>
      </c>
      <c r="C105" s="43">
        <f>'Fin. Data'!G44</f>
        <v>21984</v>
      </c>
      <c r="D105" s="43">
        <f>'Fin. Data'!F44</f>
        <v>30737</v>
      </c>
      <c r="E105" s="43">
        <f>'Fin. Data'!E44</f>
        <v>55126</v>
      </c>
      <c r="F105" s="43">
        <f>'Fin. Data'!D44</f>
        <v>66301</v>
      </c>
      <c r="G105" s="43">
        <f>'Fin. Data'!C44</f>
        <v>95209</v>
      </c>
      <c r="H105" s="43">
        <f>'Fin. Data'!B44</f>
        <v>98849</v>
      </c>
      <c r="I105" s="43">
        <f>+H105*(1+I106)</f>
        <v>125417.48140769839</v>
      </c>
      <c r="J105" s="43">
        <f t="shared" ref="J105:AH105" si="102">+I105*(1+J106)</f>
        <v>152856.12410511886</v>
      </c>
      <c r="K105" s="43">
        <f>+J105*(1+K106)</f>
        <v>178654.94442877412</v>
      </c>
      <c r="L105" s="43">
        <f t="shared" si="102"/>
        <v>199875.30254239481</v>
      </c>
      <c r="M105" s="43">
        <f t="shared" si="102"/>
        <v>213622.41686072954</v>
      </c>
      <c r="N105" s="43">
        <f t="shared" si="102"/>
        <v>227246.92436568465</v>
      </c>
      <c r="O105" s="43">
        <f t="shared" si="102"/>
        <v>240604.14727512619</v>
      </c>
      <c r="P105" s="43">
        <f t="shared" si="102"/>
        <v>253543.4663616576</v>
      </c>
      <c r="Q105" s="43">
        <f t="shared" si="102"/>
        <v>265910.92469374731</v>
      </c>
      <c r="R105" s="43">
        <f t="shared" si="102"/>
        <v>277552.09390074952</v>
      </c>
      <c r="S105" s="43">
        <f t="shared" si="102"/>
        <v>288654.17765677953</v>
      </c>
      <c r="T105" s="43">
        <f t="shared" si="102"/>
        <v>300200.34476305073</v>
      </c>
      <c r="U105" s="43">
        <f t="shared" si="102"/>
        <v>312208.35855357279</v>
      </c>
      <c r="V105" s="43">
        <f t="shared" si="102"/>
        <v>324696.69289571571</v>
      </c>
      <c r="W105" s="43">
        <f t="shared" si="102"/>
        <v>337684.56061154435</v>
      </c>
      <c r="X105" s="43">
        <f t="shared" si="102"/>
        <v>351191.94303600612</v>
      </c>
      <c r="Y105" s="43">
        <f t="shared" si="102"/>
        <v>365239.62075744639</v>
      </c>
      <c r="Z105" s="43">
        <f t="shared" si="102"/>
        <v>379849.20558774425</v>
      </c>
      <c r="AA105" s="43">
        <f t="shared" si="102"/>
        <v>395043.17381125403</v>
      </c>
      <c r="AB105" s="43">
        <f t="shared" si="102"/>
        <v>410844.90076370421</v>
      </c>
      <c r="AC105" s="43">
        <f t="shared" si="102"/>
        <v>427278.69679425238</v>
      </c>
      <c r="AD105" s="43">
        <f t="shared" si="102"/>
        <v>444369.84466602252</v>
      </c>
      <c r="AE105" s="43">
        <f t="shared" si="102"/>
        <v>462144.63845266344</v>
      </c>
      <c r="AF105" s="43">
        <f t="shared" si="102"/>
        <v>480630.42399077001</v>
      </c>
      <c r="AG105" s="43">
        <f t="shared" si="102"/>
        <v>499855.64095040085</v>
      </c>
      <c r="AH105" s="43">
        <f t="shared" si="102"/>
        <v>519849.86658841692</v>
      </c>
    </row>
    <row r="106" spans="2:34" ht="14" thickTop="1">
      <c r="B106" s="635" t="s">
        <v>516</v>
      </c>
      <c r="C106" s="722"/>
      <c r="D106" s="722">
        <f>+D105/C105-1</f>
        <v>0.39815320232896645</v>
      </c>
      <c r="E106" s="722">
        <f t="shared" ref="E106:H106" si="103">+E105/D105-1</f>
        <v>0.79347366366268668</v>
      </c>
      <c r="F106" s="722">
        <f t="shared" si="103"/>
        <v>0.20271741102202223</v>
      </c>
      <c r="G106" s="722">
        <f t="shared" si="103"/>
        <v>0.43601152320477832</v>
      </c>
      <c r="H106" s="722">
        <f t="shared" si="103"/>
        <v>3.8231679778172323E-2</v>
      </c>
      <c r="I106" s="722">
        <f>+$H$107</f>
        <v>0.26877845408348483</v>
      </c>
      <c r="J106" s="722">
        <f>+$H$107-0.05</f>
        <v>0.21877845408348484</v>
      </c>
      <c r="K106" s="722">
        <f>+$J$106-0.05</f>
        <v>0.16877845408348485</v>
      </c>
      <c r="L106" s="722">
        <f>+$K$106-0.05</f>
        <v>0.11877845408348485</v>
      </c>
      <c r="M106" s="722">
        <f>+$L$106-0.05</f>
        <v>6.8778454083484847E-2</v>
      </c>
      <c r="N106" s="722">
        <f>M106-0.005</f>
        <v>6.3778454083484842E-2</v>
      </c>
      <c r="O106" s="722">
        <f t="shared" ref="O106:R106" si="104">N106-0.005</f>
        <v>5.8778454083484845E-2</v>
      </c>
      <c r="P106" s="722">
        <f t="shared" si="104"/>
        <v>5.3778454083484847E-2</v>
      </c>
      <c r="Q106" s="722">
        <f t="shared" si="104"/>
        <v>4.877845408348485E-2</v>
      </c>
      <c r="R106" s="722">
        <f t="shared" si="104"/>
        <v>4.3778454083484852E-2</v>
      </c>
      <c r="S106" s="722">
        <f>+$R$107</f>
        <v>0.04</v>
      </c>
      <c r="T106" s="722">
        <f t="shared" ref="T106:AH106" si="105">+$R$107</f>
        <v>0.04</v>
      </c>
      <c r="U106" s="722">
        <f t="shared" si="105"/>
        <v>0.04</v>
      </c>
      <c r="V106" s="722">
        <f t="shared" si="105"/>
        <v>0.04</v>
      </c>
      <c r="W106" s="722">
        <f t="shared" si="105"/>
        <v>0.04</v>
      </c>
      <c r="X106" s="722">
        <f t="shared" si="105"/>
        <v>0.04</v>
      </c>
      <c r="Y106" s="722">
        <f t="shared" si="105"/>
        <v>0.04</v>
      </c>
      <c r="Z106" s="722">
        <f t="shared" si="105"/>
        <v>0.04</v>
      </c>
      <c r="AA106" s="722">
        <f t="shared" si="105"/>
        <v>0.04</v>
      </c>
      <c r="AB106" s="722">
        <f t="shared" si="105"/>
        <v>0.04</v>
      </c>
      <c r="AC106" s="722">
        <f t="shared" si="105"/>
        <v>0.04</v>
      </c>
      <c r="AD106" s="722">
        <f t="shared" si="105"/>
        <v>0.04</v>
      </c>
      <c r="AE106" s="722">
        <f t="shared" si="105"/>
        <v>0.04</v>
      </c>
      <c r="AF106" s="722">
        <f t="shared" si="105"/>
        <v>0.04</v>
      </c>
      <c r="AG106" s="722">
        <f t="shared" si="105"/>
        <v>0.04</v>
      </c>
      <c r="AH106" s="722">
        <f t="shared" si="105"/>
        <v>0.04</v>
      </c>
    </row>
    <row r="107" spans="2:34">
      <c r="B107" s="723" t="s">
        <v>510</v>
      </c>
      <c r="C107"/>
      <c r="D107"/>
      <c r="E107"/>
      <c r="F107"/>
      <c r="G107"/>
      <c r="H107" s="785">
        <f>AVERAGE(D106,F106:H106)</f>
        <v>0.26877845408348483</v>
      </c>
      <c r="I107"/>
      <c r="J107"/>
      <c r="K107"/>
      <c r="L107"/>
      <c r="M107"/>
      <c r="N107"/>
      <c r="O107"/>
      <c r="P107"/>
      <c r="Q107"/>
      <c r="R107" s="808">
        <v>0.04</v>
      </c>
      <c r="S107"/>
      <c r="T107"/>
      <c r="U107"/>
      <c r="V107"/>
      <c r="W107"/>
      <c r="X107"/>
      <c r="Y107"/>
      <c r="Z107"/>
      <c r="AA107"/>
      <c r="AB107"/>
      <c r="AC107"/>
      <c r="AD107"/>
      <c r="AE107"/>
      <c r="AF107"/>
      <c r="AG107"/>
      <c r="AH107"/>
    </row>
    <row r="108" spans="2:34">
      <c r="B108" s="723"/>
      <c r="C108"/>
      <c r="D108"/>
      <c r="E108"/>
      <c r="F108"/>
      <c r="G108"/>
      <c r="H108"/>
      <c r="I108"/>
      <c r="J108"/>
      <c r="K108"/>
      <c r="L108"/>
      <c r="M108"/>
      <c r="N108"/>
      <c r="O108"/>
      <c r="P108"/>
      <c r="Q108"/>
      <c r="R108"/>
      <c r="S108"/>
      <c r="T108"/>
      <c r="U108"/>
      <c r="V108"/>
      <c r="W108"/>
      <c r="X108"/>
      <c r="Y108"/>
      <c r="Z108"/>
      <c r="AA108"/>
      <c r="AB108"/>
      <c r="AC108"/>
      <c r="AD108"/>
      <c r="AE108"/>
      <c r="AF108"/>
      <c r="AG108"/>
      <c r="AH108"/>
    </row>
    <row r="109" spans="2:34" ht="16" thickBot="1">
      <c r="B109" s="725" t="s">
        <v>56</v>
      </c>
      <c r="C109" s="43">
        <f>'Fin. Data'!G56</f>
        <v>11608</v>
      </c>
      <c r="D109" s="43">
        <f>'Fin. Data'!F56</f>
        <v>15132</v>
      </c>
      <c r="E109" s="43">
        <f>'Fin. Data'!E56</f>
        <v>21241</v>
      </c>
      <c r="F109" s="43">
        <f>'Fin. Data'!D56</f>
        <v>24808</v>
      </c>
      <c r="G109" s="43">
        <f>'Fin. Data'!C56</f>
        <v>37078</v>
      </c>
      <c r="H109" s="43">
        <f>'Fin. Data'!B56</f>
        <v>40490</v>
      </c>
      <c r="I109" s="43">
        <f>+H109*(1+I110)</f>
        <v>51200.965688561271</v>
      </c>
      <c r="J109" s="43">
        <f t="shared" ref="J109" si="106">+I109*(1+J110)</f>
        <v>62185.293465170063</v>
      </c>
      <c r="K109" s="43">
        <f>+J109*(1+K110)</f>
        <v>72416.864010936319</v>
      </c>
      <c r="L109" s="43">
        <f t="shared" ref="L109" si="107">+K109*(1+L110)</f>
        <v>80711.028548449875</v>
      </c>
      <c r="M109" s="43">
        <f t="shared" ref="M109" si="108">+L109*(1+M110)</f>
        <v>85919.602228014919</v>
      </c>
      <c r="N109" s="43">
        <f t="shared" ref="N109" si="109">+M109*(1+N110)</f>
        <v>91034.705935734688</v>
      </c>
      <c r="O109" s="43">
        <f t="shared" ref="O109" si="110">+N109*(1+O110)</f>
        <v>95999.156680238535</v>
      </c>
      <c r="P109" s="43">
        <f t="shared" ref="P109" si="111">+O109*(1+P110)</f>
        <v>100754.34103999495</v>
      </c>
      <c r="Q109" s="43">
        <f t="shared" ref="Q109" si="112">+P109*(1+Q110)</f>
        <v>105241.29512092653</v>
      </c>
      <c r="R109" s="43">
        <f t="shared" ref="R109" si="113">+Q109*(1+R110)</f>
        <v>109401.86296939709</v>
      </c>
      <c r="S109" s="43">
        <f t="shared" ref="S109:AH109" si="114">R109*(1+S110)</f>
        <v>113230.92817332597</v>
      </c>
      <c r="T109" s="43">
        <f t="shared" si="114"/>
        <v>117194.01065939237</v>
      </c>
      <c r="U109" s="43">
        <f t="shared" si="114"/>
        <v>121295.80103247109</v>
      </c>
      <c r="V109" s="43">
        <f t="shared" si="114"/>
        <v>125541.15406860758</v>
      </c>
      <c r="W109" s="43">
        <f t="shared" si="114"/>
        <v>129935.09446100883</v>
      </c>
      <c r="X109" s="43">
        <f t="shared" si="114"/>
        <v>134482.82276714413</v>
      </c>
      <c r="Y109" s="43">
        <f t="shared" si="114"/>
        <v>139189.72156399416</v>
      </c>
      <c r="Z109" s="43">
        <f t="shared" si="114"/>
        <v>144061.36181873395</v>
      </c>
      <c r="AA109" s="43">
        <f t="shared" si="114"/>
        <v>149103.50948238964</v>
      </c>
      <c r="AB109" s="43">
        <f t="shared" si="114"/>
        <v>154322.13231427327</v>
      </c>
      <c r="AC109" s="43">
        <f t="shared" si="114"/>
        <v>159723.40694527281</v>
      </c>
      <c r="AD109" s="43">
        <f t="shared" si="114"/>
        <v>165313.72618835734</v>
      </c>
      <c r="AE109" s="43">
        <f t="shared" si="114"/>
        <v>171099.70660494984</v>
      </c>
      <c r="AF109" s="43">
        <f t="shared" si="114"/>
        <v>177088.19633612307</v>
      </c>
      <c r="AG109" s="43">
        <f t="shared" si="114"/>
        <v>183286.28320788738</v>
      </c>
      <c r="AH109" s="43">
        <f t="shared" si="114"/>
        <v>189701.30312016341</v>
      </c>
    </row>
    <row r="110" spans="2:34" ht="14" thickTop="1">
      <c r="B110" s="635" t="s">
        <v>516</v>
      </c>
      <c r="C110" s="722"/>
      <c r="D110" s="722">
        <f>+D109/C109-1</f>
        <v>0.30358373535492755</v>
      </c>
      <c r="E110" s="722">
        <f t="shared" ref="E110" si="115">+E109/D109-1</f>
        <v>0.40371398361089073</v>
      </c>
      <c r="F110" s="722">
        <f t="shared" ref="F110" si="116">+F109/E109-1</f>
        <v>0.16792994680099804</v>
      </c>
      <c r="G110" s="722">
        <f t="shared" ref="G110" si="117">+G109/F109-1</f>
        <v>0.49459851660754595</v>
      </c>
      <c r="H110" s="722">
        <f t="shared" ref="H110" si="118">+H109/G109-1</f>
        <v>9.2022223420896498E-2</v>
      </c>
      <c r="I110" s="722">
        <f>+$H$111</f>
        <v>0.26453360554609201</v>
      </c>
      <c r="J110" s="722">
        <f>+$I$110-0.05</f>
        <v>0.21453360554609202</v>
      </c>
      <c r="K110" s="722">
        <f>+$J$110-0.05</f>
        <v>0.16453360554609203</v>
      </c>
      <c r="L110" s="722">
        <f>+$K$110-0.05</f>
        <v>0.11453360554609203</v>
      </c>
      <c r="M110" s="722">
        <f>+$L$110-0.05</f>
        <v>6.4533605546092027E-2</v>
      </c>
      <c r="N110" s="722">
        <f>M110-0.005</f>
        <v>5.9533605546092029E-2</v>
      </c>
      <c r="O110" s="722">
        <f t="shared" ref="O110:Q110" si="119">N110-0.005</f>
        <v>5.4533605546092032E-2</v>
      </c>
      <c r="P110" s="722">
        <f t="shared" si="119"/>
        <v>4.9533605546092034E-2</v>
      </c>
      <c r="Q110" s="722">
        <f t="shared" si="119"/>
        <v>4.4533605546092037E-2</v>
      </c>
      <c r="R110" s="722">
        <f>Q110-0.005</f>
        <v>3.9533605546092039E-2</v>
      </c>
      <c r="S110" s="722">
        <f>+$R$111</f>
        <v>3.5000000000000003E-2</v>
      </c>
      <c r="T110" s="722">
        <f t="shared" ref="T110:AH110" si="120">+$R$111</f>
        <v>3.5000000000000003E-2</v>
      </c>
      <c r="U110" s="722">
        <f t="shared" si="120"/>
        <v>3.5000000000000003E-2</v>
      </c>
      <c r="V110" s="722">
        <f t="shared" si="120"/>
        <v>3.5000000000000003E-2</v>
      </c>
      <c r="W110" s="722">
        <f t="shared" si="120"/>
        <v>3.5000000000000003E-2</v>
      </c>
      <c r="X110" s="722">
        <f t="shared" si="120"/>
        <v>3.5000000000000003E-2</v>
      </c>
      <c r="Y110" s="722">
        <f t="shared" si="120"/>
        <v>3.5000000000000003E-2</v>
      </c>
      <c r="Z110" s="722">
        <f t="shared" si="120"/>
        <v>3.5000000000000003E-2</v>
      </c>
      <c r="AA110" s="722">
        <f t="shared" si="120"/>
        <v>3.5000000000000003E-2</v>
      </c>
      <c r="AB110" s="722">
        <f t="shared" si="120"/>
        <v>3.5000000000000003E-2</v>
      </c>
      <c r="AC110" s="722">
        <f t="shared" si="120"/>
        <v>3.5000000000000003E-2</v>
      </c>
      <c r="AD110" s="722">
        <f t="shared" si="120"/>
        <v>3.5000000000000003E-2</v>
      </c>
      <c r="AE110" s="722">
        <f t="shared" si="120"/>
        <v>3.5000000000000003E-2</v>
      </c>
      <c r="AF110" s="722">
        <f t="shared" si="120"/>
        <v>3.5000000000000003E-2</v>
      </c>
      <c r="AG110" s="722">
        <f t="shared" si="120"/>
        <v>3.5000000000000003E-2</v>
      </c>
      <c r="AH110" s="722">
        <f t="shared" si="120"/>
        <v>3.5000000000000003E-2</v>
      </c>
    </row>
    <row r="111" spans="2:34">
      <c r="B111" s="723" t="s">
        <v>510</v>
      </c>
      <c r="C111" s="722"/>
      <c r="D111"/>
      <c r="E111"/>
      <c r="F111"/>
      <c r="G111"/>
      <c r="H111" s="785">
        <f>AVERAGE(D110,F110:H110)</f>
        <v>0.26453360554609201</v>
      </c>
      <c r="I111" s="722"/>
      <c r="J111" s="722"/>
      <c r="K111" s="722"/>
      <c r="L111" s="722"/>
      <c r="M111" s="722"/>
      <c r="N111" s="722"/>
      <c r="O111" s="722"/>
      <c r="P111" s="722"/>
      <c r="Q111" s="722"/>
      <c r="R111" s="809">
        <v>3.5000000000000003E-2</v>
      </c>
      <c r="S111" s="722"/>
      <c r="T111" s="722"/>
      <c r="U111" s="722"/>
      <c r="V111" s="722"/>
      <c r="W111" s="722"/>
      <c r="X111" s="722"/>
      <c r="Y111" s="722"/>
      <c r="Z111" s="722"/>
      <c r="AA111" s="722"/>
      <c r="AB111" s="722"/>
      <c r="AC111" s="722"/>
      <c r="AD111" s="722"/>
      <c r="AE111" s="722"/>
      <c r="AF111" s="722"/>
      <c r="AG111" s="722"/>
      <c r="AH111" s="722"/>
    </row>
    <row r="112" spans="2:34">
      <c r="B112" s="723"/>
      <c r="C112" s="722"/>
      <c r="D112" s="722"/>
      <c r="E112" s="722"/>
      <c r="F112" s="722"/>
      <c r="G112" s="722"/>
      <c r="H112" s="722"/>
      <c r="I112" s="722"/>
      <c r="J112" s="722"/>
      <c r="K112" s="722"/>
      <c r="L112" s="722"/>
      <c r="M112" s="722"/>
      <c r="N112" s="722"/>
      <c r="O112" s="722"/>
      <c r="P112" s="722"/>
      <c r="Q112" s="722"/>
      <c r="R112" s="722"/>
      <c r="S112" s="722"/>
      <c r="T112" s="722"/>
      <c r="U112" s="722"/>
      <c r="V112" s="722"/>
      <c r="W112" s="722"/>
      <c r="X112" s="722"/>
      <c r="Y112" s="722"/>
      <c r="Z112" s="722"/>
      <c r="AA112" s="722"/>
      <c r="AB112" s="722"/>
      <c r="AC112" s="722"/>
      <c r="AD112" s="722"/>
      <c r="AE112" s="722"/>
      <c r="AF112" s="722"/>
      <c r="AG112" s="722"/>
      <c r="AH112" s="722"/>
    </row>
    <row r="113" spans="2:35" ht="16" thickBot="1">
      <c r="B113" s="725" t="s">
        <v>548</v>
      </c>
      <c r="C113" s="43">
        <f>'Fin. Data'!G64</f>
        <v>10376</v>
      </c>
      <c r="D113" s="43">
        <f>'Fin. Data'!F64</f>
        <v>15605</v>
      </c>
      <c r="E113" s="43">
        <f>'Fin. Data'!E64</f>
        <v>33885</v>
      </c>
      <c r="F113" s="43">
        <f>'Fin. Data'!D64</f>
        <v>41493</v>
      </c>
      <c r="G113" s="43">
        <f>'Fin. Data'!C64</f>
        <v>58131</v>
      </c>
      <c r="H113" s="43">
        <f>'Fin. Data'!B64</f>
        <v>58359</v>
      </c>
      <c r="I113" s="43">
        <f>+I105-I109</f>
        <v>74216.515719137125</v>
      </c>
      <c r="J113" s="43">
        <f t="shared" ref="J113:AG113" si="121">+J105-J109</f>
        <v>90670.830639948792</v>
      </c>
      <c r="K113" s="43">
        <f t="shared" si="121"/>
        <v>106238.0804178378</v>
      </c>
      <c r="L113" s="43">
        <f t="shared" si="121"/>
        <v>119164.27399394494</v>
      </c>
      <c r="M113" s="43">
        <f t="shared" si="121"/>
        <v>127702.81463271462</v>
      </c>
      <c r="N113" s="43">
        <f t="shared" si="121"/>
        <v>136212.21842994995</v>
      </c>
      <c r="O113" s="43">
        <f t="shared" si="121"/>
        <v>144604.99059488764</v>
      </c>
      <c r="P113" s="43">
        <f t="shared" si="121"/>
        <v>152789.12532166264</v>
      </c>
      <c r="Q113" s="43">
        <f t="shared" si="121"/>
        <v>160669.62957282079</v>
      </c>
      <c r="R113" s="43">
        <f t="shared" si="121"/>
        <v>168150.23093135242</v>
      </c>
      <c r="S113" s="43">
        <f t="shared" si="121"/>
        <v>175423.24948345358</v>
      </c>
      <c r="T113" s="43">
        <f t="shared" si="121"/>
        <v>183006.33410365836</v>
      </c>
      <c r="U113" s="43">
        <f t="shared" si="121"/>
        <v>190912.5575211017</v>
      </c>
      <c r="V113" s="43">
        <f t="shared" si="121"/>
        <v>199155.53882710813</v>
      </c>
      <c r="W113" s="43">
        <f t="shared" si="121"/>
        <v>207749.4661505355</v>
      </c>
      <c r="X113" s="43">
        <f t="shared" si="121"/>
        <v>216709.120268862</v>
      </c>
      <c r="Y113" s="43">
        <f t="shared" si="121"/>
        <v>226049.89919345223</v>
      </c>
      <c r="Z113" s="43">
        <f t="shared" si="121"/>
        <v>235787.8437690103</v>
      </c>
      <c r="AA113" s="43">
        <f t="shared" si="121"/>
        <v>245939.6643288644</v>
      </c>
      <c r="AB113" s="43">
        <f t="shared" si="121"/>
        <v>256522.76844943094</v>
      </c>
      <c r="AC113" s="43">
        <f t="shared" si="121"/>
        <v>267555.28984897956</v>
      </c>
      <c r="AD113" s="43">
        <f t="shared" si="121"/>
        <v>279056.11847766518</v>
      </c>
      <c r="AE113" s="43">
        <f t="shared" si="121"/>
        <v>291044.9318477136</v>
      </c>
      <c r="AF113" s="43">
        <f t="shared" si="121"/>
        <v>303542.22765464697</v>
      </c>
      <c r="AG113" s="43">
        <f t="shared" si="121"/>
        <v>316569.35774251347</v>
      </c>
      <c r="AH113" s="43">
        <f>+AH105-AH109</f>
        <v>330148.56346825347</v>
      </c>
    </row>
    <row r="114" spans="2:35" ht="14" thickTop="1">
      <c r="B114" s="635"/>
      <c r="C114" s="722"/>
      <c r="D114" s="722"/>
      <c r="E114" s="722"/>
      <c r="F114" s="722"/>
      <c r="G114" s="722"/>
      <c r="H114" s="786"/>
    </row>
    <row r="115" spans="2:35">
      <c r="B115"/>
      <c r="C115"/>
      <c r="D115"/>
      <c r="E115"/>
      <c r="F115"/>
      <c r="G115"/>
      <c r="H115"/>
    </row>
    <row r="116" spans="2:35" ht="15">
      <c r="B116" s="718"/>
      <c r="C116" s="1198" t="s">
        <v>502</v>
      </c>
      <c r="D116" s="1198"/>
      <c r="E116" s="1198"/>
      <c r="F116" s="1198"/>
      <c r="G116" s="1198"/>
      <c r="H116" s="1198"/>
      <c r="I116" s="1196" t="s">
        <v>498</v>
      </c>
      <c r="J116" s="1196"/>
      <c r="K116" s="1196"/>
      <c r="L116" s="1196"/>
      <c r="M116" s="1196"/>
    </row>
    <row r="117" spans="2:35" ht="15">
      <c r="B117" s="719"/>
      <c r="C117" s="719">
        <v>2017</v>
      </c>
      <c r="D117" s="719">
        <v>2018</v>
      </c>
      <c r="E117" s="719">
        <v>2019</v>
      </c>
      <c r="F117" s="6">
        <v>2020</v>
      </c>
      <c r="G117" s="6">
        <v>2021</v>
      </c>
      <c r="H117" s="720">
        <v>2022</v>
      </c>
      <c r="I117" s="719">
        <v>2023</v>
      </c>
      <c r="J117" s="719">
        <v>2024</v>
      </c>
      <c r="K117" s="719">
        <v>2025</v>
      </c>
      <c r="L117" s="6">
        <v>2026</v>
      </c>
      <c r="M117" s="6">
        <v>2027</v>
      </c>
      <c r="N117" s="720">
        <v>2028</v>
      </c>
      <c r="O117" s="719">
        <v>2029</v>
      </c>
      <c r="P117" s="719">
        <v>2030</v>
      </c>
      <c r="Q117" s="719">
        <v>2031</v>
      </c>
      <c r="R117" s="6">
        <v>2032</v>
      </c>
      <c r="S117" s="6">
        <v>2033</v>
      </c>
      <c r="T117" s="720">
        <v>2034</v>
      </c>
      <c r="U117" s="719">
        <v>2035</v>
      </c>
      <c r="V117" s="719">
        <v>2036</v>
      </c>
      <c r="W117" s="719">
        <v>2037</v>
      </c>
      <c r="X117" s="6">
        <v>2038</v>
      </c>
      <c r="Y117" s="6">
        <v>2039</v>
      </c>
      <c r="Z117" s="720">
        <v>2040</v>
      </c>
      <c r="AA117" s="719">
        <v>2041</v>
      </c>
      <c r="AB117" s="719">
        <v>2042</v>
      </c>
      <c r="AC117" s="719">
        <v>2043</v>
      </c>
      <c r="AD117" s="6">
        <v>2044</v>
      </c>
      <c r="AE117" s="6">
        <v>2045</v>
      </c>
      <c r="AF117" s="720">
        <v>2046</v>
      </c>
      <c r="AG117" s="719">
        <v>2047</v>
      </c>
      <c r="AH117" s="719">
        <v>2048</v>
      </c>
    </row>
    <row r="118" spans="2:35" ht="16" thickBot="1">
      <c r="B118" s="725" t="s">
        <v>549</v>
      </c>
      <c r="C118" s="806">
        <f>C123/C113</f>
        <v>0.16576715497301464</v>
      </c>
      <c r="D118" s="806">
        <f t="shared" ref="D118:H118" si="122">D123/D113</f>
        <v>0.23364306312079461</v>
      </c>
      <c r="E118" s="806">
        <f t="shared" si="122"/>
        <v>9.0246421720525299E-2</v>
      </c>
      <c r="F118" s="806">
        <f>F123/F113</f>
        <v>6.7505362350275946E-2</v>
      </c>
      <c r="G118" s="806">
        <f t="shared" si="122"/>
        <v>0.18883212055529752</v>
      </c>
      <c r="H118" s="806">
        <f t="shared" si="122"/>
        <v>0.19520553813464933</v>
      </c>
      <c r="I118" s="806">
        <v>0.2</v>
      </c>
      <c r="J118" s="806">
        <v>0.21</v>
      </c>
      <c r="K118" s="806">
        <v>0.22</v>
      </c>
      <c r="L118" s="806">
        <v>0.22</v>
      </c>
      <c r="M118" s="806">
        <v>0.21</v>
      </c>
      <c r="N118" s="806">
        <v>0.2</v>
      </c>
      <c r="O118" s="806">
        <f>+N118-0.001</f>
        <v>0.19900000000000001</v>
      </c>
      <c r="P118" s="806">
        <f t="shared" ref="P118:AH118" si="123">+O118-0.001</f>
        <v>0.19800000000000001</v>
      </c>
      <c r="Q118" s="806">
        <f t="shared" si="123"/>
        <v>0.19700000000000001</v>
      </c>
      <c r="R118" s="806">
        <f t="shared" si="123"/>
        <v>0.19600000000000001</v>
      </c>
      <c r="S118" s="806">
        <f t="shared" si="123"/>
        <v>0.19500000000000001</v>
      </c>
      <c r="T118" s="806">
        <f t="shared" si="123"/>
        <v>0.19400000000000001</v>
      </c>
      <c r="U118" s="806">
        <f t="shared" si="123"/>
        <v>0.193</v>
      </c>
      <c r="V118" s="806">
        <f t="shared" si="123"/>
        <v>0.192</v>
      </c>
      <c r="W118" s="806">
        <f t="shared" si="123"/>
        <v>0.191</v>
      </c>
      <c r="X118" s="806">
        <f t="shared" si="123"/>
        <v>0.19</v>
      </c>
      <c r="Y118" s="806">
        <f t="shared" si="123"/>
        <v>0.189</v>
      </c>
      <c r="Z118" s="806">
        <f t="shared" si="123"/>
        <v>0.188</v>
      </c>
      <c r="AA118" s="806">
        <f t="shared" si="123"/>
        <v>0.187</v>
      </c>
      <c r="AB118" s="806">
        <f t="shared" si="123"/>
        <v>0.186</v>
      </c>
      <c r="AC118" s="806">
        <f t="shared" si="123"/>
        <v>0.185</v>
      </c>
      <c r="AD118" s="806">
        <f t="shared" si="123"/>
        <v>0.184</v>
      </c>
      <c r="AE118" s="806">
        <f t="shared" si="123"/>
        <v>0.183</v>
      </c>
      <c r="AF118" s="806">
        <f t="shared" si="123"/>
        <v>0.182</v>
      </c>
      <c r="AG118" s="806">
        <f t="shared" si="123"/>
        <v>0.18099999999999999</v>
      </c>
      <c r="AH118" s="806">
        <f t="shared" si="123"/>
        <v>0.18</v>
      </c>
    </row>
    <row r="119" spans="2:35" ht="14" thickTop="1">
      <c r="B119" s="723" t="s">
        <v>510</v>
      </c>
      <c r="C119" s="723"/>
      <c r="D119" s="723"/>
      <c r="E119" s="723"/>
      <c r="F119" s="723"/>
      <c r="G119" s="723"/>
      <c r="H119" s="810">
        <f>+AVERAGE(C118:D118,G118:H118)</f>
        <v>0.19586196919593904</v>
      </c>
    </row>
    <row r="120" spans="2:35">
      <c r="B120" s="723"/>
      <c r="C120" s="723"/>
      <c r="D120" s="723"/>
      <c r="E120" s="723"/>
      <c r="F120" s="723"/>
      <c r="G120" s="723"/>
      <c r="H120" s="728"/>
    </row>
    <row r="121" spans="2:35" ht="15">
      <c r="B121" s="718"/>
      <c r="C121" s="1198" t="s">
        <v>502</v>
      </c>
      <c r="D121" s="1198"/>
      <c r="E121" s="1198"/>
      <c r="F121" s="1198"/>
      <c r="G121" s="1198"/>
      <c r="H121" s="1198"/>
      <c r="I121" s="1196" t="s">
        <v>498</v>
      </c>
      <c r="J121" s="1196"/>
      <c r="K121" s="1196"/>
      <c r="L121" s="1196"/>
      <c r="M121" s="1196"/>
      <c r="N121"/>
      <c r="O121"/>
      <c r="P121"/>
      <c r="Q121"/>
      <c r="R121"/>
      <c r="S121"/>
      <c r="T121"/>
      <c r="U121"/>
      <c r="V121"/>
      <c r="W121"/>
      <c r="X121"/>
      <c r="Y121"/>
      <c r="Z121"/>
      <c r="AA121"/>
      <c r="AB121"/>
      <c r="AC121"/>
      <c r="AD121"/>
      <c r="AE121"/>
      <c r="AF121"/>
      <c r="AG121"/>
      <c r="AH121"/>
    </row>
    <row r="122" spans="2:35" ht="15">
      <c r="B122" s="719"/>
      <c r="C122" s="719">
        <v>2017</v>
      </c>
      <c r="D122" s="719">
        <v>2018</v>
      </c>
      <c r="E122" s="719">
        <v>2019</v>
      </c>
      <c r="F122" s="6">
        <v>2020</v>
      </c>
      <c r="G122" s="6">
        <v>2021</v>
      </c>
      <c r="H122" s="720">
        <v>2022</v>
      </c>
      <c r="I122" s="6">
        <v>2023</v>
      </c>
      <c r="J122" s="6">
        <f>I122+1</f>
        <v>2024</v>
      </c>
      <c r="K122" s="6">
        <f>J122+1</f>
        <v>2025</v>
      </c>
      <c r="L122" s="6">
        <f t="shared" ref="L122:M122" si="124">K122+1</f>
        <v>2026</v>
      </c>
      <c r="M122" s="720">
        <f t="shared" si="124"/>
        <v>2027</v>
      </c>
      <c r="N122" s="6">
        <f>M122+1</f>
        <v>2028</v>
      </c>
      <c r="O122" s="6">
        <f t="shared" ref="O122:AH122" si="125">N122+1</f>
        <v>2029</v>
      </c>
      <c r="P122" s="6">
        <f t="shared" si="125"/>
        <v>2030</v>
      </c>
      <c r="Q122" s="6">
        <f t="shared" si="125"/>
        <v>2031</v>
      </c>
      <c r="R122" s="720">
        <f t="shared" si="125"/>
        <v>2032</v>
      </c>
      <c r="S122" s="6">
        <f t="shared" si="125"/>
        <v>2033</v>
      </c>
      <c r="T122" s="6">
        <f t="shared" si="125"/>
        <v>2034</v>
      </c>
      <c r="U122" s="6">
        <f t="shared" si="125"/>
        <v>2035</v>
      </c>
      <c r="V122" s="6">
        <f t="shared" si="125"/>
        <v>2036</v>
      </c>
      <c r="W122" s="720">
        <f t="shared" si="125"/>
        <v>2037</v>
      </c>
      <c r="X122" s="6">
        <f t="shared" si="125"/>
        <v>2038</v>
      </c>
      <c r="Y122" s="6">
        <f t="shared" si="125"/>
        <v>2039</v>
      </c>
      <c r="Z122" s="6">
        <f t="shared" si="125"/>
        <v>2040</v>
      </c>
      <c r="AA122" s="6">
        <f t="shared" si="125"/>
        <v>2041</v>
      </c>
      <c r="AB122" s="720">
        <f t="shared" si="125"/>
        <v>2042</v>
      </c>
      <c r="AC122" s="6">
        <f t="shared" si="125"/>
        <v>2043</v>
      </c>
      <c r="AD122" s="6">
        <f t="shared" si="125"/>
        <v>2044</v>
      </c>
      <c r="AE122" s="6">
        <f t="shared" si="125"/>
        <v>2045</v>
      </c>
      <c r="AF122" s="6">
        <f t="shared" si="125"/>
        <v>2046</v>
      </c>
      <c r="AG122" s="720">
        <f t="shared" si="125"/>
        <v>2047</v>
      </c>
      <c r="AH122" s="6">
        <f t="shared" si="125"/>
        <v>2048</v>
      </c>
    </row>
    <row r="123" spans="2:35" ht="16" thickBot="1">
      <c r="B123" s="725" t="s">
        <v>294</v>
      </c>
      <c r="C123" s="43">
        <f>'Fin. Data'!G58</f>
        <v>1720</v>
      </c>
      <c r="D123" s="43">
        <f>'Fin. Data'!F58</f>
        <v>3646</v>
      </c>
      <c r="E123" s="43">
        <f>'Fin. Data'!E58</f>
        <v>3058</v>
      </c>
      <c r="F123" s="43">
        <f>'Fin. Data'!D58</f>
        <v>2801</v>
      </c>
      <c r="G123" s="43">
        <f>'Fin. Data'!C58</f>
        <v>10977</v>
      </c>
      <c r="H123" s="43">
        <f>'Fin. Data'!B58</f>
        <v>11392</v>
      </c>
      <c r="I123" s="43">
        <f>+I113*I118</f>
        <v>14843.303143827427</v>
      </c>
      <c r="J123" s="43">
        <f>+J113*J118</f>
        <v>19040.874434389247</v>
      </c>
      <c r="K123" s="43">
        <f t="shared" ref="K123:AH123" si="126">+K113*K118</f>
        <v>23372.377691924317</v>
      </c>
      <c r="L123" s="43">
        <f t="shared" si="126"/>
        <v>26216.140278667888</v>
      </c>
      <c r="M123" s="43">
        <f t="shared" si="126"/>
        <v>26817.591072870069</v>
      </c>
      <c r="N123" s="43">
        <f t="shared" si="126"/>
        <v>27242.443685989991</v>
      </c>
      <c r="O123" s="43">
        <f t="shared" si="126"/>
        <v>28776.393128382642</v>
      </c>
      <c r="P123" s="43">
        <f t="shared" si="126"/>
        <v>30252.246813689202</v>
      </c>
      <c r="Q123" s="43">
        <f t="shared" si="126"/>
        <v>31651.917025845698</v>
      </c>
      <c r="R123" s="43">
        <f t="shared" si="126"/>
        <v>32957.445262545072</v>
      </c>
      <c r="S123" s="43">
        <f t="shared" si="126"/>
        <v>34207.53364927345</v>
      </c>
      <c r="T123" s="43">
        <f t="shared" si="126"/>
        <v>35503.228816109724</v>
      </c>
      <c r="U123" s="43">
        <f t="shared" si="126"/>
        <v>36846.123601572632</v>
      </c>
      <c r="V123" s="43">
        <f t="shared" si="126"/>
        <v>38237.863454804763</v>
      </c>
      <c r="W123" s="43">
        <f t="shared" si="126"/>
        <v>39680.148034752281</v>
      </c>
      <c r="X123" s="43">
        <f t="shared" si="126"/>
        <v>41174.732851083783</v>
      </c>
      <c r="Y123" s="43">
        <f t="shared" si="126"/>
        <v>42723.430947562476</v>
      </c>
      <c r="Z123" s="43">
        <f t="shared" si="126"/>
        <v>44328.114628573938</v>
      </c>
      <c r="AA123" s="43">
        <f t="shared" si="126"/>
        <v>45990.717229497641</v>
      </c>
      <c r="AB123" s="43">
        <f t="shared" si="126"/>
        <v>47713.234931594154</v>
      </c>
      <c r="AC123" s="43">
        <f t="shared" si="126"/>
        <v>49497.728622061215</v>
      </c>
      <c r="AD123" s="43">
        <f t="shared" si="126"/>
        <v>51346.325799890394</v>
      </c>
      <c r="AE123" s="43">
        <f t="shared" si="126"/>
        <v>53261.222528131584</v>
      </c>
      <c r="AF123" s="43">
        <f t="shared" si="126"/>
        <v>55244.685433145743</v>
      </c>
      <c r="AG123" s="43">
        <f t="shared" si="126"/>
        <v>57299.053751394938</v>
      </c>
      <c r="AH123" s="43">
        <f t="shared" si="126"/>
        <v>59426.741424285625</v>
      </c>
    </row>
    <row r="124" spans="2:35" ht="14" thickTop="1">
      <c r="B124" s="723" t="s">
        <v>550</v>
      </c>
      <c r="C124" s="792">
        <f>C123</f>
        <v>1720</v>
      </c>
      <c r="D124" s="792">
        <f>D123-C123</f>
        <v>1926</v>
      </c>
      <c r="E124" s="792">
        <f t="shared" ref="E124:H124" si="127">E123-D123</f>
        <v>-588</v>
      </c>
      <c r="F124" s="792">
        <f t="shared" si="127"/>
        <v>-257</v>
      </c>
      <c r="G124" s="792">
        <f t="shared" si="127"/>
        <v>8176</v>
      </c>
      <c r="H124" s="792">
        <f t="shared" si="127"/>
        <v>415</v>
      </c>
      <c r="I124" s="807">
        <f>+I123-H123</f>
        <v>3451.3031438274265</v>
      </c>
      <c r="J124" s="807">
        <f>+J123-I123</f>
        <v>4197.5712905618202</v>
      </c>
      <c r="K124" s="807">
        <f>+K123-J123</f>
        <v>4331.5032575350706</v>
      </c>
      <c r="L124" s="807">
        <f t="shared" ref="L124:AH124" si="128">+L123-K123</f>
        <v>2843.7625867435709</v>
      </c>
      <c r="M124" s="807">
        <f t="shared" si="128"/>
        <v>601.45079420218099</v>
      </c>
      <c r="N124" s="807">
        <f t="shared" si="128"/>
        <v>424.85261311992144</v>
      </c>
      <c r="O124" s="807">
        <f t="shared" si="128"/>
        <v>1533.9494423926517</v>
      </c>
      <c r="P124" s="807">
        <f t="shared" si="128"/>
        <v>1475.8536853065598</v>
      </c>
      <c r="Q124" s="807">
        <f t="shared" si="128"/>
        <v>1399.6702121564958</v>
      </c>
      <c r="R124" s="807">
        <f t="shared" si="128"/>
        <v>1305.5282366993742</v>
      </c>
      <c r="S124" s="807">
        <f t="shared" si="128"/>
        <v>1250.0883867283774</v>
      </c>
      <c r="T124" s="807">
        <f t="shared" si="128"/>
        <v>1295.6951668362744</v>
      </c>
      <c r="U124" s="807">
        <f t="shared" si="128"/>
        <v>1342.8947854629077</v>
      </c>
      <c r="V124" s="807">
        <f t="shared" si="128"/>
        <v>1391.7398532321313</v>
      </c>
      <c r="W124" s="807">
        <f t="shared" si="128"/>
        <v>1442.2845799475181</v>
      </c>
      <c r="X124" s="807">
        <f t="shared" si="128"/>
        <v>1494.5848163315022</v>
      </c>
      <c r="Y124" s="807">
        <f t="shared" si="128"/>
        <v>1548.6980964786926</v>
      </c>
      <c r="Z124" s="807">
        <f t="shared" si="128"/>
        <v>1604.6836810114619</v>
      </c>
      <c r="AA124" s="807">
        <f t="shared" si="128"/>
        <v>1662.602600923703</v>
      </c>
      <c r="AB124" s="807">
        <f t="shared" si="128"/>
        <v>1722.5177020965129</v>
      </c>
      <c r="AC124" s="807">
        <f t="shared" si="128"/>
        <v>1784.4936904670612</v>
      </c>
      <c r="AD124" s="807">
        <f t="shared" si="128"/>
        <v>1848.5971778291787</v>
      </c>
      <c r="AE124" s="807">
        <f t="shared" si="128"/>
        <v>1914.8967282411904</v>
      </c>
      <c r="AF124" s="807">
        <f t="shared" si="128"/>
        <v>1983.4629050141593</v>
      </c>
      <c r="AG124" s="807">
        <f t="shared" si="128"/>
        <v>2054.368318249195</v>
      </c>
      <c r="AH124" s="807">
        <f t="shared" si="128"/>
        <v>2127.6876728906864</v>
      </c>
    </row>
    <row r="125" spans="2:35">
      <c r="B125" s="723" t="s">
        <v>551</v>
      </c>
      <c r="C125" s="801">
        <f t="shared" ref="C125:H125" si="129">C124/C41</f>
        <v>0.16318785578747627</v>
      </c>
      <c r="D125" s="801">
        <f t="shared" si="129"/>
        <v>0.14500828188525824</v>
      </c>
      <c r="E125" s="801">
        <f t="shared" si="129"/>
        <v>-3.4389987132998012E-2</v>
      </c>
      <c r="F125" s="801">
        <f t="shared" si="129"/>
        <v>-1.2092979484283832E-2</v>
      </c>
      <c r="G125" s="801">
        <f t="shared" si="129"/>
        <v>0.30862147063264384</v>
      </c>
      <c r="H125" s="801">
        <f t="shared" si="129"/>
        <v>1.3236795100791019E-2</v>
      </c>
      <c r="Z125" s="795"/>
      <c r="AA125" s="795"/>
      <c r="AB125" s="724"/>
      <c r="AC125" s="795"/>
      <c r="AD125" s="795"/>
      <c r="AE125" s="795"/>
      <c r="AF125" s="795"/>
      <c r="AG125" s="724"/>
      <c r="AH125" s="734"/>
    </row>
    <row r="126" spans="2:35">
      <c r="B126" s="723"/>
      <c r="C126" s="801"/>
      <c r="D126" s="801"/>
      <c r="E126" s="801"/>
      <c r="F126" s="801"/>
      <c r="G126" s="801"/>
      <c r="H126" s="802">
        <f>AVERAGE(H125,C125:F125)</f>
        <v>5.4989993231248736E-2</v>
      </c>
    </row>
    <row r="127" spans="2:35">
      <c r="B127" s="723"/>
      <c r="C127" s="729"/>
      <c r="D127" s="729"/>
      <c r="E127" s="729"/>
      <c r="F127" s="729"/>
      <c r="G127" s="729"/>
    </row>
    <row r="128" spans="2:35" ht="15">
      <c r="B128" s="718"/>
      <c r="C128" s="1198" t="s">
        <v>552</v>
      </c>
      <c r="D128" s="1198"/>
      <c r="E128" s="1198"/>
      <c r="F128" s="1198"/>
      <c r="G128" s="1198"/>
      <c r="H128" s="1198"/>
      <c r="I128" s="1198"/>
      <c r="J128" s="1196" t="s">
        <v>498</v>
      </c>
      <c r="K128" s="1196"/>
      <c r="L128" s="1196"/>
      <c r="M128" s="1196"/>
      <c r="N128" s="1196"/>
      <c r="O128"/>
      <c r="P128"/>
      <c r="Q128"/>
      <c r="R128"/>
      <c r="S128"/>
      <c r="T128"/>
      <c r="U128"/>
      <c r="V128"/>
      <c r="W128"/>
      <c r="X128"/>
      <c r="Y128"/>
      <c r="Z128"/>
      <c r="AA128"/>
      <c r="AB128"/>
      <c r="AC128"/>
      <c r="AD128"/>
      <c r="AE128"/>
      <c r="AF128"/>
      <c r="AG128"/>
      <c r="AH128"/>
      <c r="AI128"/>
    </row>
    <row r="129" spans="2:35" ht="15">
      <c r="B129" s="719"/>
      <c r="C129" s="719" t="s">
        <v>142</v>
      </c>
      <c r="D129" s="719" t="s">
        <v>553</v>
      </c>
      <c r="E129" s="719" t="s">
        <v>521</v>
      </c>
      <c r="F129" s="6" t="s">
        <v>554</v>
      </c>
      <c r="G129" s="6" t="s">
        <v>555</v>
      </c>
      <c r="H129" s="719" t="s">
        <v>556</v>
      </c>
      <c r="I129" s="720" t="s">
        <v>557</v>
      </c>
      <c r="J129"/>
      <c r="K129"/>
      <c r="L129"/>
      <c r="M129"/>
      <c r="N129"/>
      <c r="O129"/>
      <c r="P129"/>
      <c r="Q129"/>
      <c r="R129"/>
      <c r="S129"/>
      <c r="T129"/>
      <c r="U129"/>
      <c r="V129"/>
      <c r="W129"/>
      <c r="X129"/>
      <c r="Y129"/>
      <c r="Z129"/>
      <c r="AA129"/>
      <c r="AB129"/>
      <c r="AC129"/>
      <c r="AD129"/>
      <c r="AE129"/>
      <c r="AF129"/>
      <c r="AG129"/>
      <c r="AH129"/>
      <c r="AI129"/>
    </row>
    <row r="130" spans="2:35" ht="17" thickBot="1">
      <c r="B130" s="725" t="s">
        <v>558</v>
      </c>
      <c r="C130" s="884">
        <f>+'Industry Averages'!C92</f>
        <v>24238.726000000002</v>
      </c>
      <c r="D130" s="884">
        <f>+'Industry Averages'!D92</f>
        <v>71266.943000000058</v>
      </c>
      <c r="E130" s="887">
        <f>+'Industry Averages'!E92</f>
        <v>0.34011176822892464</v>
      </c>
      <c r="F130" s="884">
        <f>+'Industry Averages'!F92</f>
        <v>81788.361999999979</v>
      </c>
      <c r="G130" s="884">
        <f>+F130-C130</f>
        <v>57549.635999999977</v>
      </c>
      <c r="H130" s="887">
        <f>+G130/D130</f>
        <v>0.80752216353660533</v>
      </c>
      <c r="I130" s="887">
        <f>+'Industry Averages'!G92</f>
        <v>1.14763393176553</v>
      </c>
      <c r="J130" s="6">
        <v>2023</v>
      </c>
      <c r="K130" s="6">
        <f>J130+1</f>
        <v>2024</v>
      </c>
      <c r="L130" s="6">
        <f t="shared" ref="L130:N130" si="130">K130+1</f>
        <v>2025</v>
      </c>
      <c r="M130" s="6">
        <f t="shared" si="130"/>
        <v>2026</v>
      </c>
      <c r="N130" s="720">
        <f t="shared" si="130"/>
        <v>2027</v>
      </c>
      <c r="O130" s="6">
        <f>N130+1</f>
        <v>2028</v>
      </c>
      <c r="P130" s="6">
        <f t="shared" ref="P130:AI130" si="131">O130+1</f>
        <v>2029</v>
      </c>
      <c r="Q130" s="6">
        <f t="shared" si="131"/>
        <v>2030</v>
      </c>
      <c r="R130" s="6">
        <f t="shared" si="131"/>
        <v>2031</v>
      </c>
      <c r="S130" s="720">
        <f t="shared" si="131"/>
        <v>2032</v>
      </c>
      <c r="T130" s="6">
        <f t="shared" si="131"/>
        <v>2033</v>
      </c>
      <c r="U130" s="6">
        <f t="shared" si="131"/>
        <v>2034</v>
      </c>
      <c r="V130" s="6">
        <f t="shared" si="131"/>
        <v>2035</v>
      </c>
      <c r="W130" s="6">
        <f t="shared" si="131"/>
        <v>2036</v>
      </c>
      <c r="X130" s="720">
        <f t="shared" si="131"/>
        <v>2037</v>
      </c>
      <c r="Y130" s="6">
        <f t="shared" si="131"/>
        <v>2038</v>
      </c>
      <c r="Z130" s="6">
        <f t="shared" si="131"/>
        <v>2039</v>
      </c>
      <c r="AA130" s="6">
        <f t="shared" si="131"/>
        <v>2040</v>
      </c>
      <c r="AB130" s="6">
        <f t="shared" si="131"/>
        <v>2041</v>
      </c>
      <c r="AC130" s="720">
        <f t="shared" si="131"/>
        <v>2042</v>
      </c>
      <c r="AD130" s="6">
        <f t="shared" si="131"/>
        <v>2043</v>
      </c>
      <c r="AE130" s="6">
        <f t="shared" si="131"/>
        <v>2044</v>
      </c>
      <c r="AF130" s="6">
        <f t="shared" si="131"/>
        <v>2045</v>
      </c>
      <c r="AG130" s="6">
        <f t="shared" si="131"/>
        <v>2046</v>
      </c>
      <c r="AH130" s="720">
        <f t="shared" si="131"/>
        <v>2047</v>
      </c>
      <c r="AI130" s="6">
        <f t="shared" si="131"/>
        <v>2048</v>
      </c>
    </row>
    <row r="131" spans="2:35" ht="14" thickTop="1">
      <c r="B131" s="635" t="s">
        <v>559</v>
      </c>
      <c r="C131" s="722"/>
      <c r="D131" s="722"/>
      <c r="E131" s="722"/>
      <c r="F131" s="722"/>
      <c r="G131" s="722"/>
      <c r="H131" s="722"/>
      <c r="I131"/>
      <c r="J131" s="836">
        <f>+DCF!G17</f>
        <v>966.77148943972429</v>
      </c>
      <c r="K131" s="836">
        <f>+DCF!H17</f>
        <v>973.05274183911672</v>
      </c>
      <c r="L131" s="836">
        <f>+DCF!I17</f>
        <v>1412.8538163657904</v>
      </c>
      <c r="M131" s="836">
        <f>+DCF!J17</f>
        <v>1923.9700904705114</v>
      </c>
      <c r="N131" s="836">
        <f>+DCF!K17</f>
        <v>2398.2788587033356</v>
      </c>
      <c r="O131" s="836">
        <f>+DCF!L17</f>
        <v>2857.7446268856893</v>
      </c>
      <c r="P131" s="836">
        <f>+DCF!M17</f>
        <v>3542.7746231237784</v>
      </c>
      <c r="Q131" s="836">
        <f>+DCF!N17</f>
        <v>4537.7384355553286</v>
      </c>
      <c r="R131" s="836">
        <f>+DCF!O17</f>
        <v>5767.736397852248</v>
      </c>
      <c r="S131" s="836">
        <f>+DCF!P17</f>
        <v>7217.3507796977865</v>
      </c>
      <c r="T131" s="836">
        <f>+DCF!Q17</f>
        <v>8923.0706993176136</v>
      </c>
      <c r="U131" s="836">
        <f>+DCF!R17</f>
        <v>10926.526675436393</v>
      </c>
      <c r="V131" s="836">
        <f>+DCF!S17</f>
        <v>13270.830823185086</v>
      </c>
      <c r="W131" s="836">
        <f>+DCF!T17</f>
        <v>16041.115746352043</v>
      </c>
      <c r="X131" s="836">
        <f>+DCF!U17</f>
        <v>19233.831073712383</v>
      </c>
      <c r="Y131" s="836">
        <f>+DCF!V17</f>
        <v>22610.722091038289</v>
      </c>
      <c r="Z131" s="836">
        <f>+DCF!W17</f>
        <v>26423.546245755384</v>
      </c>
      <c r="AA131" s="836">
        <f>+DCF!X17</f>
        <v>30738.131330391596</v>
      </c>
      <c r="AB131" s="836">
        <f>+DCF!Y17</f>
        <v>35610.179301188546</v>
      </c>
      <c r="AC131" s="836">
        <f>+DCF!Z17</f>
        <v>41105.138332464601</v>
      </c>
      <c r="AD131" s="836">
        <f>+DCF!AA17</f>
        <v>46622.598051058565</v>
      </c>
      <c r="AE131" s="836">
        <f>+DCF!AB17</f>
        <v>52673.069991216471</v>
      </c>
      <c r="AF131" s="836">
        <f>+DCF!AC17</f>
        <v>59327.749600608382</v>
      </c>
      <c r="AG131" s="836">
        <f>+DCF!AD17</f>
        <v>66634.805377717508</v>
      </c>
      <c r="AH131" s="836">
        <f>+DCF!AE17</f>
        <v>74651.014723423286</v>
      </c>
      <c r="AI131" s="836">
        <f>+DCF!AF17</f>
        <v>82349.757885884523</v>
      </c>
    </row>
    <row r="132" spans="2:35">
      <c r="B132" s="723" t="s">
        <v>560</v>
      </c>
      <c r="C132" s="723"/>
      <c r="D132" s="723"/>
      <c r="E132" s="723"/>
      <c r="F132" s="723"/>
      <c r="G132" s="723"/>
      <c r="H132" s="723"/>
      <c r="I132" s="723"/>
      <c r="J132" s="723"/>
      <c r="K132" s="837">
        <f>+K131*0.2</f>
        <v>194.61054836782336</v>
      </c>
      <c r="L132" s="837">
        <f t="shared" ref="L132:P132" si="132">+L131*0.2</f>
        <v>282.57076327315809</v>
      </c>
      <c r="M132" s="837">
        <f t="shared" si="132"/>
        <v>384.79401809410228</v>
      </c>
      <c r="N132" s="837">
        <f t="shared" si="132"/>
        <v>479.65577174066715</v>
      </c>
      <c r="O132" s="837">
        <f t="shared" si="132"/>
        <v>571.54892537713783</v>
      </c>
      <c r="P132" s="837">
        <f t="shared" si="132"/>
        <v>708.5549246247557</v>
      </c>
      <c r="Q132" s="837">
        <f>+Q131*$Q$133</f>
        <v>2198.5946154257099</v>
      </c>
      <c r="R132" s="837">
        <f t="shared" ref="R132:AH132" si="133">+R131*$Q$133</f>
        <v>2794.5449848214844</v>
      </c>
      <c r="S132" s="837">
        <f t="shared" si="133"/>
        <v>3496.902429974497</v>
      </c>
      <c r="T132" s="837">
        <f t="shared" si="133"/>
        <v>4323.3464139018297</v>
      </c>
      <c r="U132" s="837">
        <f t="shared" si="133"/>
        <v>5294.0474765332965</v>
      </c>
      <c r="V132" s="837">
        <f t="shared" si="133"/>
        <v>6429.8940109600135</v>
      </c>
      <c r="W132" s="837">
        <f t="shared" si="133"/>
        <v>7772.1338958211854</v>
      </c>
      <c r="X132" s="837">
        <f t="shared" si="133"/>
        <v>9319.0469290450874</v>
      </c>
      <c r="Y132" s="837">
        <f t="shared" si="133"/>
        <v>10955.195533248094</v>
      </c>
      <c r="Z132" s="837">
        <f t="shared" si="133"/>
        <v>12802.559539609159</v>
      </c>
      <c r="AA132" s="837">
        <f t="shared" si="133"/>
        <v>14893.033388994081</v>
      </c>
      <c r="AB132" s="837">
        <f t="shared" si="133"/>
        <v>17253.60541993333</v>
      </c>
      <c r="AC132" s="837">
        <f t="shared" si="133"/>
        <v>19915.986143221959</v>
      </c>
      <c r="AD132" s="837">
        <f t="shared" si="133"/>
        <v>22589.268748733</v>
      </c>
      <c r="AE132" s="837">
        <f t="shared" si="133"/>
        <v>25520.802863653298</v>
      </c>
      <c r="AF132" s="837">
        <f t="shared" si="133"/>
        <v>28745.083629144752</v>
      </c>
      <c r="AG132" s="837">
        <f t="shared" si="133"/>
        <v>32285.449323273038</v>
      </c>
      <c r="AH132" s="837">
        <f t="shared" si="133"/>
        <v>36169.409351797054</v>
      </c>
      <c r="AI132" s="837">
        <f>+AI131*$Q$133</f>
        <v>39899.552792835057</v>
      </c>
    </row>
    <row r="133" spans="2:35">
      <c r="B133" s="375" t="s">
        <v>561</v>
      </c>
      <c r="C133"/>
      <c r="D133"/>
      <c r="E133"/>
      <c r="F133"/>
      <c r="G133"/>
      <c r="H133"/>
      <c r="I133" s="375"/>
      <c r="J133" s="838"/>
      <c r="K133"/>
      <c r="L133"/>
      <c r="M133"/>
      <c r="N133"/>
      <c r="O133"/>
      <c r="Q133" s="885">
        <f>+H130*0.6</f>
        <v>0.4845132981219632</v>
      </c>
      <c r="R133"/>
      <c r="T133"/>
      <c r="U133"/>
      <c r="V133"/>
      <c r="W133"/>
      <c r="X133"/>
      <c r="Y133"/>
      <c r="Z133"/>
      <c r="AA133"/>
      <c r="AB133"/>
      <c r="AC133"/>
      <c r="AD133"/>
      <c r="AE133"/>
      <c r="AF133"/>
    </row>
    <row r="134" spans="2:35">
      <c r="B134" s="723" t="s">
        <v>562</v>
      </c>
      <c r="C134" s="723"/>
      <c r="D134" s="723"/>
      <c r="E134" s="723"/>
      <c r="F134" s="723"/>
      <c r="G134" s="723"/>
      <c r="H134" s="723"/>
      <c r="I134" s="723"/>
      <c r="J134" s="837"/>
      <c r="K134" s="837"/>
      <c r="L134" s="837">
        <f>+L131*0.25</f>
        <v>353.2134540914476</v>
      </c>
      <c r="M134" s="837">
        <f t="shared" ref="M134:P134" si="134">+M131*0.25</f>
        <v>480.99252261762786</v>
      </c>
      <c r="N134" s="837">
        <f t="shared" si="134"/>
        <v>599.56971467583389</v>
      </c>
      <c r="O134" s="837">
        <f t="shared" si="134"/>
        <v>714.43615672142232</v>
      </c>
      <c r="P134" s="837">
        <f t="shared" si="134"/>
        <v>885.6936557809446</v>
      </c>
      <c r="Q134" s="837">
        <f>+Q131*$Q$135</f>
        <v>1543.3382430770771</v>
      </c>
      <c r="R134" s="837">
        <f t="shared" ref="R134:AI134" si="135">+R131*$Q$135</f>
        <v>1961.6750249518564</v>
      </c>
      <c r="S134" s="837">
        <f t="shared" si="135"/>
        <v>2454.7059356114219</v>
      </c>
      <c r="T134" s="837">
        <f t="shared" si="135"/>
        <v>3034.8413535766208</v>
      </c>
      <c r="U134" s="837">
        <f t="shared" si="135"/>
        <v>3716.2403081831849</v>
      </c>
      <c r="V134" s="837">
        <f t="shared" si="135"/>
        <v>4513.565737140395</v>
      </c>
      <c r="W134" s="837">
        <f t="shared" si="135"/>
        <v>5455.7722408566397</v>
      </c>
      <c r="X134" s="837">
        <f t="shared" si="135"/>
        <v>6541.6522962967547</v>
      </c>
      <c r="Y134" s="837">
        <f t="shared" si="135"/>
        <v>7690.1726713158405</v>
      </c>
      <c r="Z134" s="837">
        <f t="shared" si="135"/>
        <v>8986.9590365226268</v>
      </c>
      <c r="AA134" s="837">
        <f t="shared" si="135"/>
        <v>10454.400198832393</v>
      </c>
      <c r="AB134" s="837">
        <f t="shared" si="135"/>
        <v>12111.441049076288</v>
      </c>
      <c r="AC134" s="837">
        <f t="shared" si="135"/>
        <v>13980.341281549086</v>
      </c>
      <c r="AD134" s="837">
        <f t="shared" si="135"/>
        <v>15856.894262571945</v>
      </c>
      <c r="AE134" s="837">
        <f t="shared" si="135"/>
        <v>17914.730972758542</v>
      </c>
      <c r="AF134" s="837">
        <f t="shared" si="135"/>
        <v>20178.065821705793</v>
      </c>
      <c r="AG134" s="837">
        <f t="shared" si="135"/>
        <v>22663.281482605758</v>
      </c>
      <c r="AH134" s="837">
        <f t="shared" si="135"/>
        <v>25389.688617666983</v>
      </c>
      <c r="AI134" s="837">
        <f t="shared" si="135"/>
        <v>28008.121767792014</v>
      </c>
    </row>
    <row r="135" spans="2:35">
      <c r="B135" s="723"/>
      <c r="C135"/>
      <c r="D135"/>
      <c r="E135"/>
      <c r="F135"/>
      <c r="G135"/>
      <c r="H135"/>
      <c r="I135" s="375"/>
      <c r="J135" s="838"/>
      <c r="K135"/>
      <c r="L135"/>
      <c r="M135"/>
      <c r="N135"/>
      <c r="O135"/>
      <c r="P135"/>
      <c r="Q135" s="904">
        <f>+E130</f>
        <v>0.34011176822892464</v>
      </c>
      <c r="R135"/>
      <c r="S135"/>
      <c r="T135"/>
      <c r="U135"/>
      <c r="V135"/>
      <c r="W135"/>
      <c r="X135"/>
      <c r="Y135"/>
      <c r="Z135"/>
      <c r="AA135"/>
      <c r="AB135"/>
      <c r="AC135"/>
      <c r="AD135"/>
    </row>
    <row r="136" spans="2:35" ht="14" thickBot="1">
      <c r="B136" s="723"/>
      <c r="C136"/>
      <c r="D136"/>
      <c r="E136"/>
      <c r="F136"/>
      <c r="G136"/>
      <c r="H136"/>
      <c r="I136" s="375"/>
      <c r="J136" s="838"/>
      <c r="K136"/>
      <c r="L136"/>
      <c r="M136"/>
      <c r="N136"/>
      <c r="O136"/>
      <c r="P136"/>
      <c r="Q136"/>
      <c r="R136"/>
      <c r="S136"/>
      <c r="T136"/>
      <c r="U136"/>
      <c r="V136" s="886"/>
      <c r="W136"/>
      <c r="X136"/>
      <c r="Y136"/>
      <c r="Z136"/>
      <c r="AA136"/>
      <c r="AB136"/>
      <c r="AC136"/>
      <c r="AD136"/>
      <c r="AE136"/>
      <c r="AF136"/>
      <c r="AG136"/>
      <c r="AH136"/>
      <c r="AI136"/>
    </row>
    <row r="137" spans="2:35">
      <c r="B137" s="849"/>
      <c r="C137" s="850">
        <v>2019</v>
      </c>
      <c r="D137" s="850">
        <v>2020</v>
      </c>
      <c r="E137" s="851">
        <f>D137+1</f>
        <v>2021</v>
      </c>
      <c r="F137" s="851">
        <f t="shared" ref="F137:AF137" si="136">E137+1</f>
        <v>2022</v>
      </c>
      <c r="G137" s="851">
        <f t="shared" si="136"/>
        <v>2023</v>
      </c>
      <c r="H137" s="851">
        <f t="shared" si="136"/>
        <v>2024</v>
      </c>
      <c r="I137" s="851">
        <f t="shared" si="136"/>
        <v>2025</v>
      </c>
      <c r="J137" s="851">
        <f t="shared" si="136"/>
        <v>2026</v>
      </c>
      <c r="K137" s="851">
        <f t="shared" si="136"/>
        <v>2027</v>
      </c>
      <c r="L137" s="851">
        <f t="shared" si="136"/>
        <v>2028</v>
      </c>
      <c r="M137" s="851">
        <f t="shared" si="136"/>
        <v>2029</v>
      </c>
      <c r="N137" s="851">
        <f t="shared" si="136"/>
        <v>2030</v>
      </c>
      <c r="O137" s="851">
        <f t="shared" si="136"/>
        <v>2031</v>
      </c>
      <c r="P137" s="851">
        <f t="shared" si="136"/>
        <v>2032</v>
      </c>
      <c r="Q137" s="851">
        <f t="shared" si="136"/>
        <v>2033</v>
      </c>
      <c r="R137" s="851">
        <f t="shared" si="136"/>
        <v>2034</v>
      </c>
      <c r="S137" s="851">
        <f t="shared" si="136"/>
        <v>2035</v>
      </c>
      <c r="T137" s="851">
        <f t="shared" si="136"/>
        <v>2036</v>
      </c>
      <c r="U137" s="851">
        <f t="shared" si="136"/>
        <v>2037</v>
      </c>
      <c r="V137" s="851">
        <f t="shared" si="136"/>
        <v>2038</v>
      </c>
      <c r="W137" s="851">
        <f t="shared" si="136"/>
        <v>2039</v>
      </c>
      <c r="X137" s="851">
        <f t="shared" si="136"/>
        <v>2040</v>
      </c>
      <c r="Y137" s="851">
        <f t="shared" si="136"/>
        <v>2041</v>
      </c>
      <c r="Z137" s="851">
        <f t="shared" si="136"/>
        <v>2042</v>
      </c>
      <c r="AA137" s="851">
        <f t="shared" si="136"/>
        <v>2043</v>
      </c>
      <c r="AB137" s="851">
        <f t="shared" si="136"/>
        <v>2044</v>
      </c>
      <c r="AC137" s="851">
        <f t="shared" si="136"/>
        <v>2045</v>
      </c>
      <c r="AD137" s="851">
        <f t="shared" si="136"/>
        <v>2046</v>
      </c>
      <c r="AE137" s="851">
        <f t="shared" si="136"/>
        <v>2047</v>
      </c>
      <c r="AF137" s="852">
        <f t="shared" si="136"/>
        <v>2048</v>
      </c>
    </row>
    <row r="138" spans="2:35">
      <c r="B138" s="853" t="s">
        <v>563</v>
      </c>
      <c r="C138" s="854">
        <f>+E41</f>
        <v>17098</v>
      </c>
      <c r="D138" s="854">
        <f t="shared" ref="D138:AF138" si="137">+F41</f>
        <v>21252</v>
      </c>
      <c r="E138" s="854">
        <f t="shared" si="137"/>
        <v>26492</v>
      </c>
      <c r="F138" s="854">
        <f t="shared" si="137"/>
        <v>31352</v>
      </c>
      <c r="G138" s="854">
        <f t="shared" si="137"/>
        <v>39004.565213436603</v>
      </c>
      <c r="H138" s="854">
        <f t="shared" si="137"/>
        <v>46574.781546971339</v>
      </c>
      <c r="I138" s="854">
        <f t="shared" si="137"/>
        <v>54449.896747284351</v>
      </c>
      <c r="J138" s="854">
        <f t="shared" si="137"/>
        <v>62023.08198673615</v>
      </c>
      <c r="K138" s="854">
        <f t="shared" si="137"/>
        <v>69409.125025004978</v>
      </c>
      <c r="L138" s="854">
        <f t="shared" si="137"/>
        <v>77327.692269503284</v>
      </c>
      <c r="M138" s="854">
        <f t="shared" si="137"/>
        <v>86072.324670771064</v>
      </c>
      <c r="N138" s="854">
        <f t="shared" si="137"/>
        <v>95719.774931324355</v>
      </c>
      <c r="O138" s="854">
        <f t="shared" si="137"/>
        <v>106352.84366226336</v>
      </c>
      <c r="P138" s="854">
        <f t="shared" si="137"/>
        <v>118060.73815885038</v>
      </c>
      <c r="Q138" s="854">
        <f t="shared" si="137"/>
        <v>131047.41935632392</v>
      </c>
      <c r="R138" s="854">
        <f t="shared" si="137"/>
        <v>145462.63548551957</v>
      </c>
      <c r="S138" s="854">
        <f t="shared" si="137"/>
        <v>161463.52538892673</v>
      </c>
      <c r="T138" s="854">
        <f t="shared" si="137"/>
        <v>179224.51318170869</v>
      </c>
      <c r="U138" s="854">
        <f t="shared" si="137"/>
        <v>198939.20963169666</v>
      </c>
      <c r="V138" s="854">
        <f t="shared" si="137"/>
        <v>214854.34640223242</v>
      </c>
      <c r="W138" s="854">
        <f t="shared" si="137"/>
        <v>232042.69411441102</v>
      </c>
      <c r="X138" s="854">
        <f t="shared" si="137"/>
        <v>250606.10964356392</v>
      </c>
      <c r="Y138" s="854">
        <f t="shared" si="137"/>
        <v>270654.59841504903</v>
      </c>
      <c r="Z138" s="854">
        <f t="shared" si="137"/>
        <v>292306.96628825297</v>
      </c>
      <c r="AA138" s="854">
        <f t="shared" si="137"/>
        <v>306922.3146026656</v>
      </c>
      <c r="AB138" s="854">
        <f t="shared" si="137"/>
        <v>322268.43033279892</v>
      </c>
      <c r="AC138" s="854">
        <f t="shared" si="137"/>
        <v>338381.85184943886</v>
      </c>
      <c r="AD138" s="854">
        <f t="shared" si="137"/>
        <v>355300.94444191083</v>
      </c>
      <c r="AE138" s="854">
        <f t="shared" si="137"/>
        <v>373065.99166400637</v>
      </c>
      <c r="AF138" s="854">
        <f t="shared" si="137"/>
        <v>380527.31149728649</v>
      </c>
    </row>
    <row r="139" spans="2:35">
      <c r="B139" s="853" t="s">
        <v>281</v>
      </c>
      <c r="C139" s="856">
        <v>4235</v>
      </c>
      <c r="D139" s="854">
        <v>5434</v>
      </c>
      <c r="E139" s="854">
        <v>7026</v>
      </c>
      <c r="F139" s="854">
        <v>8360</v>
      </c>
      <c r="G139" s="857">
        <f>+G155</f>
        <v>10400.553878040637</v>
      </c>
      <c r="H139" s="857">
        <f>+H155</f>
        <v>12419.149455622621</v>
      </c>
      <c r="I139" s="857">
        <f>+I155</f>
        <v>14519.046211000803</v>
      </c>
      <c r="J139" s="857">
        <f t="shared" ref="J139:AF139" si="138">+J155</f>
        <v>16538.433446322859</v>
      </c>
      <c r="K139" s="857">
        <f t="shared" si="138"/>
        <v>18507.919278165402</v>
      </c>
      <c r="L139" s="857">
        <f t="shared" si="138"/>
        <v>19846.125583462388</v>
      </c>
      <c r="M139" s="857">
        <f t="shared" si="138"/>
        <v>22090.432476934995</v>
      </c>
      <c r="N139" s="857">
        <f t="shared" si="138"/>
        <v>24566.447262994476</v>
      </c>
      <c r="O139" s="857">
        <f t="shared" si="138"/>
        <v>27295.420689956907</v>
      </c>
      <c r="P139" s="857">
        <f t="shared" si="138"/>
        <v>30300.247779421614</v>
      </c>
      <c r="Q139" s="857">
        <f t="shared" si="138"/>
        <v>33633.275035157989</v>
      </c>
      <c r="R139" s="857">
        <f t="shared" si="138"/>
        <v>37332.935289025372</v>
      </c>
      <c r="S139" s="857">
        <f t="shared" si="138"/>
        <v>39824.922916928903</v>
      </c>
      <c r="T139" s="857">
        <f t="shared" si="138"/>
        <v>44205.664437791085</v>
      </c>
      <c r="U139" s="857">
        <f t="shared" si="138"/>
        <v>49068.287525948108</v>
      </c>
      <c r="V139" s="857">
        <f t="shared" si="138"/>
        <v>52993.750528023964</v>
      </c>
      <c r="W139" s="857">
        <f t="shared" si="138"/>
        <v>57233.250570265875</v>
      </c>
      <c r="X139" s="857">
        <f t="shared" si="138"/>
        <v>61811.910615887151</v>
      </c>
      <c r="Y139" s="857">
        <f t="shared" si="138"/>
        <v>66756.863465158123</v>
      </c>
      <c r="Z139" s="857">
        <f t="shared" si="138"/>
        <v>72097.412542370774</v>
      </c>
      <c r="AA139" s="857">
        <f t="shared" si="138"/>
        <v>75702.28316948931</v>
      </c>
      <c r="AB139" s="857">
        <f t="shared" si="138"/>
        <v>79487.397327963787</v>
      </c>
      <c r="AC139" s="857">
        <f t="shared" si="138"/>
        <v>83461.767194361979</v>
      </c>
      <c r="AD139" s="857">
        <f t="shared" si="138"/>
        <v>87634.855554080088</v>
      </c>
      <c r="AE139" s="857">
        <f t="shared" si="138"/>
        <v>92016.598331784087</v>
      </c>
      <c r="AF139" s="858">
        <f t="shared" si="138"/>
        <v>93856.930298419771</v>
      </c>
    </row>
    <row r="140" spans="2:35">
      <c r="B140" s="853" t="s">
        <v>564</v>
      </c>
      <c r="C140" s="856">
        <v>6174</v>
      </c>
      <c r="D140" s="856">
        <v>7786</v>
      </c>
      <c r="E140" s="856">
        <v>9739</v>
      </c>
      <c r="F140" s="856">
        <v>10755</v>
      </c>
      <c r="G140" s="856"/>
      <c r="H140" s="856"/>
      <c r="I140" s="856"/>
      <c r="J140" s="859"/>
      <c r="K140" s="859"/>
      <c r="L140" s="859"/>
      <c r="M140" s="859"/>
      <c r="N140" s="860"/>
      <c r="O140" s="859"/>
      <c r="P140" s="859"/>
      <c r="Q140" s="859"/>
      <c r="R140" s="859"/>
      <c r="S140" s="860"/>
      <c r="T140" s="859"/>
      <c r="U140" s="859"/>
      <c r="V140" s="859"/>
      <c r="W140" s="859"/>
      <c r="X140" s="860"/>
      <c r="Y140" s="860"/>
      <c r="Z140" s="856"/>
      <c r="AA140" s="856"/>
      <c r="AB140" s="856"/>
      <c r="AC140" s="856"/>
      <c r="AD140" s="856"/>
      <c r="AE140" s="856"/>
      <c r="AF140" s="861"/>
    </row>
    <row r="141" spans="2:35">
      <c r="B141" s="853" t="s">
        <v>565</v>
      </c>
      <c r="C141" s="856">
        <v>3433</v>
      </c>
      <c r="D141" s="856">
        <v>4355</v>
      </c>
      <c r="E141" s="856">
        <v>5470</v>
      </c>
      <c r="F141" s="856">
        <v>6743</v>
      </c>
      <c r="G141" s="856"/>
      <c r="H141" s="856"/>
      <c r="I141" s="856"/>
      <c r="J141" s="859"/>
      <c r="K141" s="859"/>
      <c r="L141" s="859"/>
      <c r="M141" s="859"/>
      <c r="N141" s="860"/>
      <c r="O141" s="859"/>
      <c r="P141" s="859"/>
      <c r="Q141" s="859"/>
      <c r="R141" s="859"/>
      <c r="S141" s="860"/>
      <c r="T141" s="859"/>
      <c r="U141" s="859"/>
      <c r="V141" s="859"/>
      <c r="W141" s="859"/>
      <c r="X141" s="860"/>
      <c r="Y141" s="860"/>
      <c r="Z141" s="856"/>
      <c r="AA141" s="856"/>
      <c r="AB141" s="856"/>
      <c r="AC141" s="856"/>
      <c r="AD141" s="856"/>
      <c r="AE141" s="856"/>
      <c r="AF141" s="861"/>
    </row>
    <row r="142" spans="2:35">
      <c r="B142" s="853"/>
      <c r="C142" s="856"/>
      <c r="D142" s="856"/>
      <c r="E142" s="856"/>
      <c r="F142" s="856"/>
      <c r="G142" s="856"/>
      <c r="H142" s="856"/>
      <c r="I142" s="856"/>
      <c r="J142" s="859"/>
      <c r="K142" s="859"/>
      <c r="L142" s="859"/>
      <c r="M142" s="859"/>
      <c r="N142" s="860"/>
      <c r="O142" s="859"/>
      <c r="P142" s="859"/>
      <c r="Q142" s="859"/>
      <c r="R142" s="859"/>
      <c r="S142" s="860"/>
      <c r="T142" s="859"/>
      <c r="U142" s="859"/>
      <c r="V142" s="859"/>
      <c r="W142" s="859"/>
      <c r="X142" s="860"/>
      <c r="Y142" s="860"/>
      <c r="Z142" s="856"/>
      <c r="AA142" s="856"/>
      <c r="AB142" s="856"/>
      <c r="AC142" s="856"/>
      <c r="AD142" s="856"/>
      <c r="AE142" s="856"/>
      <c r="AF142" s="861"/>
    </row>
    <row r="143" spans="2:35">
      <c r="B143" s="862" t="s">
        <v>566</v>
      </c>
      <c r="C143" s="856"/>
      <c r="D143" s="863">
        <f>+ROUNDUP((((C140+D140)/2)/D$138)*365,0)</f>
        <v>120</v>
      </c>
      <c r="E143" s="863">
        <f t="shared" ref="E143:F143" si="139">+ROUNDUP((((D140+E140)/2)/E$138)*365,0)</f>
        <v>121</v>
      </c>
      <c r="F143" s="863">
        <f t="shared" si="139"/>
        <v>120</v>
      </c>
      <c r="G143" s="1194">
        <f>+AVERAGE(D143:F143)</f>
        <v>120.33333333333333</v>
      </c>
      <c r="H143" s="1194"/>
      <c r="I143" s="1194"/>
      <c r="J143" s="859"/>
      <c r="K143" s="859"/>
      <c r="L143" s="859"/>
      <c r="M143" s="859"/>
      <c r="N143" s="860"/>
      <c r="O143" s="859"/>
      <c r="P143" s="859"/>
      <c r="Q143" s="859"/>
      <c r="R143" s="859"/>
      <c r="S143" s="860"/>
      <c r="T143" s="859"/>
      <c r="U143" s="859"/>
      <c r="V143" s="859"/>
      <c r="W143" s="859"/>
      <c r="X143" s="860"/>
      <c r="Y143" s="860"/>
      <c r="Z143" s="856"/>
      <c r="AA143" s="856"/>
      <c r="AB143" s="856"/>
      <c r="AC143" s="856"/>
      <c r="AD143" s="856"/>
      <c r="AE143" s="856"/>
      <c r="AF143" s="861"/>
    </row>
    <row r="144" spans="2:35">
      <c r="B144" s="862" t="s">
        <v>567</v>
      </c>
      <c r="C144" s="856"/>
      <c r="D144" s="863">
        <f>+ROUNDUP((((C141+D141)/2)/D$139)*365,0)</f>
        <v>262</v>
      </c>
      <c r="E144" s="863">
        <f t="shared" ref="E144:F144" si="140">+ROUNDUP((((D141+E141)/2)/E$139)*365,0)</f>
        <v>256</v>
      </c>
      <c r="F144" s="863">
        <f t="shared" si="140"/>
        <v>267</v>
      </c>
      <c r="G144" s="1194">
        <f>+AVERAGE(D144:F144)</f>
        <v>261.66666666666669</v>
      </c>
      <c r="H144" s="1194"/>
      <c r="I144" s="1194"/>
      <c r="J144" s="859"/>
      <c r="K144" s="859"/>
      <c r="L144" s="859"/>
      <c r="M144" s="859"/>
      <c r="N144" s="860"/>
      <c r="O144" s="859"/>
      <c r="P144" s="859"/>
      <c r="Q144" s="859"/>
      <c r="R144" s="859"/>
      <c r="S144" s="860"/>
      <c r="T144" s="859"/>
      <c r="U144" s="859"/>
      <c r="V144" s="859"/>
      <c r="W144" s="859"/>
      <c r="X144" s="860"/>
      <c r="Y144" s="860"/>
      <c r="Z144" s="856"/>
      <c r="AA144" s="856"/>
      <c r="AB144" s="856"/>
      <c r="AC144" s="856"/>
      <c r="AD144" s="856"/>
      <c r="AE144" s="856"/>
      <c r="AF144" s="861"/>
    </row>
    <row r="145" spans="2:32">
      <c r="B145" s="853"/>
      <c r="C145" s="856"/>
      <c r="D145" s="856"/>
      <c r="E145" s="856"/>
      <c r="F145" s="856"/>
      <c r="G145" s="856"/>
      <c r="H145" s="856"/>
      <c r="I145" s="856"/>
      <c r="J145" s="859"/>
      <c r="K145" s="859"/>
      <c r="L145" s="859"/>
      <c r="M145" s="859"/>
      <c r="N145" s="860"/>
      <c r="O145" s="859"/>
      <c r="P145" s="859"/>
      <c r="Q145" s="859"/>
      <c r="R145" s="859"/>
      <c r="S145" s="860"/>
      <c r="T145" s="859"/>
      <c r="U145" s="859"/>
      <c r="V145" s="859"/>
      <c r="W145" s="859"/>
      <c r="X145" s="860"/>
      <c r="Y145" s="860"/>
      <c r="Z145" s="856"/>
      <c r="AA145" s="856"/>
      <c r="AB145" s="856"/>
      <c r="AC145" s="856"/>
      <c r="AD145" s="856"/>
      <c r="AE145" s="856"/>
      <c r="AF145" s="861"/>
    </row>
    <row r="146" spans="2:32">
      <c r="B146" s="864" t="s">
        <v>568</v>
      </c>
      <c r="C146" s="854"/>
      <c r="D146" s="857">
        <f>+D140</f>
        <v>7786</v>
      </c>
      <c r="E146" s="857">
        <f>+E140</f>
        <v>9739</v>
      </c>
      <c r="F146" s="857">
        <f>+F140</f>
        <v>10755</v>
      </c>
      <c r="G146" s="857">
        <f>+($G143*G138)/365</f>
        <v>12859.039307808778</v>
      </c>
      <c r="H146" s="857">
        <f t="shared" ref="H146:AF146" si="141">+($G143*H138)/365</f>
        <v>15354.790994024341</v>
      </c>
      <c r="I146" s="857">
        <f t="shared" si="141"/>
        <v>17951.061850017944</v>
      </c>
      <c r="J146" s="857">
        <f t="shared" si="141"/>
        <v>20447.792326220777</v>
      </c>
      <c r="K146" s="857">
        <f t="shared" si="141"/>
        <v>22882.825693175157</v>
      </c>
      <c r="L146" s="857">
        <f t="shared" si="141"/>
        <v>25493.421834968663</v>
      </c>
      <c r="M146" s="857">
        <f t="shared" si="141"/>
        <v>28376.355439404888</v>
      </c>
      <c r="N146" s="857">
        <f t="shared" si="141"/>
        <v>31556.930365486842</v>
      </c>
      <c r="O146" s="857">
        <f t="shared" si="141"/>
        <v>35062.444348928831</v>
      </c>
      <c r="P146" s="857">
        <f t="shared" si="141"/>
        <v>38922.307283420072</v>
      </c>
      <c r="Q146" s="857">
        <f t="shared" si="141"/>
        <v>43203.761084596284</v>
      </c>
      <c r="R146" s="857">
        <f t="shared" si="141"/>
        <v>47956.174803901886</v>
      </c>
      <c r="S146" s="857">
        <f t="shared" si="141"/>
        <v>53231.354032331095</v>
      </c>
      <c r="T146" s="857">
        <f t="shared" si="141"/>
        <v>59086.80297588752</v>
      </c>
      <c r="U146" s="857">
        <f t="shared" si="141"/>
        <v>65586.351303235162</v>
      </c>
      <c r="V146" s="857">
        <f t="shared" si="141"/>
        <v>70833.25940749397</v>
      </c>
      <c r="W146" s="857">
        <f t="shared" si="141"/>
        <v>76499.92016009349</v>
      </c>
      <c r="X146" s="857">
        <f t="shared" si="141"/>
        <v>82619.913772900967</v>
      </c>
      <c r="Y146" s="857">
        <f t="shared" si="141"/>
        <v>89229.506874733052</v>
      </c>
      <c r="Z146" s="857">
        <f t="shared" si="141"/>
        <v>96367.867424711701</v>
      </c>
      <c r="AA146" s="857">
        <f t="shared" si="141"/>
        <v>101186.26079594728</v>
      </c>
      <c r="AB146" s="857">
        <f t="shared" si="141"/>
        <v>106245.57383574465</v>
      </c>
      <c r="AC146" s="857">
        <f t="shared" si="141"/>
        <v>111557.8525275319</v>
      </c>
      <c r="AD146" s="857">
        <f t="shared" si="141"/>
        <v>117135.74515390849</v>
      </c>
      <c r="AE146" s="857">
        <f t="shared" si="141"/>
        <v>122992.53241160391</v>
      </c>
      <c r="AF146" s="858">
        <f t="shared" si="141"/>
        <v>125452.38305983601</v>
      </c>
    </row>
    <row r="147" spans="2:32">
      <c r="B147" s="853" t="s">
        <v>569</v>
      </c>
      <c r="C147" s="854"/>
      <c r="D147" s="856">
        <f t="shared" ref="D147:E147" si="142">+D141</f>
        <v>4355</v>
      </c>
      <c r="E147" s="856">
        <f t="shared" si="142"/>
        <v>5470</v>
      </c>
      <c r="F147" s="856">
        <f>+F141</f>
        <v>6743</v>
      </c>
      <c r="G147" s="857">
        <f>+($G144*G139)/365</f>
        <v>7456.1048349423754</v>
      </c>
      <c r="H147" s="857">
        <f t="shared" ref="H147:AF147" si="143">+($G144*H139)/365</f>
        <v>8903.2258654463531</v>
      </c>
      <c r="I147" s="857">
        <f t="shared" si="143"/>
        <v>10408.631301950349</v>
      </c>
      <c r="J147" s="857">
        <f t="shared" si="143"/>
        <v>11856.319867911823</v>
      </c>
      <c r="K147" s="857">
        <f t="shared" si="143"/>
        <v>13268.234368365152</v>
      </c>
      <c r="L147" s="857">
        <f t="shared" si="143"/>
        <v>14227.587747048379</v>
      </c>
      <c r="M147" s="857">
        <f t="shared" si="143"/>
        <v>15836.520086204542</v>
      </c>
      <c r="N147" s="857">
        <f t="shared" si="143"/>
        <v>17611.562649726635</v>
      </c>
      <c r="O147" s="857">
        <f t="shared" si="143"/>
        <v>19567.94999234354</v>
      </c>
      <c r="P147" s="857">
        <f t="shared" si="143"/>
        <v>21722.09544004198</v>
      </c>
      <c r="Q147" s="857">
        <f t="shared" si="143"/>
        <v>24111.525938446593</v>
      </c>
      <c r="R147" s="857">
        <f t="shared" si="143"/>
        <v>26763.793791675726</v>
      </c>
      <c r="S147" s="857">
        <f t="shared" si="143"/>
        <v>28550.287205286932</v>
      </c>
      <c r="T147" s="857">
        <f t="shared" si="143"/>
        <v>31690.818797868495</v>
      </c>
      <c r="U147" s="857">
        <f t="shared" si="143"/>
        <v>35176.808865634033</v>
      </c>
      <c r="V147" s="857">
        <f t="shared" si="143"/>
        <v>37990.953574884763</v>
      </c>
      <c r="W147" s="857">
        <f t="shared" si="143"/>
        <v>41030.229860875537</v>
      </c>
      <c r="X147" s="857">
        <f t="shared" si="143"/>
        <v>44312.648249745587</v>
      </c>
      <c r="Y147" s="857">
        <f t="shared" si="143"/>
        <v>47857.660109725235</v>
      </c>
      <c r="Z147" s="857">
        <f t="shared" si="143"/>
        <v>51686.272918503251</v>
      </c>
      <c r="AA147" s="857">
        <f t="shared" si="143"/>
        <v>54270.586564428413</v>
      </c>
      <c r="AB147" s="857">
        <f t="shared" si="143"/>
        <v>56984.115892649839</v>
      </c>
      <c r="AC147" s="857">
        <f t="shared" si="143"/>
        <v>59833.32168728234</v>
      </c>
      <c r="AD147" s="857">
        <f t="shared" si="143"/>
        <v>62824.987771646462</v>
      </c>
      <c r="AE147" s="857">
        <f t="shared" si="143"/>
        <v>65966.237160228789</v>
      </c>
      <c r="AF147" s="858">
        <f t="shared" si="143"/>
        <v>67285.561903433365</v>
      </c>
    </row>
    <row r="148" spans="2:32">
      <c r="B148" s="853"/>
      <c r="C148" s="856"/>
      <c r="D148" s="856"/>
      <c r="E148" s="856"/>
      <c r="F148" s="856"/>
      <c r="G148" s="856"/>
      <c r="H148" s="856"/>
      <c r="I148" s="856"/>
      <c r="J148" s="856"/>
      <c r="K148" s="856"/>
      <c r="L148" s="856"/>
      <c r="M148" s="856"/>
      <c r="N148" s="856"/>
      <c r="O148" s="856"/>
      <c r="P148" s="856"/>
      <c r="Q148" s="856"/>
      <c r="R148" s="856"/>
      <c r="S148" s="856"/>
      <c r="T148" s="856"/>
      <c r="U148" s="856"/>
      <c r="V148" s="856"/>
      <c r="W148" s="856"/>
      <c r="X148" s="856"/>
      <c r="Y148" s="856"/>
      <c r="Z148" s="856"/>
      <c r="AA148" s="856"/>
      <c r="AB148" s="856"/>
      <c r="AC148" s="856"/>
      <c r="AD148" s="856"/>
      <c r="AE148" s="856"/>
      <c r="AF148" s="861"/>
    </row>
    <row r="149" spans="2:32">
      <c r="B149" s="864" t="s">
        <v>570</v>
      </c>
      <c r="C149" s="854"/>
      <c r="D149" s="854">
        <f>D146-D147</f>
        <v>3431</v>
      </c>
      <c r="E149" s="854">
        <f t="shared" ref="E149:H149" si="144">E146-E147</f>
        <v>4269</v>
      </c>
      <c r="F149" s="854">
        <f t="shared" si="144"/>
        <v>4012</v>
      </c>
      <c r="G149" s="854">
        <f t="shared" si="144"/>
        <v>5402.9344728664028</v>
      </c>
      <c r="H149" s="854">
        <f t="shared" si="144"/>
        <v>6451.5651285779877</v>
      </c>
      <c r="I149" s="854">
        <f>I146-I147</f>
        <v>7542.4305480675957</v>
      </c>
      <c r="J149" s="854">
        <f t="shared" ref="J149:AF149" si="145">J146-J147</f>
        <v>8591.4724583089537</v>
      </c>
      <c r="K149" s="854">
        <f t="shared" si="145"/>
        <v>9614.5913248100042</v>
      </c>
      <c r="L149" s="854">
        <f t="shared" si="145"/>
        <v>11265.834087920284</v>
      </c>
      <c r="M149" s="854">
        <f t="shared" si="145"/>
        <v>12539.835353200346</v>
      </c>
      <c r="N149" s="854">
        <f t="shared" si="145"/>
        <v>13945.367715760207</v>
      </c>
      <c r="O149" s="854">
        <f t="shared" si="145"/>
        <v>15494.494356585292</v>
      </c>
      <c r="P149" s="854">
        <f t="shared" si="145"/>
        <v>17200.211843378092</v>
      </c>
      <c r="Q149" s="854">
        <f t="shared" si="145"/>
        <v>19092.235146149691</v>
      </c>
      <c r="R149" s="854">
        <f t="shared" si="145"/>
        <v>21192.38101222616</v>
      </c>
      <c r="S149" s="854">
        <f t="shared" si="145"/>
        <v>24681.066827044164</v>
      </c>
      <c r="T149" s="854">
        <f t="shared" si="145"/>
        <v>27395.984178019025</v>
      </c>
      <c r="U149" s="854">
        <f t="shared" si="145"/>
        <v>30409.542437601129</v>
      </c>
      <c r="V149" s="854">
        <f t="shared" si="145"/>
        <v>32842.305832609207</v>
      </c>
      <c r="W149" s="854">
        <f t="shared" si="145"/>
        <v>35469.690299217953</v>
      </c>
      <c r="X149" s="854">
        <f t="shared" si="145"/>
        <v>38307.26552315538</v>
      </c>
      <c r="Y149" s="854">
        <f t="shared" si="145"/>
        <v>41371.846765007816</v>
      </c>
      <c r="Z149" s="854">
        <f t="shared" si="145"/>
        <v>44681.59450620845</v>
      </c>
      <c r="AA149" s="854">
        <f t="shared" si="145"/>
        <v>46915.674231518868</v>
      </c>
      <c r="AB149" s="854">
        <f t="shared" si="145"/>
        <v>49261.457943094814</v>
      </c>
      <c r="AC149" s="854">
        <f t="shared" si="145"/>
        <v>51724.530840249558</v>
      </c>
      <c r="AD149" s="854">
        <f t="shared" si="145"/>
        <v>54310.757382262025</v>
      </c>
      <c r="AE149" s="854">
        <f t="shared" si="145"/>
        <v>57026.295251375122</v>
      </c>
      <c r="AF149" s="855">
        <f t="shared" si="145"/>
        <v>58166.821156402642</v>
      </c>
    </row>
    <row r="150" spans="2:32">
      <c r="B150" s="853"/>
      <c r="C150" s="856"/>
      <c r="D150" s="856"/>
      <c r="E150" s="856"/>
      <c r="F150" s="856"/>
      <c r="G150" s="856"/>
      <c r="H150" s="856"/>
      <c r="I150" s="856"/>
      <c r="J150" s="856"/>
      <c r="K150" s="856"/>
      <c r="L150" s="856"/>
      <c r="M150" s="856"/>
      <c r="N150" s="856"/>
      <c r="O150" s="856"/>
      <c r="P150" s="856"/>
      <c r="Q150" s="856"/>
      <c r="R150" s="856"/>
      <c r="S150" s="856"/>
      <c r="T150" s="856"/>
      <c r="U150" s="856"/>
      <c r="V150" s="856"/>
      <c r="W150" s="856"/>
      <c r="X150" s="856"/>
      <c r="Y150" s="856"/>
      <c r="Z150" s="856"/>
      <c r="AA150" s="856"/>
      <c r="AB150" s="856"/>
      <c r="AC150" s="856"/>
      <c r="AD150" s="856"/>
      <c r="AE150" s="856"/>
      <c r="AF150" s="861"/>
    </row>
    <row r="151" spans="2:32" ht="14" thickBot="1">
      <c r="B151" s="865" t="s">
        <v>571</v>
      </c>
      <c r="C151" s="866"/>
      <c r="D151" s="867">
        <f>D149-C149</f>
        <v>3431</v>
      </c>
      <c r="E151" s="867">
        <f>E149-D149</f>
        <v>838</v>
      </c>
      <c r="F151" s="867">
        <f t="shared" ref="F151" si="146">F149-E149</f>
        <v>-257</v>
      </c>
      <c r="G151" s="867">
        <f>G149-F149</f>
        <v>1390.9344728664028</v>
      </c>
      <c r="H151" s="867">
        <f t="shared" ref="H151:AF151" si="147">H149-G149</f>
        <v>1048.630655711585</v>
      </c>
      <c r="I151" s="867">
        <f t="shared" si="147"/>
        <v>1090.865419489608</v>
      </c>
      <c r="J151" s="867">
        <f t="shared" si="147"/>
        <v>1049.041910241358</v>
      </c>
      <c r="K151" s="867">
        <f t="shared" si="147"/>
        <v>1023.1188665010504</v>
      </c>
      <c r="L151" s="867">
        <f t="shared" si="147"/>
        <v>1651.2427631102801</v>
      </c>
      <c r="M151" s="867">
        <f t="shared" si="147"/>
        <v>1274.0012652800615</v>
      </c>
      <c r="N151" s="867">
        <f t="shared" si="147"/>
        <v>1405.5323625598612</v>
      </c>
      <c r="O151" s="867">
        <f t="shared" si="147"/>
        <v>1549.1266408250849</v>
      </c>
      <c r="P151" s="867">
        <f t="shared" si="147"/>
        <v>1705.7174867928006</v>
      </c>
      <c r="Q151" s="867">
        <f t="shared" si="147"/>
        <v>1892.0233027715985</v>
      </c>
      <c r="R151" s="867">
        <f t="shared" si="147"/>
        <v>2100.1458660764692</v>
      </c>
      <c r="S151" s="867">
        <f t="shared" si="147"/>
        <v>3488.6858148180036</v>
      </c>
      <c r="T151" s="867">
        <f t="shared" si="147"/>
        <v>2714.9173509748616</v>
      </c>
      <c r="U151" s="867">
        <f t="shared" si="147"/>
        <v>3013.5582595821033</v>
      </c>
      <c r="V151" s="867">
        <f t="shared" si="147"/>
        <v>2432.7633950080781</v>
      </c>
      <c r="W151" s="867">
        <f t="shared" si="147"/>
        <v>2627.3844666087462</v>
      </c>
      <c r="X151" s="867">
        <f t="shared" si="147"/>
        <v>2837.5752239374269</v>
      </c>
      <c r="Y151" s="867">
        <f t="shared" si="147"/>
        <v>3064.5812418524365</v>
      </c>
      <c r="Z151" s="867">
        <f t="shared" si="147"/>
        <v>3309.7477412006338</v>
      </c>
      <c r="AA151" s="867">
        <f t="shared" si="147"/>
        <v>2234.0797253104174</v>
      </c>
      <c r="AB151" s="867">
        <f t="shared" si="147"/>
        <v>2345.7837115759467</v>
      </c>
      <c r="AC151" s="867">
        <f t="shared" si="147"/>
        <v>2463.0728971547433</v>
      </c>
      <c r="AD151" s="867">
        <f t="shared" si="147"/>
        <v>2586.2265420124677</v>
      </c>
      <c r="AE151" s="867">
        <f t="shared" si="147"/>
        <v>2715.5378691130973</v>
      </c>
      <c r="AF151" s="868">
        <f t="shared" si="147"/>
        <v>1140.5259050275199</v>
      </c>
    </row>
    <row r="152" spans="2:32">
      <c r="B152"/>
      <c r="C152"/>
      <c r="D152"/>
      <c r="E152"/>
      <c r="F152"/>
      <c r="G152"/>
      <c r="H152"/>
      <c r="I152"/>
      <c r="J152"/>
      <c r="K152"/>
      <c r="L152"/>
      <c r="M152"/>
      <c r="N152"/>
      <c r="O152"/>
      <c r="P152"/>
      <c r="Q152"/>
      <c r="R152"/>
      <c r="S152"/>
      <c r="T152"/>
      <c r="U152"/>
      <c r="V152"/>
      <c r="W152"/>
      <c r="X152"/>
      <c r="Y152"/>
      <c r="Z152"/>
      <c r="AA152"/>
      <c r="AB152"/>
      <c r="AC152"/>
      <c r="AD152"/>
      <c r="AE152"/>
      <c r="AF152"/>
    </row>
    <row r="153" spans="2:32" ht="14" thickBot="1">
      <c r="B153"/>
      <c r="C153"/>
      <c r="D153"/>
      <c r="E153"/>
      <c r="F153"/>
      <c r="G153"/>
      <c r="H153"/>
      <c r="I153"/>
      <c r="J153"/>
      <c r="K153"/>
      <c r="L153"/>
      <c r="M153"/>
      <c r="N153"/>
      <c r="O153"/>
      <c r="P153"/>
      <c r="Q153"/>
      <c r="R153"/>
      <c r="S153"/>
      <c r="T153"/>
      <c r="U153"/>
      <c r="V153"/>
      <c r="W153"/>
      <c r="X153"/>
      <c r="Y153"/>
      <c r="Z153"/>
      <c r="AA153"/>
      <c r="AB153"/>
      <c r="AC153"/>
      <c r="AD153"/>
      <c r="AE153"/>
      <c r="AF153"/>
    </row>
    <row r="154" spans="2:32">
      <c r="B154" s="849" t="s">
        <v>563</v>
      </c>
      <c r="C154" s="869">
        <f>+C138</f>
        <v>17098</v>
      </c>
      <c r="D154" s="869">
        <f t="shared" ref="D154:AF154" si="148">+D138</f>
        <v>21252</v>
      </c>
      <c r="E154" s="869">
        <f t="shared" si="148"/>
        <v>26492</v>
      </c>
      <c r="F154" s="869">
        <f t="shared" si="148"/>
        <v>31352</v>
      </c>
      <c r="G154" s="869">
        <f t="shared" si="148"/>
        <v>39004.565213436603</v>
      </c>
      <c r="H154" s="869">
        <f t="shared" si="148"/>
        <v>46574.781546971339</v>
      </c>
      <c r="I154" s="869">
        <f t="shared" si="148"/>
        <v>54449.896747284351</v>
      </c>
      <c r="J154" s="869">
        <f t="shared" si="148"/>
        <v>62023.08198673615</v>
      </c>
      <c r="K154" s="869">
        <f t="shared" si="148"/>
        <v>69409.125025004978</v>
      </c>
      <c r="L154" s="869">
        <f t="shared" si="148"/>
        <v>77327.692269503284</v>
      </c>
      <c r="M154" s="869">
        <f t="shared" si="148"/>
        <v>86072.324670771064</v>
      </c>
      <c r="N154" s="869">
        <f t="shared" si="148"/>
        <v>95719.774931324355</v>
      </c>
      <c r="O154" s="869">
        <f t="shared" si="148"/>
        <v>106352.84366226336</v>
      </c>
      <c r="P154" s="869">
        <f t="shared" si="148"/>
        <v>118060.73815885038</v>
      </c>
      <c r="Q154" s="869">
        <f t="shared" si="148"/>
        <v>131047.41935632392</v>
      </c>
      <c r="R154" s="869">
        <f t="shared" si="148"/>
        <v>145462.63548551957</v>
      </c>
      <c r="S154" s="869">
        <f t="shared" si="148"/>
        <v>161463.52538892673</v>
      </c>
      <c r="T154" s="869">
        <f t="shared" si="148"/>
        <v>179224.51318170869</v>
      </c>
      <c r="U154" s="869">
        <f t="shared" si="148"/>
        <v>198939.20963169666</v>
      </c>
      <c r="V154" s="869">
        <f t="shared" si="148"/>
        <v>214854.34640223242</v>
      </c>
      <c r="W154" s="869">
        <f t="shared" si="148"/>
        <v>232042.69411441102</v>
      </c>
      <c r="X154" s="869">
        <f t="shared" si="148"/>
        <v>250606.10964356392</v>
      </c>
      <c r="Y154" s="869">
        <f t="shared" si="148"/>
        <v>270654.59841504903</v>
      </c>
      <c r="Z154" s="869">
        <f t="shared" si="148"/>
        <v>292306.96628825297</v>
      </c>
      <c r="AA154" s="869">
        <f t="shared" si="148"/>
        <v>306922.3146026656</v>
      </c>
      <c r="AB154" s="869">
        <f t="shared" si="148"/>
        <v>322268.43033279892</v>
      </c>
      <c r="AC154" s="869">
        <f t="shared" si="148"/>
        <v>338381.85184943886</v>
      </c>
      <c r="AD154" s="869">
        <f t="shared" si="148"/>
        <v>355300.94444191083</v>
      </c>
      <c r="AE154" s="869">
        <f t="shared" si="148"/>
        <v>373065.99166400637</v>
      </c>
      <c r="AF154" s="869">
        <f t="shared" si="148"/>
        <v>380527.31149728649</v>
      </c>
    </row>
    <row r="155" spans="2:32">
      <c r="B155" s="853" t="s">
        <v>281</v>
      </c>
      <c r="C155" s="856">
        <f>+C139</f>
        <v>4235</v>
      </c>
      <c r="D155" s="856">
        <f>+D139</f>
        <v>5434</v>
      </c>
      <c r="E155" s="856">
        <f>+E139</f>
        <v>7026</v>
      </c>
      <c r="F155" s="856">
        <f>+F139</f>
        <v>8360</v>
      </c>
      <c r="G155" s="857">
        <f>+G154*(1-G156)</f>
        <v>10400.553878040637</v>
      </c>
      <c r="H155" s="857">
        <f>+H154*(1-H156)</f>
        <v>12419.149455622621</v>
      </c>
      <c r="I155" s="857">
        <f>+I154*(1-I156)</f>
        <v>14519.046211000803</v>
      </c>
      <c r="J155" s="857">
        <f t="shared" ref="J155:AE155" si="149">+J154*(1-J156)</f>
        <v>16538.433446322859</v>
      </c>
      <c r="K155" s="857">
        <f t="shared" si="149"/>
        <v>18507.919278165402</v>
      </c>
      <c r="L155" s="857">
        <f t="shared" si="149"/>
        <v>19846.125583462388</v>
      </c>
      <c r="M155" s="857">
        <f t="shared" si="149"/>
        <v>22090.432476934995</v>
      </c>
      <c r="N155" s="857">
        <f t="shared" si="149"/>
        <v>24566.447262994476</v>
      </c>
      <c r="O155" s="857">
        <f t="shared" si="149"/>
        <v>27295.420689956907</v>
      </c>
      <c r="P155" s="857">
        <f t="shared" si="149"/>
        <v>30300.247779421614</v>
      </c>
      <c r="Q155" s="857">
        <f t="shared" si="149"/>
        <v>33633.275035157989</v>
      </c>
      <c r="R155" s="857">
        <f t="shared" si="149"/>
        <v>37332.935289025372</v>
      </c>
      <c r="S155" s="857">
        <f t="shared" si="149"/>
        <v>39824.922916928903</v>
      </c>
      <c r="T155" s="857">
        <f t="shared" si="149"/>
        <v>44205.664437791085</v>
      </c>
      <c r="U155" s="857">
        <f t="shared" si="149"/>
        <v>49068.287525948108</v>
      </c>
      <c r="V155" s="857">
        <f t="shared" si="149"/>
        <v>52993.750528023964</v>
      </c>
      <c r="W155" s="857">
        <f t="shared" si="149"/>
        <v>57233.250570265875</v>
      </c>
      <c r="X155" s="857">
        <f t="shared" si="149"/>
        <v>61811.910615887151</v>
      </c>
      <c r="Y155" s="857">
        <f t="shared" si="149"/>
        <v>66756.863465158123</v>
      </c>
      <c r="Z155" s="857">
        <f t="shared" si="149"/>
        <v>72097.412542370774</v>
      </c>
      <c r="AA155" s="857">
        <f t="shared" si="149"/>
        <v>75702.28316948931</v>
      </c>
      <c r="AB155" s="857">
        <f t="shared" si="149"/>
        <v>79487.397327963787</v>
      </c>
      <c r="AC155" s="857">
        <f t="shared" si="149"/>
        <v>83461.767194361979</v>
      </c>
      <c r="AD155" s="857">
        <f t="shared" si="149"/>
        <v>87634.855554080088</v>
      </c>
      <c r="AE155" s="857">
        <f t="shared" si="149"/>
        <v>92016.598331784087</v>
      </c>
      <c r="AF155" s="858">
        <f>+AF154*(1-AF156)</f>
        <v>93856.930298419771</v>
      </c>
    </row>
    <row r="156" spans="2:32" ht="14" thickBot="1">
      <c r="B156" s="865" t="s">
        <v>572</v>
      </c>
      <c r="C156" s="866"/>
      <c r="D156" s="870">
        <f>1-D155/D154</f>
        <v>0.74430641821946164</v>
      </c>
      <c r="E156" s="870">
        <f>1-E155/E154</f>
        <v>0.7347878604861845</v>
      </c>
      <c r="F156" s="870">
        <f>1-F155/F154</f>
        <v>0.73335034447563152</v>
      </c>
      <c r="G156" s="871">
        <f>F156</f>
        <v>0.73335034447563152</v>
      </c>
      <c r="H156" s="871">
        <f t="shared" ref="H156:K156" si="150">G156</f>
        <v>0.73335034447563152</v>
      </c>
      <c r="I156" s="871">
        <f t="shared" si="150"/>
        <v>0.73335034447563152</v>
      </c>
      <c r="J156" s="871">
        <f t="shared" si="150"/>
        <v>0.73335034447563152</v>
      </c>
      <c r="K156" s="871">
        <f t="shared" si="150"/>
        <v>0.73335034447563152</v>
      </c>
      <c r="L156" s="871">
        <f>K156+0.01</f>
        <v>0.74335034447563153</v>
      </c>
      <c r="M156" s="871">
        <f>L156</f>
        <v>0.74335034447563153</v>
      </c>
      <c r="N156" s="871">
        <f t="shared" ref="N156:R156" si="151">M156</f>
        <v>0.74335034447563153</v>
      </c>
      <c r="O156" s="871">
        <f t="shared" si="151"/>
        <v>0.74335034447563153</v>
      </c>
      <c r="P156" s="871">
        <f t="shared" si="151"/>
        <v>0.74335034447563153</v>
      </c>
      <c r="Q156" s="871">
        <f t="shared" si="151"/>
        <v>0.74335034447563153</v>
      </c>
      <c r="R156" s="871">
        <f t="shared" si="151"/>
        <v>0.74335034447563153</v>
      </c>
      <c r="S156" s="871">
        <f t="shared" ref="S156" si="152">R156+0.01</f>
        <v>0.75335034447563154</v>
      </c>
      <c r="T156" s="871">
        <f>S156</f>
        <v>0.75335034447563154</v>
      </c>
      <c r="U156" s="871">
        <f t="shared" ref="U156:AF156" si="153">T156</f>
        <v>0.75335034447563154</v>
      </c>
      <c r="V156" s="871">
        <f t="shared" si="153"/>
        <v>0.75335034447563154</v>
      </c>
      <c r="W156" s="871">
        <f t="shared" si="153"/>
        <v>0.75335034447563154</v>
      </c>
      <c r="X156" s="871">
        <f t="shared" si="153"/>
        <v>0.75335034447563154</v>
      </c>
      <c r="Y156" s="871">
        <f t="shared" si="153"/>
        <v>0.75335034447563154</v>
      </c>
      <c r="Z156" s="871">
        <f t="shared" si="153"/>
        <v>0.75335034447563154</v>
      </c>
      <c r="AA156" s="871">
        <f t="shared" si="153"/>
        <v>0.75335034447563154</v>
      </c>
      <c r="AB156" s="871">
        <f t="shared" si="153"/>
        <v>0.75335034447563154</v>
      </c>
      <c r="AC156" s="871">
        <f t="shared" si="153"/>
        <v>0.75335034447563154</v>
      </c>
      <c r="AD156" s="871">
        <f t="shared" si="153"/>
        <v>0.75335034447563154</v>
      </c>
      <c r="AE156" s="871">
        <f t="shared" si="153"/>
        <v>0.75335034447563154</v>
      </c>
      <c r="AF156" s="871">
        <f t="shared" si="153"/>
        <v>0.75335034447563154</v>
      </c>
    </row>
  </sheetData>
  <mergeCells count="25">
    <mergeCell ref="C15:G15"/>
    <mergeCell ref="C97:H97"/>
    <mergeCell ref="C103:H103"/>
    <mergeCell ref="C116:H116"/>
    <mergeCell ref="C121:H121"/>
    <mergeCell ref="C39:H39"/>
    <mergeCell ref="C47:H47"/>
    <mergeCell ref="C54:H54"/>
    <mergeCell ref="C61:H61"/>
    <mergeCell ref="C90:H90"/>
    <mergeCell ref="G143:I143"/>
    <mergeCell ref="G144:I144"/>
    <mergeCell ref="K27:Q31"/>
    <mergeCell ref="I121:M121"/>
    <mergeCell ref="I103:M103"/>
    <mergeCell ref="I116:M116"/>
    <mergeCell ref="I39:M39"/>
    <mergeCell ref="I47:M47"/>
    <mergeCell ref="I54:M54"/>
    <mergeCell ref="I61:M61"/>
    <mergeCell ref="I97:M97"/>
    <mergeCell ref="I90:M90"/>
    <mergeCell ref="K67:O67"/>
    <mergeCell ref="C128:I128"/>
    <mergeCell ref="J128:N12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IA99"/>
  <sheetViews>
    <sheetView zoomScale="156" workbookViewId="0">
      <selection activeCell="D12" sqref="D12"/>
    </sheetView>
  </sheetViews>
  <sheetFormatPr baseColWidth="10" defaultColWidth="11.5" defaultRowHeight="13"/>
  <cols>
    <col min="1" max="1" width="36.1640625" style="10" customWidth="1"/>
    <col min="2" max="10" width="12.5" style="26" customWidth="1"/>
    <col min="11" max="12" width="12.5" style="32" customWidth="1"/>
    <col min="13" max="13" width="12.1640625" style="32" bestFit="1" customWidth="1"/>
    <col min="14" max="16384" width="11.5" style="25"/>
  </cols>
  <sheetData>
    <row r="1" spans="1:25" ht="16">
      <c r="A1" s="1200" t="str">
        <f>Inputs!H3</f>
        <v>SALESFORCE, INC. (XNYS:CRM)</v>
      </c>
      <c r="B1" s="1200"/>
      <c r="C1" s="1200"/>
      <c r="D1" s="1200"/>
      <c r="E1" s="1200"/>
      <c r="F1" s="1200"/>
      <c r="G1" s="1200"/>
      <c r="H1" s="1200"/>
      <c r="I1" s="1200"/>
      <c r="J1" s="1200"/>
      <c r="K1" s="1200"/>
      <c r="L1" s="1200"/>
      <c r="M1" s="1200"/>
    </row>
    <row r="2" spans="1:25" ht="12">
      <c r="A2" s="1201" t="str">
        <f>Inputs!G2</f>
        <v>Figures in Millions of USD</v>
      </c>
      <c r="B2" s="1201"/>
      <c r="C2" s="1201"/>
      <c r="D2" s="1201"/>
      <c r="E2" s="1201"/>
      <c r="F2" s="1201"/>
      <c r="G2" s="1201"/>
      <c r="H2" s="1201"/>
      <c r="I2" s="1201"/>
      <c r="J2" s="1201"/>
      <c r="K2" s="1201"/>
      <c r="L2" s="1201"/>
      <c r="M2" s="1201"/>
    </row>
    <row r="3" spans="1:25" ht="20">
      <c r="A3" s="1199" t="s">
        <v>573</v>
      </c>
      <c r="B3" s="1199"/>
      <c r="C3" s="1199"/>
      <c r="D3" s="1199"/>
      <c r="E3" s="1199"/>
      <c r="F3" s="1199"/>
      <c r="G3" s="1199"/>
      <c r="H3" s="1199"/>
      <c r="I3" s="1199"/>
      <c r="J3" s="1199"/>
      <c r="K3" s="1199"/>
      <c r="L3" s="1199"/>
      <c r="M3" s="1199"/>
    </row>
    <row r="4" spans="1:25">
      <c r="A4" s="89"/>
      <c r="B4" s="35">
        <f>OP!J20</f>
        <v>2022</v>
      </c>
      <c r="C4" s="27">
        <f>B4-1</f>
        <v>2021</v>
      </c>
      <c r="D4" s="27">
        <f t="shared" ref="D4:M4" si="0">C4-1</f>
        <v>2020</v>
      </c>
      <c r="E4" s="27">
        <f t="shared" si="0"/>
        <v>2019</v>
      </c>
      <c r="F4" s="27">
        <f t="shared" si="0"/>
        <v>2018</v>
      </c>
      <c r="G4" s="27">
        <f t="shared" si="0"/>
        <v>2017</v>
      </c>
      <c r="H4" s="27">
        <f t="shared" si="0"/>
        <v>2016</v>
      </c>
      <c r="I4" s="27">
        <f t="shared" si="0"/>
        <v>2015</v>
      </c>
      <c r="J4" s="27">
        <f>I4-1</f>
        <v>2014</v>
      </c>
      <c r="K4" s="27">
        <f t="shared" si="0"/>
        <v>2013</v>
      </c>
      <c r="L4" s="27">
        <f t="shared" si="0"/>
        <v>2012</v>
      </c>
      <c r="M4" s="27">
        <f t="shared" si="0"/>
        <v>2011</v>
      </c>
    </row>
    <row r="5" spans="1:25">
      <c r="A5" s="90" t="s">
        <v>131</v>
      </c>
      <c r="B5" s="36">
        <f>_xlfn.XLOOKUP($A5,Inputs!$A:$A,Inputs!B:B,,0)</f>
        <v>31352</v>
      </c>
      <c r="C5" s="36">
        <f>_xlfn.XLOOKUP($A5,Inputs!$A:$A,Inputs!C:C,,0)</f>
        <v>26492</v>
      </c>
      <c r="D5" s="36">
        <f>_xlfn.XLOOKUP($A5,Inputs!$A:$A,Inputs!D:D,,0)</f>
        <v>21252</v>
      </c>
      <c r="E5" s="36">
        <f>_xlfn.XLOOKUP($A5,Inputs!$A:$A,Inputs!E:E,,0)</f>
        <v>17098</v>
      </c>
      <c r="F5" s="36">
        <f>_xlfn.XLOOKUP($A5,Inputs!$A:$A,Inputs!F:F,,0)</f>
        <v>13282</v>
      </c>
      <c r="G5" s="36">
        <f>_xlfn.XLOOKUP($A5,Inputs!$A:$A,Inputs!G:G,,0)</f>
        <v>10540</v>
      </c>
      <c r="H5" s="36">
        <f>_xlfn.XLOOKUP($A5,Inputs!$A:$A,Inputs!H:H,,0)</f>
        <v>8437</v>
      </c>
      <c r="I5" s="36">
        <f>_xlfn.XLOOKUP($A5,Inputs!$A:$A,Inputs!I:I,,0)</f>
        <v>6667</v>
      </c>
      <c r="J5" s="36">
        <f>_xlfn.XLOOKUP($A5,Inputs!$A:$A,Inputs!J:J,,0)</f>
        <v>5374</v>
      </c>
      <c r="K5" s="36">
        <f>_xlfn.XLOOKUP($A5,Inputs!$A:$A,Inputs!K:K,,0)</f>
        <v>4071</v>
      </c>
      <c r="L5" s="36">
        <f>_xlfn.XLOOKUP($A5,Inputs!$A:$A,Inputs!L:L,,0)</f>
        <v>3050</v>
      </c>
      <c r="M5" s="37">
        <f>_xlfn.XLOOKUP($A5,Inputs!$A:$A,Inputs!M:M,,0)</f>
        <v>2267</v>
      </c>
    </row>
    <row r="6" spans="1:25">
      <c r="A6" s="91" t="s">
        <v>574</v>
      </c>
      <c r="B6" s="38">
        <f t="shared" ref="B6:L6" si="1">IFERROR(B5/C5-1,"-")</f>
        <v>0.18345160803261362</v>
      </c>
      <c r="C6" s="38">
        <f t="shared" si="1"/>
        <v>0.24656502917372491</v>
      </c>
      <c r="D6" s="38">
        <f t="shared" si="1"/>
        <v>0.24295239209264241</v>
      </c>
      <c r="E6" s="38">
        <f t="shared" si="1"/>
        <v>0.28730612859509108</v>
      </c>
      <c r="F6" s="38">
        <f t="shared" si="1"/>
        <v>0.26015180265654658</v>
      </c>
      <c r="G6" s="38">
        <f t="shared" si="1"/>
        <v>0.24925921536091034</v>
      </c>
      <c r="H6" s="38">
        <f t="shared" si="1"/>
        <v>0.26548672566371678</v>
      </c>
      <c r="I6" s="38">
        <f t="shared" si="1"/>
        <v>0.24060290286564934</v>
      </c>
      <c r="J6" s="38">
        <f t="shared" si="1"/>
        <v>0.32006877916973719</v>
      </c>
      <c r="K6" s="38">
        <f t="shared" si="1"/>
        <v>0.33475409836065584</v>
      </c>
      <c r="L6" s="38">
        <f t="shared" si="1"/>
        <v>0.34539038376709308</v>
      </c>
      <c r="M6" s="39" t="str">
        <f>IFERROR(M5/#REF!-1,"-")</f>
        <v>-</v>
      </c>
      <c r="N6" s="422"/>
    </row>
    <row r="7" spans="1:25">
      <c r="A7" s="90" t="s">
        <v>575</v>
      </c>
      <c r="B7" s="36">
        <f>_xlfn.XLOOKUP($A7,Inputs!$A:$A,Inputs!B:B,,0)</f>
        <v>22992</v>
      </c>
      <c r="C7" s="36">
        <f>_xlfn.XLOOKUP($A7,Inputs!$A:$A,Inputs!C:C,,0)</f>
        <v>19466</v>
      </c>
      <c r="D7" s="36">
        <f>_xlfn.XLOOKUP($A7,Inputs!$A:$A,Inputs!D:D,,0)</f>
        <v>15814</v>
      </c>
      <c r="E7" s="36">
        <f>_xlfn.XLOOKUP($A7,Inputs!$A:$A,Inputs!E:E,,0)</f>
        <v>12863</v>
      </c>
      <c r="F7" s="36">
        <f>_xlfn.XLOOKUP($A7,Inputs!$A:$A,Inputs!F:F,,0)</f>
        <v>9831</v>
      </c>
      <c r="G7" s="36">
        <f>_xlfn.XLOOKUP($A7,Inputs!$A:$A,Inputs!G:G,,0)</f>
        <v>7767</v>
      </c>
      <c r="H7" s="36">
        <f>_xlfn.XLOOKUP($A7,Inputs!$A:$A,Inputs!H:H,,0)</f>
        <v>6203</v>
      </c>
      <c r="I7" s="36">
        <f>_xlfn.XLOOKUP($A7,Inputs!$A:$A,Inputs!I:I,,0)</f>
        <v>5013</v>
      </c>
      <c r="J7" s="36">
        <f>_xlfn.XLOOKUP($A7,Inputs!$A:$A,Inputs!J:J,,0)</f>
        <v>4084</v>
      </c>
      <c r="K7" s="36">
        <f>_xlfn.XLOOKUP($A7,Inputs!$A:$A,Inputs!K:K,,0)</f>
        <v>3103</v>
      </c>
      <c r="L7" s="36">
        <f>_xlfn.XLOOKUP($A7,Inputs!$A:$A,Inputs!L:L,,0)</f>
        <v>2367</v>
      </c>
      <c r="M7" s="37">
        <f>_xlfn.XLOOKUP($A7,Inputs!$A:$A,Inputs!M:M,,0)</f>
        <v>1778</v>
      </c>
    </row>
    <row r="8" spans="1:25">
      <c r="A8" s="91" t="s">
        <v>576</v>
      </c>
      <c r="B8" s="38">
        <f>IFERROR(B7/B$5,"-")</f>
        <v>0.73335034447563152</v>
      </c>
      <c r="C8" s="38">
        <f t="shared" ref="C8:M8" si="2">IFERROR(C7/C$5,"-")</f>
        <v>0.7347878604861845</v>
      </c>
      <c r="D8" s="38">
        <f t="shared" si="2"/>
        <v>0.74411820063993972</v>
      </c>
      <c r="E8" s="38">
        <f t="shared" si="2"/>
        <v>0.75231021172066903</v>
      </c>
      <c r="F8" s="38">
        <f t="shared" si="2"/>
        <v>0.74017467248908297</v>
      </c>
      <c r="G8" s="38">
        <f t="shared" si="2"/>
        <v>0.7369070208728653</v>
      </c>
      <c r="H8" s="38">
        <f t="shared" si="2"/>
        <v>0.73521393860376916</v>
      </c>
      <c r="I8" s="38">
        <f t="shared" si="2"/>
        <v>0.75191240437978102</v>
      </c>
      <c r="J8" s="38">
        <f t="shared" si="2"/>
        <v>0.75995534052847036</v>
      </c>
      <c r="K8" s="38">
        <f t="shared" si="2"/>
        <v>0.76222058462294273</v>
      </c>
      <c r="L8" s="38">
        <f t="shared" si="2"/>
        <v>0.77606557377049179</v>
      </c>
      <c r="M8" s="39">
        <f t="shared" si="2"/>
        <v>0.78429642699602997</v>
      </c>
    </row>
    <row r="9" spans="1:25">
      <c r="A9" s="90" t="s">
        <v>577</v>
      </c>
      <c r="B9" s="36">
        <f t="shared" ref="B9:M9" si="3">B5-B11</f>
        <v>30322</v>
      </c>
      <c r="C9" s="36">
        <f t="shared" si="3"/>
        <v>25944</v>
      </c>
      <c r="D9" s="36">
        <f t="shared" si="3"/>
        <v>20797</v>
      </c>
      <c r="E9" s="36">
        <f t="shared" si="3"/>
        <v>16801</v>
      </c>
      <c r="F9" s="36">
        <f t="shared" si="3"/>
        <v>12747</v>
      </c>
      <c r="G9" s="36">
        <f t="shared" si="3"/>
        <v>10086</v>
      </c>
      <c r="H9" s="36">
        <f t="shared" si="3"/>
        <v>8219</v>
      </c>
      <c r="I9" s="36">
        <f t="shared" si="3"/>
        <v>6556</v>
      </c>
      <c r="J9" s="36">
        <f t="shared" si="3"/>
        <v>5520</v>
      </c>
      <c r="K9" s="36">
        <f t="shared" si="3"/>
        <v>4357</v>
      </c>
      <c r="L9" s="36">
        <f t="shared" si="3"/>
        <v>3161</v>
      </c>
      <c r="M9" s="37">
        <f t="shared" si="3"/>
        <v>2302</v>
      </c>
    </row>
    <row r="10" spans="1:25">
      <c r="A10" s="91" t="s">
        <v>576</v>
      </c>
      <c r="B10" s="38">
        <f>IFERROR(B9/B$5,"-")</f>
        <v>0.96714723143659098</v>
      </c>
      <c r="C10" s="38">
        <f t="shared" ref="C10:M10" si="4">IFERROR(C9/C$5,"-")</f>
        <v>0.97931451004076697</v>
      </c>
      <c r="D10" s="38">
        <f t="shared" si="4"/>
        <v>0.97859025032938074</v>
      </c>
      <c r="E10" s="38">
        <f t="shared" si="4"/>
        <v>0.98262954731547547</v>
      </c>
      <c r="F10" s="38">
        <f t="shared" si="4"/>
        <v>0.95971992169853937</v>
      </c>
      <c r="G10" s="38">
        <f t="shared" si="4"/>
        <v>0.95692599620493357</v>
      </c>
      <c r="H10" s="38">
        <f t="shared" si="4"/>
        <v>0.97416143178855041</v>
      </c>
      <c r="I10" s="38">
        <f t="shared" si="4"/>
        <v>0.98335083245837707</v>
      </c>
      <c r="J10" s="38">
        <f t="shared" si="4"/>
        <v>1.0271678451804986</v>
      </c>
      <c r="K10" s="38">
        <f t="shared" si="4"/>
        <v>1.0702530090886759</v>
      </c>
      <c r="L10" s="38">
        <f t="shared" si="4"/>
        <v>1.0363934426229509</v>
      </c>
      <c r="M10" s="39">
        <f t="shared" si="4"/>
        <v>1.015438906043229</v>
      </c>
    </row>
    <row r="11" spans="1:25">
      <c r="A11" s="90" t="s">
        <v>282</v>
      </c>
      <c r="B11" s="36">
        <f>_xlfn.XLOOKUP($A11,Inputs!$A:$A,Inputs!B:B,,0)</f>
        <v>1030</v>
      </c>
      <c r="C11" s="36">
        <f>_xlfn.XLOOKUP($A11,Inputs!$A:$A,Inputs!C:C,,0)</f>
        <v>548</v>
      </c>
      <c r="D11" s="36">
        <f>_xlfn.XLOOKUP($A11,Inputs!$A:$A,Inputs!D:D,,0)</f>
        <v>455</v>
      </c>
      <c r="E11" s="36">
        <f>_xlfn.XLOOKUP($A11,Inputs!$A:$A,Inputs!E:E,,0)</f>
        <v>297</v>
      </c>
      <c r="F11" s="36">
        <f>_xlfn.XLOOKUP($A11,Inputs!$A:$A,Inputs!F:F,,0)</f>
        <v>535</v>
      </c>
      <c r="G11" s="36">
        <f>_xlfn.XLOOKUP($A11,Inputs!$A:$A,Inputs!G:G,,0)</f>
        <v>454</v>
      </c>
      <c r="H11" s="36">
        <f>_xlfn.XLOOKUP($A11,Inputs!$A:$A,Inputs!H:H,,0)</f>
        <v>218</v>
      </c>
      <c r="I11" s="36">
        <f>_xlfn.XLOOKUP($A11,Inputs!$A:$A,Inputs!I:I,,0)</f>
        <v>111</v>
      </c>
      <c r="J11" s="36">
        <f>_xlfn.XLOOKUP($A11,Inputs!$A:$A,Inputs!J:J,,0)</f>
        <v>-146</v>
      </c>
      <c r="K11" s="36">
        <f>_xlfn.XLOOKUP($A11,Inputs!$A:$A,Inputs!K:K,,0)</f>
        <v>-286</v>
      </c>
      <c r="L11" s="36">
        <f>_xlfn.XLOOKUP($A11,Inputs!$A:$A,Inputs!L:L,,0)</f>
        <v>-111</v>
      </c>
      <c r="M11" s="37">
        <f>_xlfn.XLOOKUP($A11,Inputs!$A:$A,Inputs!M:M,,0)</f>
        <v>-35</v>
      </c>
    </row>
    <row r="12" spans="1:25">
      <c r="A12" s="91" t="s">
        <v>132</v>
      </c>
      <c r="B12" s="38">
        <f t="shared" ref="B12:M12" si="5">IFERROR(B11/B$5,"-")</f>
        <v>3.2852768563409032E-2</v>
      </c>
      <c r="C12" s="38">
        <f t="shared" si="5"/>
        <v>2.0685489959232976E-2</v>
      </c>
      <c r="D12" s="38">
        <f>IFERROR(D11/D$5,"-")</f>
        <v>2.1409749670619236E-2</v>
      </c>
      <c r="E12" s="38">
        <f t="shared" si="5"/>
        <v>1.7370452684524505E-2</v>
      </c>
      <c r="F12" s="38">
        <f t="shared" si="5"/>
        <v>4.0280078301460624E-2</v>
      </c>
      <c r="G12" s="38">
        <f t="shared" si="5"/>
        <v>4.3074003795066415E-2</v>
      </c>
      <c r="H12" s="38">
        <f t="shared" si="5"/>
        <v>2.5838568211449569E-2</v>
      </c>
      <c r="I12" s="38">
        <f t="shared" si="5"/>
        <v>1.664916754162292E-2</v>
      </c>
      <c r="J12" s="38">
        <f t="shared" si="5"/>
        <v>-2.7167845180498699E-2</v>
      </c>
      <c r="K12" s="38">
        <f t="shared" si="5"/>
        <v>-7.0253009088676002E-2</v>
      </c>
      <c r="L12" s="38">
        <f t="shared" si="5"/>
        <v>-3.6393442622950821E-2</v>
      </c>
      <c r="M12" s="39">
        <f t="shared" si="5"/>
        <v>-1.5438906043228937E-2</v>
      </c>
    </row>
    <row r="13" spans="1:25">
      <c r="A13" s="90" t="s">
        <v>578</v>
      </c>
      <c r="B13" s="38">
        <f t="shared" ref="B13" si="6">IFERROR(B12/C12-1,"-")</f>
        <v>0.58820354887195636</v>
      </c>
      <c r="C13" s="38">
        <f t="shared" ref="C13" si="7">IFERROR(C12/D12-1,"-")</f>
        <v>-3.3828499750287455E-2</v>
      </c>
      <c r="D13" s="38">
        <f t="shared" ref="D13" si="8">IFERROR(D12/E12-1,"-")</f>
        <v>0.2325383833947734</v>
      </c>
      <c r="E13" s="38">
        <f t="shared" ref="E13" si="9">IFERROR(E12/F12-1,"-")</f>
        <v>-0.56875821952176731</v>
      </c>
      <c r="F13" s="38">
        <f t="shared" ref="F13" si="10">IFERROR(F12/G12-1,"-")</f>
        <v>-6.4863380402213733E-2</v>
      </c>
      <c r="G13" s="38">
        <f t="shared" ref="G13" si="11">IFERROR(G12/H12-1,"-")</f>
        <v>0.66704298173841892</v>
      </c>
      <c r="H13" s="38">
        <f t="shared" ref="H13" si="12">IFERROR(H12/I12-1,"-")</f>
        <v>0.55194355194355205</v>
      </c>
      <c r="I13" s="38">
        <f t="shared" ref="I13" si="13">IFERROR(I12/J12-1,"-")</f>
        <v>-1.6128262080046682</v>
      </c>
      <c r="J13" s="38">
        <f t="shared" ref="J13" si="14">IFERROR(J12/K12-1,"-")</f>
        <v>-0.61328567227339092</v>
      </c>
      <c r="K13" s="38">
        <f t="shared" ref="K13" si="15">IFERROR(K12/L12-1,"-")</f>
        <v>0.93037547495911532</v>
      </c>
      <c r="L13" s="38">
        <f t="shared" ref="L13" si="16">IFERROR(L12/M12-1,"-")</f>
        <v>1.3572552693208433</v>
      </c>
      <c r="M13" s="39" t="str">
        <f>IFERROR(M12/#REF!-1,"-")</f>
        <v>-</v>
      </c>
    </row>
    <row r="14" spans="1:25">
      <c r="A14" s="92" t="s">
        <v>283</v>
      </c>
      <c r="B14" s="36">
        <f>_xlfn.XLOOKUP($A14,Inputs!$A:$A,Inputs!B:B,,0)</f>
        <v>-131</v>
      </c>
      <c r="C14" s="36">
        <f>_xlfn.XLOOKUP($A14,Inputs!$A:$A,Inputs!C:C,,0)</f>
        <v>-227</v>
      </c>
      <c r="D14" s="36">
        <f>_xlfn.XLOOKUP($A14,Inputs!$A:$A,Inputs!D:D,,0)</f>
        <v>-64</v>
      </c>
      <c r="E14" s="36">
        <f>_xlfn.XLOOKUP($A14,Inputs!$A:$A,Inputs!E:E,,0)</f>
        <v>-18</v>
      </c>
      <c r="F14" s="36">
        <f>_xlfn.XLOOKUP($A14,Inputs!$A:$A,Inputs!F:F,,0)</f>
        <v>-94</v>
      </c>
      <c r="G14" s="36">
        <f>_xlfn.XLOOKUP($A14,Inputs!$A:$A,Inputs!G:G,,0)</f>
        <v>-53</v>
      </c>
      <c r="H14" s="36">
        <f>_xlfn.XLOOKUP($A14,Inputs!$A:$A,Inputs!H:H,,0)</f>
        <v>-88.98</v>
      </c>
      <c r="I14" s="36">
        <f>_xlfn.XLOOKUP($A14,Inputs!$A:$A,Inputs!I:I,,0)</f>
        <v>-72.48</v>
      </c>
      <c r="J14" s="36">
        <f>_xlfn.XLOOKUP($A14,Inputs!$A:$A,Inputs!J:J,,0)</f>
        <v>-73.23</v>
      </c>
      <c r="K14" s="36">
        <f>_xlfn.XLOOKUP($A14,Inputs!$A:$A,Inputs!K:K,,0)</f>
        <v>-77.209999999999994</v>
      </c>
      <c r="L14" s="36">
        <f>_xlfn.XLOOKUP($A14,Inputs!$A:$A,Inputs!L:L,,0)</f>
        <v>-30.94</v>
      </c>
      <c r="M14" s="37">
        <f>_xlfn.XLOOKUP($A14,Inputs!$A:$A,Inputs!M:M,,0)</f>
        <v>-17.045000000000002</v>
      </c>
    </row>
    <row r="15" spans="1:25">
      <c r="A15" s="90" t="s">
        <v>579</v>
      </c>
      <c r="B15" s="36">
        <f>_xlfn.XLOOKUP($A15,Inputs!$A:$A,Inputs!B:B,,0)</f>
        <v>131</v>
      </c>
      <c r="C15" s="36">
        <f>_xlfn.XLOOKUP($A15,Inputs!$A:$A,Inputs!C:C,,0)</f>
        <v>227</v>
      </c>
      <c r="D15" s="36">
        <f>_xlfn.XLOOKUP($A15,Inputs!$A:$A,Inputs!D:D,,0)</f>
        <v>664</v>
      </c>
      <c r="E15" s="36">
        <f>_xlfn.XLOOKUP($A15,Inputs!$A:$A,Inputs!E:E,,0)</f>
        <v>18</v>
      </c>
      <c r="F15" s="36">
        <f>_xlfn.XLOOKUP($A15,Inputs!$A:$A,Inputs!F:F,,0)</f>
        <v>94</v>
      </c>
      <c r="G15" s="36">
        <f>_xlfn.XLOOKUP($A15,Inputs!$A:$A,Inputs!G:G,,0)</f>
        <v>53</v>
      </c>
      <c r="H15" s="36">
        <f>_xlfn.XLOOKUP($A15,Inputs!$A:$A,Inputs!H:H,,0)</f>
        <v>-9</v>
      </c>
      <c r="I15" s="36">
        <f>_xlfn.XLOOKUP($A15,Inputs!$A:$A,Inputs!I:I,,0)</f>
        <v>15.2</v>
      </c>
      <c r="J15" s="36">
        <f>_xlfn.XLOOKUP($A15,Inputs!$A:$A,Inputs!J:J,,0)</f>
        <v>19.8</v>
      </c>
      <c r="K15" s="36">
        <f>_xlfn.XLOOKUP($A15,Inputs!$A:$A,Inputs!K:K,,0)</f>
        <v>4.8</v>
      </c>
      <c r="L15" s="36">
        <f>_xlfn.XLOOKUP($A15,Inputs!$A:$A,Inputs!L:L,,0)</f>
        <v>5.6</v>
      </c>
      <c r="M15" s="37">
        <f>_xlfn.XLOOKUP($A15,Inputs!$A:$A,Inputs!M:M,,0)</f>
        <v>4.45</v>
      </c>
    </row>
    <row r="16" spans="1:25">
      <c r="A16" s="92" t="s">
        <v>70</v>
      </c>
      <c r="B16" s="36">
        <f>B11-B15</f>
        <v>899</v>
      </c>
      <c r="C16" s="36">
        <f t="shared" ref="C16:M16" si="17">C11-C15</f>
        <v>321</v>
      </c>
      <c r="D16" s="36">
        <f t="shared" si="17"/>
        <v>-209</v>
      </c>
      <c r="E16" s="36">
        <f t="shared" si="17"/>
        <v>279</v>
      </c>
      <c r="F16" s="36">
        <f t="shared" si="17"/>
        <v>441</v>
      </c>
      <c r="G16" s="36">
        <f t="shared" si="17"/>
        <v>401</v>
      </c>
      <c r="H16" s="36">
        <f t="shared" si="17"/>
        <v>227</v>
      </c>
      <c r="I16" s="36">
        <f t="shared" si="17"/>
        <v>95.8</v>
      </c>
      <c r="J16" s="36">
        <f t="shared" si="17"/>
        <v>-165.8</v>
      </c>
      <c r="K16" s="36">
        <f t="shared" si="17"/>
        <v>-290.8</v>
      </c>
      <c r="L16" s="36">
        <f t="shared" si="17"/>
        <v>-116.6</v>
      </c>
      <c r="M16" s="37">
        <f t="shared" si="17"/>
        <v>-39.450000000000003</v>
      </c>
      <c r="N16" s="34"/>
      <c r="O16" s="34"/>
      <c r="P16" s="34"/>
      <c r="Q16" s="34"/>
      <c r="R16" s="34"/>
      <c r="S16" s="34"/>
      <c r="T16" s="34"/>
      <c r="U16" s="34"/>
      <c r="V16" s="34"/>
      <c r="W16" s="34"/>
      <c r="X16" s="34"/>
      <c r="Y16" s="34"/>
    </row>
    <row r="17" spans="1:18">
      <c r="A17" s="90" t="s">
        <v>65</v>
      </c>
      <c r="B17" s="36">
        <f>_xlfn.XLOOKUP($A17,Inputs!$A:$A,Inputs!B:B,,0)</f>
        <v>3786</v>
      </c>
      <c r="C17" s="36">
        <f>_xlfn.XLOOKUP($A17,Inputs!$A:$A,Inputs!C:C,,0)</f>
        <v>3298</v>
      </c>
      <c r="D17" s="36">
        <f>_xlfn.XLOOKUP($A17,Inputs!$A:$A,Inputs!D:D,,0)</f>
        <v>2846</v>
      </c>
      <c r="E17" s="36">
        <f>_xlfn.XLOOKUP($A17,Inputs!$A:$A,Inputs!E:E,,0)</f>
        <v>2135</v>
      </c>
      <c r="F17" s="36">
        <f>_xlfn.XLOOKUP($A17,Inputs!$A:$A,Inputs!F:F,,0)</f>
        <v>962</v>
      </c>
      <c r="G17" s="36">
        <f>_xlfn.XLOOKUP($A17,Inputs!$A:$A,Inputs!G:G,,0)</f>
        <v>753</v>
      </c>
      <c r="H17" s="36">
        <f>_xlfn.XLOOKUP($A17,Inputs!$A:$A,Inputs!H:H,,0)</f>
        <v>632</v>
      </c>
      <c r="I17" s="36">
        <f>_xlfn.XLOOKUP($A17,Inputs!$A:$A,Inputs!I:I,,0)</f>
        <v>525.79999999999995</v>
      </c>
      <c r="J17" s="36">
        <f>_xlfn.XLOOKUP($A17,Inputs!$A:$A,Inputs!J:J,,0)</f>
        <v>448.3</v>
      </c>
      <c r="K17" s="36">
        <f>_xlfn.XLOOKUP($A17,Inputs!$A:$A,Inputs!K:K,,0)</f>
        <v>369.4</v>
      </c>
      <c r="L17" s="36">
        <f>_xlfn.XLOOKUP($A17,Inputs!$A:$A,Inputs!L:L,,0)</f>
        <v>216.8</v>
      </c>
      <c r="M17" s="37">
        <f>_xlfn.XLOOKUP($A17,Inputs!$A:$A,Inputs!M:M,,0)</f>
        <v>157.30000000000001</v>
      </c>
      <c r="N17" s="278"/>
    </row>
    <row r="18" spans="1:18">
      <c r="A18" s="92" t="s">
        <v>580</v>
      </c>
      <c r="B18" s="36">
        <f>_xlfn.XLOOKUP($A18,Inputs!$A:$A,Inputs!B:B,,0)</f>
        <v>-2529</v>
      </c>
      <c r="C18" s="36">
        <f>_xlfn.XLOOKUP($A18,Inputs!$A:$A,Inputs!C:C,,0)</f>
        <v>-1670</v>
      </c>
      <c r="D18" s="36">
        <f>_xlfn.XLOOKUP($A18,Inputs!$A:$A,Inputs!D:D,,0)</f>
        <v>-976</v>
      </c>
      <c r="E18" s="36">
        <f>_xlfn.XLOOKUP($A18,Inputs!$A:$A,Inputs!E:E,,0)</f>
        <v>-1915</v>
      </c>
      <c r="F18" s="36">
        <f>_xlfn.XLOOKUP($A18,Inputs!$A:$A,Inputs!F:F,,0)</f>
        <v>90</v>
      </c>
      <c r="G18" s="36">
        <f>_xlfn.XLOOKUP($A18,Inputs!$A:$A,Inputs!G:G,,0)</f>
        <v>-1497</v>
      </c>
      <c r="H18" s="36">
        <f>_xlfn.XLOOKUP($A18,Inputs!$A:$A,Inputs!H:H,,0)</f>
        <v>-896</v>
      </c>
      <c r="I18" s="36">
        <f>_xlfn.XLOOKUP($A18,Inputs!$A:$A,Inputs!I:I,,0)</f>
        <v>-741</v>
      </c>
      <c r="J18" s="36">
        <f>_xlfn.XLOOKUP($A18,Inputs!$A:$A,Inputs!J:J,,0)</f>
        <v>269</v>
      </c>
      <c r="K18" s="36">
        <f>_xlfn.XLOOKUP($A18,Inputs!$A:$A,Inputs!K:K,,0)</f>
        <v>-369</v>
      </c>
      <c r="L18" s="36">
        <f>_xlfn.XLOOKUP($A18,Inputs!$A:$A,Inputs!L:L,,0)</f>
        <v>-341</v>
      </c>
      <c r="M18" s="37">
        <f>_xlfn.XLOOKUP($A18,Inputs!$A:$A,Inputs!M:M,,0)</f>
        <v>-1429</v>
      </c>
    </row>
    <row r="19" spans="1:18">
      <c r="A19" s="90" t="s">
        <v>61</v>
      </c>
      <c r="B19" s="36">
        <f>B11-B15+B17</f>
        <v>4685</v>
      </c>
      <c r="C19" s="36">
        <f t="shared" ref="C19:M19" si="18">C11-C15+C17</f>
        <v>3619</v>
      </c>
      <c r="D19" s="36">
        <f t="shared" si="18"/>
        <v>2637</v>
      </c>
      <c r="E19" s="36">
        <f t="shared" si="18"/>
        <v>2414</v>
      </c>
      <c r="F19" s="36">
        <f t="shared" si="18"/>
        <v>1403</v>
      </c>
      <c r="G19" s="36">
        <f t="shared" si="18"/>
        <v>1154</v>
      </c>
      <c r="H19" s="36">
        <f t="shared" si="18"/>
        <v>859</v>
      </c>
      <c r="I19" s="36">
        <f t="shared" si="18"/>
        <v>621.59999999999991</v>
      </c>
      <c r="J19" s="36">
        <f t="shared" si="18"/>
        <v>282.5</v>
      </c>
      <c r="K19" s="36">
        <f t="shared" si="18"/>
        <v>78.599999999999966</v>
      </c>
      <c r="L19" s="36">
        <f t="shared" si="18"/>
        <v>100.20000000000002</v>
      </c>
      <c r="M19" s="37">
        <f t="shared" si="18"/>
        <v>117.85000000000001</v>
      </c>
    </row>
    <row r="20" spans="1:18">
      <c r="A20" s="91" t="s">
        <v>581</v>
      </c>
      <c r="B20" s="38">
        <f t="shared" ref="B20" si="19">IFERROR(B19/B$5,"-")</f>
        <v>0.14943225312579739</v>
      </c>
      <c r="C20" s="38">
        <f t="shared" ref="C20" si="20">IFERROR(C19/C$5,"-")</f>
        <v>0.13660727766873018</v>
      </c>
      <c r="D20" s="38">
        <f t="shared" ref="D20" si="21">IFERROR(D19/D$5,"-")</f>
        <v>0.12408243929983061</v>
      </c>
      <c r="E20" s="38">
        <f t="shared" ref="E20" si="22">IFERROR(E19/E$5,"-")</f>
        <v>0.14118610363785239</v>
      </c>
      <c r="F20" s="38">
        <f t="shared" ref="F20" si="23">IFERROR(F19/F$5,"-")</f>
        <v>0.10563168197560609</v>
      </c>
      <c r="G20" s="38">
        <f t="shared" ref="G20" si="24">IFERROR(G19/G$5,"-")</f>
        <v>0.10948766603415559</v>
      </c>
      <c r="H20" s="38">
        <f t="shared" ref="H20" si="25">IFERROR(H19/H$5,"-")</f>
        <v>0.10181344079649164</v>
      </c>
      <c r="I20" s="38">
        <f t="shared" ref="I20" si="26">IFERROR(I19/I$5,"-")</f>
        <v>9.3235338233088327E-2</v>
      </c>
      <c r="J20" s="38">
        <f t="shared" ref="J20" si="27">IFERROR(J19/J$5,"-")</f>
        <v>5.256791961295125E-2</v>
      </c>
      <c r="K20" s="38">
        <f t="shared" ref="K20" si="28">IFERROR(K19/K$5,"-")</f>
        <v>1.9307295504789969E-2</v>
      </c>
      <c r="L20" s="38">
        <f t="shared" ref="L20" si="29">IFERROR(L19/L$5,"-")</f>
        <v>3.285245901639345E-2</v>
      </c>
      <c r="M20" s="39">
        <f t="shared" ref="M20" si="30">IFERROR(M19/M$5,"-")</f>
        <v>5.198500220555801E-2</v>
      </c>
      <c r="P20" s="278"/>
      <c r="Q20" s="278"/>
      <c r="R20" s="278"/>
    </row>
    <row r="21" spans="1:18">
      <c r="A21" s="90" t="s">
        <v>284</v>
      </c>
      <c r="B21" s="36">
        <f>_xlfn.XLOOKUP($A21,Inputs!$A:$A,Inputs!B:B,,0)</f>
        <v>452</v>
      </c>
      <c r="C21" s="36">
        <f>_xlfn.XLOOKUP($A21,Inputs!$A:$A,Inputs!C:C,,0)</f>
        <v>88</v>
      </c>
      <c r="D21" s="36">
        <f>_xlfn.XLOOKUP($A21,Inputs!$A:$A,Inputs!D:D,,0)</f>
        <v>-1511</v>
      </c>
      <c r="E21" s="36">
        <f>_xlfn.XLOOKUP($A21,Inputs!$A:$A,Inputs!E:E,,0)</f>
        <v>574</v>
      </c>
      <c r="F21" s="36">
        <f>_xlfn.XLOOKUP($A21,Inputs!$A:$A,Inputs!F:F,,0)</f>
        <v>-170</v>
      </c>
      <c r="G21" s="36">
        <f>_xlfn.XLOOKUP($A21,Inputs!$A:$A,Inputs!G:G,,0)</f>
        <v>-66</v>
      </c>
      <c r="H21" s="36">
        <f>_xlfn.XLOOKUP($A21,Inputs!$A:$A,Inputs!H:H,,0)</f>
        <v>-144</v>
      </c>
      <c r="I21" s="36">
        <f>_xlfn.XLOOKUP($A21,Inputs!$A:$A,Inputs!I:I,,0)</f>
        <v>112</v>
      </c>
      <c r="J21" s="36">
        <f>_xlfn.XLOOKUP($A21,Inputs!$A:$A,Inputs!J:J,,0)</f>
        <v>50</v>
      </c>
      <c r="K21" s="36">
        <f>_xlfn.XLOOKUP($A21,Inputs!$A:$A,Inputs!K:K,,0)</f>
        <v>-126</v>
      </c>
      <c r="L21" s="36">
        <f>_xlfn.XLOOKUP($A21,Inputs!$A:$A,Inputs!L:L,,0)</f>
        <v>143</v>
      </c>
      <c r="M21" s="37">
        <f>_xlfn.XLOOKUP($A21,Inputs!$A:$A,Inputs!M:M,,0)</f>
        <v>-22</v>
      </c>
    </row>
    <row r="22" spans="1:18">
      <c r="A22" s="91" t="s">
        <v>582</v>
      </c>
      <c r="B22" s="38">
        <f>IFERROR(B21/B$5,"-")</f>
        <v>1.4416943097729012E-2</v>
      </c>
      <c r="C22" s="38">
        <f t="shared" ref="C22" si="31">IFERROR(C21/C$5,"-")</f>
        <v>3.3217575117016457E-3</v>
      </c>
      <c r="D22" s="38">
        <f t="shared" ref="D22" si="32">IFERROR(D21/D$5,"-")</f>
        <v>-7.1099190664408049E-2</v>
      </c>
      <c r="E22" s="38">
        <f t="shared" ref="E22" si="33">IFERROR(E21/E$5,"-")</f>
        <v>3.3571177915545675E-2</v>
      </c>
      <c r="F22" s="38">
        <f t="shared" ref="F22" si="34">IFERROR(F21/F$5,"-")</f>
        <v>-1.2799277217286553E-2</v>
      </c>
      <c r="G22" s="38">
        <f t="shared" ref="G22" si="35">IFERROR(G21/G$5,"-")</f>
        <v>-6.2618595825426945E-3</v>
      </c>
      <c r="H22" s="38">
        <f t="shared" ref="H22" si="36">IFERROR(H21/H$5,"-")</f>
        <v>-1.7067678084627239E-2</v>
      </c>
      <c r="I22" s="38">
        <f t="shared" ref="I22" si="37">IFERROR(I21/I$5,"-")</f>
        <v>1.6799160041997899E-2</v>
      </c>
      <c r="J22" s="38">
        <f t="shared" ref="J22" si="38">IFERROR(J21/J$5,"-")</f>
        <v>9.3040565686639369E-3</v>
      </c>
      <c r="K22" s="38">
        <f t="shared" ref="K22" si="39">IFERROR(K21/K$5,"-")</f>
        <v>-3.0950626381724394E-2</v>
      </c>
      <c r="L22" s="38">
        <f t="shared" ref="L22" si="40">IFERROR(L21/L$5,"-")</f>
        <v>4.6885245901639346E-2</v>
      </c>
      <c r="M22" s="39">
        <f t="shared" ref="M22" si="41">IFERROR(M21/M$5,"-")</f>
        <v>-9.7044552271724743E-3</v>
      </c>
    </row>
    <row r="23" spans="1:18">
      <c r="A23" s="90" t="s">
        <v>74</v>
      </c>
      <c r="B23" s="36">
        <f>_xlfn.XLOOKUP($A23,Inputs!$A:$A,Inputs!B:B,,0)</f>
        <v>208</v>
      </c>
      <c r="C23" s="36">
        <f>_xlfn.XLOOKUP($A23,Inputs!$A:$A,Inputs!C:C,,0)</f>
        <v>1444</v>
      </c>
      <c r="D23" s="36">
        <f>_xlfn.XLOOKUP($A23,Inputs!$A:$A,Inputs!D:D,,0)</f>
        <v>4072</v>
      </c>
      <c r="E23" s="36">
        <f>_xlfn.XLOOKUP($A23,Inputs!$A:$A,Inputs!E:E,,0)</f>
        <v>1266</v>
      </c>
      <c r="F23" s="36">
        <f>_xlfn.XLOOKUP($A23,Inputs!$A:$A,Inputs!F:F,,0)</f>
        <v>1110</v>
      </c>
      <c r="G23" s="36">
        <f>_xlfn.XLOOKUP($A23,Inputs!$A:$A,Inputs!G:G,,0)</f>
        <v>360</v>
      </c>
      <c r="H23" s="36">
        <f>_xlfn.XLOOKUP($A23,Inputs!$A:$A,Inputs!H:H,,0)</f>
        <v>323</v>
      </c>
      <c r="I23" s="36">
        <f>_xlfn.XLOOKUP($A23,Inputs!$A:$A,Inputs!I:I,,0)</f>
        <v>-47.4</v>
      </c>
      <c r="J23" s="36">
        <f>_xlfn.XLOOKUP($A23,Inputs!$A:$A,Inputs!J:J,,0)</f>
        <v>-262.7</v>
      </c>
      <c r="K23" s="36">
        <f>_xlfn.XLOOKUP($A23,Inputs!$A:$A,Inputs!K:K,,0)</f>
        <v>-232.2</v>
      </c>
      <c r="L23" s="36">
        <f>_xlfn.XLOOKUP($A23,Inputs!$A:$A,Inputs!L:L,,0)</f>
        <v>-270.39999999999998</v>
      </c>
      <c r="M23" s="37">
        <f>_xlfn.XLOOKUP($A23,Inputs!$A:$A,Inputs!M:M,,0)</f>
        <v>-11.6</v>
      </c>
    </row>
    <row r="24" spans="1:18">
      <c r="A24" s="91" t="s">
        <v>245</v>
      </c>
      <c r="B24" s="38">
        <f t="shared" ref="B24" si="42">IFERROR(B23/B$5,"-")</f>
        <v>6.6343454963000764E-3</v>
      </c>
      <c r="C24" s="38">
        <f t="shared" ref="C24" si="43">IFERROR(C23/C$5,"-")</f>
        <v>5.4507020987467916E-2</v>
      </c>
      <c r="D24" s="38">
        <f t="shared" ref="D24" si="44">IFERROR(D23/D$5,"-")</f>
        <v>0.19160549595332205</v>
      </c>
      <c r="E24" s="38">
        <f t="shared" ref="E24" si="45">IFERROR(E23/E$5,"-")</f>
        <v>7.4043747806761026E-2</v>
      </c>
      <c r="F24" s="38">
        <f t="shared" ref="F24" si="46">IFERROR(F23/F$5,"-")</f>
        <v>8.3571751242282791E-2</v>
      </c>
      <c r="G24" s="38">
        <f t="shared" ref="G24" si="47">IFERROR(G23/G$5,"-")</f>
        <v>3.4155597722960153E-2</v>
      </c>
      <c r="H24" s="38">
        <f t="shared" ref="H24" si="48">IFERROR(H23/H$5,"-")</f>
        <v>3.828375014815693E-2</v>
      </c>
      <c r="I24" s="38">
        <f t="shared" ref="I24" si="49">IFERROR(I23/I$5,"-")</f>
        <v>-7.1096445177741109E-3</v>
      </c>
      <c r="J24" s="38">
        <f t="shared" ref="J24" si="50">IFERROR(J23/J$5,"-")</f>
        <v>-4.8883513211760328E-2</v>
      </c>
      <c r="K24" s="38">
        <f t="shared" ref="K24" si="51">IFERROR(K23/K$5,"-")</f>
        <v>-5.7037582903463523E-2</v>
      </c>
      <c r="L24" s="38">
        <f t="shared" ref="L24" si="52">IFERROR(L23/L$5,"-")</f>
        <v>-8.8655737704918025E-2</v>
      </c>
      <c r="M24" s="39">
        <f t="shared" ref="M24" si="53">IFERROR(M23/M$5,"-")</f>
        <v>-5.1168945743273048E-3</v>
      </c>
    </row>
    <row r="25" spans="1:18">
      <c r="A25" s="90" t="s">
        <v>574</v>
      </c>
      <c r="B25" s="38">
        <f t="shared" ref="B25" si="54">IFERROR(B24/C24-1,"-")</f>
        <v>-0.87828457002217342</v>
      </c>
      <c r="C25" s="38">
        <f t="shared" ref="C25" si="55">IFERROR(C24/D24-1,"-")</f>
        <v>-0.71552475195833298</v>
      </c>
      <c r="D25" s="38">
        <f t="shared" ref="D25" si="56">IFERROR(D24/E24-1,"-")</f>
        <v>1.5877336254422594</v>
      </c>
      <c r="E25" s="38">
        <f t="shared" ref="E25" si="57">IFERROR(E24/F24-1,"-")</f>
        <v>-0.1140098573248649</v>
      </c>
      <c r="F25" s="38">
        <f t="shared" ref="F25" si="58">IFERROR(F24/G24-1,"-")</f>
        <v>1.4467951613712793</v>
      </c>
      <c r="G25" s="38">
        <f t="shared" ref="G25" si="59">IFERROR(G24/H24-1,"-")</f>
        <v>-0.10783040870397897</v>
      </c>
      <c r="H25" s="38">
        <f t="shared" ref="H25" si="60">IFERROR(H24/I24-1,"-")</f>
        <v>-6.3847629164084863</v>
      </c>
      <c r="I25" s="38">
        <f t="shared" ref="I25" si="61">IFERROR(I24/J24-1,"-")</f>
        <v>-0.85455946083548506</v>
      </c>
      <c r="J25" s="38">
        <f t="shared" ref="J25" si="62">IFERROR(J24/K24-1,"-")</f>
        <v>-0.14295959394885316</v>
      </c>
      <c r="K25" s="38">
        <f t="shared" ref="K25" si="63">IFERROR(K24/L24-1,"-")</f>
        <v>-0.35663968988327011</v>
      </c>
      <c r="L25" s="38">
        <f t="shared" ref="L25" si="64">IFERROR(L24/M24-1,"-")</f>
        <v>16.326082532504238</v>
      </c>
      <c r="M25" s="39" t="str">
        <f>IFERROR(M24/#REF!-1,"-")</f>
        <v>-</v>
      </c>
    </row>
    <row r="26" spans="1:18">
      <c r="A26" s="91" t="s">
        <v>583</v>
      </c>
      <c r="B26" s="40">
        <f>B39-C39</f>
        <v>1971</v>
      </c>
      <c r="C26" s="40">
        <f t="shared" ref="C26:M26" si="65">C39-D39</f>
        <v>-1429</v>
      </c>
      <c r="D26" s="40">
        <f t="shared" si="65"/>
        <v>4019</v>
      </c>
      <c r="E26" s="40">
        <f t="shared" si="65"/>
        <v>3605</v>
      </c>
      <c r="F26" s="40">
        <f t="shared" si="65"/>
        <v>-179</v>
      </c>
      <c r="G26" s="40">
        <f t="shared" si="65"/>
        <v>2312</v>
      </c>
      <c r="H26" s="40">
        <f t="shared" si="65"/>
        <v>-516</v>
      </c>
      <c r="I26" s="40">
        <f t="shared" si="65"/>
        <v>1730</v>
      </c>
      <c r="J26" s="40">
        <f t="shared" si="65"/>
        <v>156</v>
      </c>
      <c r="K26" s="40">
        <f t="shared" si="65"/>
        <v>-29</v>
      </c>
      <c r="L26" s="40">
        <f t="shared" si="65"/>
        <v>90</v>
      </c>
      <c r="M26" s="37">
        <f t="shared" si="65"/>
        <v>778</v>
      </c>
    </row>
    <row r="27" spans="1:18">
      <c r="A27" s="90" t="s">
        <v>142</v>
      </c>
      <c r="B27" s="36">
        <f>_xlfn.XLOOKUP($A27,Inputs!$A:$A,Inputs!B:B,,0)</f>
        <v>0</v>
      </c>
      <c r="C27" s="36">
        <f>_xlfn.XLOOKUP($A27,Inputs!$A:$A,Inputs!C:C,,0)</f>
        <v>0</v>
      </c>
      <c r="D27" s="36">
        <f>_xlfn.XLOOKUP($A27,Inputs!$A:$A,Inputs!D:D,,0)</f>
        <v>0</v>
      </c>
      <c r="E27" s="36">
        <f>_xlfn.XLOOKUP($A27,Inputs!$A:$A,Inputs!E:E,,0)</f>
        <v>0</v>
      </c>
      <c r="F27" s="36">
        <f>_xlfn.XLOOKUP($A27,Inputs!$A:$A,Inputs!F:F,,0)</f>
        <v>0</v>
      </c>
      <c r="G27" s="36">
        <f>_xlfn.XLOOKUP($A27,Inputs!$A:$A,Inputs!G:G,,0)</f>
        <v>0</v>
      </c>
      <c r="H27" s="36">
        <f>_xlfn.XLOOKUP($A27,Inputs!$A:$A,Inputs!H:H,,0)</f>
        <v>0</v>
      </c>
      <c r="I27" s="36">
        <f>_xlfn.XLOOKUP($A27,Inputs!$A:$A,Inputs!I:I,,0)</f>
        <v>0</v>
      </c>
      <c r="J27" s="36">
        <f>_xlfn.XLOOKUP($A27,Inputs!$A:$A,Inputs!J:J,,0)</f>
        <v>0</v>
      </c>
      <c r="K27" s="36">
        <f>_xlfn.XLOOKUP($A27,Inputs!$A:$A,Inputs!K:K,,0)</f>
        <v>0</v>
      </c>
      <c r="L27" s="36">
        <f>_xlfn.XLOOKUP($A27,Inputs!$A:$A,Inputs!L:L,,0)</f>
        <v>0</v>
      </c>
      <c r="M27" s="37">
        <f>_xlfn.XLOOKUP($A27,Inputs!$A:$A,Inputs!M:M,,0)</f>
        <v>0</v>
      </c>
    </row>
    <row r="28" spans="1:18">
      <c r="A28" s="92" t="s">
        <v>584</v>
      </c>
      <c r="B28" s="36">
        <f>_xlfn.XLOOKUP($A28,Inputs!$A:$A,Inputs!B:B,,0)</f>
        <v>-4000</v>
      </c>
      <c r="C28" s="36">
        <f>_xlfn.XLOOKUP($A28,Inputs!$A:$A,Inputs!C:C,,0)</f>
        <v>0</v>
      </c>
      <c r="D28" s="36">
        <f>_xlfn.XLOOKUP($A28,Inputs!$A:$A,Inputs!D:D,,0)</f>
        <v>0</v>
      </c>
      <c r="E28" s="36">
        <f>_xlfn.XLOOKUP($A28,Inputs!$A:$A,Inputs!E:E,,0)</f>
        <v>0</v>
      </c>
      <c r="F28" s="36">
        <f>_xlfn.XLOOKUP($A28,Inputs!$A:$A,Inputs!F:F,,0)</f>
        <v>0</v>
      </c>
      <c r="G28" s="36">
        <f>_xlfn.XLOOKUP($A28,Inputs!$A:$A,Inputs!G:G,,0)</f>
        <v>0</v>
      </c>
      <c r="H28" s="36">
        <f>_xlfn.XLOOKUP($A28,Inputs!$A:$A,Inputs!H:H,,0)</f>
        <v>0</v>
      </c>
      <c r="I28" s="36">
        <f>_xlfn.XLOOKUP($A28,Inputs!$A:$A,Inputs!I:I,,0)</f>
        <v>0</v>
      </c>
      <c r="J28" s="36">
        <f>_xlfn.XLOOKUP($A28,Inputs!$A:$A,Inputs!J:J,,0)</f>
        <v>0</v>
      </c>
      <c r="K28" s="36">
        <f>_xlfn.XLOOKUP($A28,Inputs!$A:$A,Inputs!K:K,,0)</f>
        <v>0</v>
      </c>
      <c r="L28" s="36">
        <f>_xlfn.XLOOKUP($A28,Inputs!$A:$A,Inputs!L:L,,0)</f>
        <v>0</v>
      </c>
      <c r="M28" s="37">
        <f>_xlfn.XLOOKUP($A28,Inputs!$A:$A,Inputs!M:M,,0)</f>
        <v>0</v>
      </c>
    </row>
    <row r="29" spans="1:18">
      <c r="A29" s="90" t="s">
        <v>134</v>
      </c>
      <c r="B29" s="40">
        <f>SUM(B26:B28)</f>
        <v>-2029</v>
      </c>
      <c r="C29" s="40">
        <f t="shared" ref="C29:M29" si="66">SUM(C26:C28)</f>
        <v>-1429</v>
      </c>
      <c r="D29" s="40">
        <f t="shared" si="66"/>
        <v>4019</v>
      </c>
      <c r="E29" s="40">
        <f t="shared" si="66"/>
        <v>3605</v>
      </c>
      <c r="F29" s="40">
        <f t="shared" si="66"/>
        <v>-179</v>
      </c>
      <c r="G29" s="40">
        <f t="shared" si="66"/>
        <v>2312</v>
      </c>
      <c r="H29" s="40">
        <f t="shared" si="66"/>
        <v>-516</v>
      </c>
      <c r="I29" s="40">
        <f t="shared" si="66"/>
        <v>1730</v>
      </c>
      <c r="J29" s="40">
        <f t="shared" si="66"/>
        <v>156</v>
      </c>
      <c r="K29" s="40">
        <f t="shared" si="66"/>
        <v>-29</v>
      </c>
      <c r="L29" s="40">
        <f t="shared" si="66"/>
        <v>90</v>
      </c>
      <c r="M29" s="37">
        <f t="shared" si="66"/>
        <v>778</v>
      </c>
    </row>
    <row r="30" spans="1:18">
      <c r="A30" s="92" t="s">
        <v>585</v>
      </c>
      <c r="B30" s="40">
        <f>+B29-(B58-C29)</f>
        <v>-14850</v>
      </c>
      <c r="C30" s="40">
        <f t="shared" ref="C30:M30" si="67">+C29-(C58-D29)</f>
        <v>-8387</v>
      </c>
      <c r="D30" s="40">
        <f t="shared" si="67"/>
        <v>4823</v>
      </c>
      <c r="E30" s="40">
        <f t="shared" si="67"/>
        <v>368</v>
      </c>
      <c r="F30" s="40">
        <f t="shared" si="67"/>
        <v>-1513</v>
      </c>
      <c r="G30" s="40">
        <f t="shared" si="67"/>
        <v>76</v>
      </c>
      <c r="H30" s="40">
        <f t="shared" si="67"/>
        <v>-1578</v>
      </c>
      <c r="I30" s="40">
        <f t="shared" si="67"/>
        <v>-162</v>
      </c>
      <c r="J30" s="40">
        <f t="shared" si="67"/>
        <v>-2071</v>
      </c>
      <c r="K30" s="40">
        <f t="shared" si="67"/>
        <v>-2447</v>
      </c>
      <c r="L30" s="40">
        <f t="shared" si="67"/>
        <v>347</v>
      </c>
      <c r="M30" s="37">
        <f t="shared" si="67"/>
        <v>282</v>
      </c>
    </row>
    <row r="31" spans="1:18">
      <c r="A31" s="90" t="s">
        <v>586</v>
      </c>
      <c r="B31" s="40">
        <f>+B30+B33</f>
        <v>-15289</v>
      </c>
      <c r="C31" s="40">
        <f t="shared" ref="C31:L31" si="68">+C30+C33</f>
        <v>-23263</v>
      </c>
      <c r="D31" s="40">
        <f t="shared" si="68"/>
        <v>3542</v>
      </c>
      <c r="E31" s="40">
        <f t="shared" si="68"/>
        <v>-1</v>
      </c>
      <c r="F31" s="40">
        <f t="shared" si="68"/>
        <v>-6628</v>
      </c>
      <c r="G31" s="40">
        <f t="shared" si="68"/>
        <v>51</v>
      </c>
      <c r="H31" s="40">
        <f t="shared" si="68"/>
        <v>-4771</v>
      </c>
      <c r="I31" s="40">
        <f t="shared" si="68"/>
        <v>-220.7</v>
      </c>
      <c r="J31" s="40">
        <f t="shared" si="68"/>
        <v>-2071</v>
      </c>
      <c r="K31" s="40">
        <f t="shared" si="68"/>
        <v>-5064.3</v>
      </c>
      <c r="L31" s="40">
        <f t="shared" si="68"/>
        <v>-232.70000000000005</v>
      </c>
      <c r="M31" s="37">
        <f t="shared" ref="M31" si="69">+M30+M33</f>
        <v>-140.69999999999999</v>
      </c>
    </row>
    <row r="32" spans="1:18">
      <c r="A32" s="92" t="s">
        <v>139</v>
      </c>
      <c r="B32" s="36">
        <f>_xlfn.XLOOKUP($A32,Inputs!$A:$A,Inputs!B:B,,0)</f>
        <v>-798</v>
      </c>
      <c r="C32" s="36">
        <f>_xlfn.XLOOKUP($A32,Inputs!$A:$A,Inputs!C:C,,0)</f>
        <v>-717</v>
      </c>
      <c r="D32" s="36">
        <f>_xlfn.XLOOKUP($A32,Inputs!$A:$A,Inputs!D:D,,0)</f>
        <v>-710</v>
      </c>
      <c r="E32" s="36">
        <f>_xlfn.XLOOKUP($A32,Inputs!$A:$A,Inputs!E:E,,0)</f>
        <v>-643</v>
      </c>
      <c r="F32" s="36">
        <f>_xlfn.XLOOKUP($A32,Inputs!$A:$A,Inputs!F:F,,0)</f>
        <v>-595</v>
      </c>
      <c r="G32" s="36">
        <f>_xlfn.XLOOKUP($A32,Inputs!$A:$A,Inputs!G:G,,0)</f>
        <v>-534</v>
      </c>
      <c r="H32" s="36">
        <f>_xlfn.XLOOKUP($A32,Inputs!$A:$A,Inputs!H:H,,0)</f>
        <v>-464</v>
      </c>
      <c r="I32" s="36">
        <f>_xlfn.XLOOKUP($A32,Inputs!$A:$A,Inputs!I:I,,0)</f>
        <v>-709.9</v>
      </c>
      <c r="J32" s="36">
        <f>_xlfn.XLOOKUP($A32,Inputs!$A:$A,Inputs!J:J,,0)</f>
        <v>-290.5</v>
      </c>
      <c r="K32" s="36">
        <f>_xlfn.XLOOKUP($A32,Inputs!$A:$A,Inputs!K:K,,0)</f>
        <v>-299.10000000000002</v>
      </c>
      <c r="L32" s="36">
        <f>_xlfn.XLOOKUP($A32,Inputs!$A:$A,Inputs!L:L,,0)</f>
        <v>-175.6</v>
      </c>
      <c r="M32" s="37">
        <f>_xlfn.XLOOKUP($A32,Inputs!$A:$A,Inputs!M:M,,0)</f>
        <v>-151.6</v>
      </c>
    </row>
    <row r="33" spans="1:13">
      <c r="A33" s="90" t="s">
        <v>140</v>
      </c>
      <c r="B33" s="36">
        <f>_xlfn.XLOOKUP($A33,Inputs!$A:$A,Inputs!B:B,,0)</f>
        <v>-439</v>
      </c>
      <c r="C33" s="36">
        <f>_xlfn.XLOOKUP($A33,Inputs!$A:$A,Inputs!C:C,,0)</f>
        <v>-14876</v>
      </c>
      <c r="D33" s="36">
        <f>_xlfn.XLOOKUP($A33,Inputs!$A:$A,Inputs!D:D,,0)</f>
        <v>-1281</v>
      </c>
      <c r="E33" s="36">
        <f>_xlfn.XLOOKUP($A33,Inputs!$A:$A,Inputs!E:E,,0)</f>
        <v>-369</v>
      </c>
      <c r="F33" s="36">
        <f>_xlfn.XLOOKUP($A33,Inputs!$A:$A,Inputs!F:F,,0)</f>
        <v>-5115</v>
      </c>
      <c r="G33" s="36">
        <f>_xlfn.XLOOKUP($A33,Inputs!$A:$A,Inputs!G:G,,0)</f>
        <v>-25</v>
      </c>
      <c r="H33" s="36">
        <f>_xlfn.XLOOKUP($A33,Inputs!$A:$A,Inputs!H:H,,0)</f>
        <v>-3193</v>
      </c>
      <c r="I33" s="36">
        <f>_xlfn.XLOOKUP($A33,Inputs!$A:$A,Inputs!I:I,,0)</f>
        <v>-58.7</v>
      </c>
      <c r="J33" s="36">
        <f>_xlfn.XLOOKUP($A33,Inputs!$A:$A,Inputs!J:J,,0)</f>
        <v>0</v>
      </c>
      <c r="K33" s="36">
        <f>_xlfn.XLOOKUP($A33,Inputs!$A:$A,Inputs!K:K,,0)</f>
        <v>-2617.3000000000002</v>
      </c>
      <c r="L33" s="36">
        <f>_xlfn.XLOOKUP($A33,Inputs!$A:$A,Inputs!L:L,,0)</f>
        <v>-579.70000000000005</v>
      </c>
      <c r="M33" s="37">
        <f>_xlfn.XLOOKUP($A33,Inputs!$A:$A,Inputs!M:M,,0)</f>
        <v>-422.7</v>
      </c>
    </row>
    <row r="34" spans="1:13">
      <c r="A34" s="91" t="s">
        <v>135</v>
      </c>
      <c r="B34" s="40">
        <f t="shared" ref="B34:M34" si="70">+B32+B33</f>
        <v>-1237</v>
      </c>
      <c r="C34" s="40">
        <f t="shared" si="70"/>
        <v>-15593</v>
      </c>
      <c r="D34" s="40">
        <f t="shared" si="70"/>
        <v>-1991</v>
      </c>
      <c r="E34" s="40">
        <f t="shared" si="70"/>
        <v>-1012</v>
      </c>
      <c r="F34" s="40">
        <f t="shared" si="70"/>
        <v>-5710</v>
      </c>
      <c r="G34" s="40">
        <f t="shared" si="70"/>
        <v>-559</v>
      </c>
      <c r="H34" s="40">
        <f t="shared" si="70"/>
        <v>-3657</v>
      </c>
      <c r="I34" s="40">
        <f t="shared" si="70"/>
        <v>-768.6</v>
      </c>
      <c r="J34" s="40">
        <f t="shared" si="70"/>
        <v>-290.5</v>
      </c>
      <c r="K34" s="40">
        <f t="shared" si="70"/>
        <v>-2916.4</v>
      </c>
      <c r="L34" s="40">
        <f t="shared" si="70"/>
        <v>-755.30000000000007</v>
      </c>
      <c r="M34" s="41">
        <f t="shared" si="70"/>
        <v>-574.29999999999995</v>
      </c>
    </row>
    <row r="35" spans="1:13">
      <c r="A35" s="90" t="s">
        <v>133</v>
      </c>
      <c r="B35" s="40">
        <f t="shared" ref="B35:M35" si="71">+B27+B28</f>
        <v>-4000</v>
      </c>
      <c r="C35" s="40">
        <f t="shared" si="71"/>
        <v>0</v>
      </c>
      <c r="D35" s="40">
        <f t="shared" si="71"/>
        <v>0</v>
      </c>
      <c r="E35" s="40">
        <f t="shared" si="71"/>
        <v>0</v>
      </c>
      <c r="F35" s="40">
        <f t="shared" si="71"/>
        <v>0</v>
      </c>
      <c r="G35" s="40">
        <f t="shared" si="71"/>
        <v>0</v>
      </c>
      <c r="H35" s="40">
        <f t="shared" si="71"/>
        <v>0</v>
      </c>
      <c r="I35" s="40">
        <f t="shared" si="71"/>
        <v>0</v>
      </c>
      <c r="J35" s="40">
        <f t="shared" si="71"/>
        <v>0</v>
      </c>
      <c r="K35" s="40">
        <f t="shared" si="71"/>
        <v>0</v>
      </c>
      <c r="L35" s="40">
        <f t="shared" si="71"/>
        <v>0</v>
      </c>
      <c r="M35" s="41">
        <f t="shared" si="71"/>
        <v>0</v>
      </c>
    </row>
    <row r="36" spans="1:13">
      <c r="A36" s="92" t="s">
        <v>587</v>
      </c>
      <c r="B36" s="38">
        <f>IFERROR(B35/B23,"-")</f>
        <v>-19.23076923076923</v>
      </c>
      <c r="C36" s="38">
        <f t="shared" ref="C36:M36" si="72">IFERROR(C35/C23,"-")</f>
        <v>0</v>
      </c>
      <c r="D36" s="38">
        <f t="shared" si="72"/>
        <v>0</v>
      </c>
      <c r="E36" s="38">
        <f t="shared" si="72"/>
        <v>0</v>
      </c>
      <c r="F36" s="38">
        <f t="shared" si="72"/>
        <v>0</v>
      </c>
      <c r="G36" s="38">
        <f t="shared" si="72"/>
        <v>0</v>
      </c>
      <c r="H36" s="38">
        <f t="shared" si="72"/>
        <v>0</v>
      </c>
      <c r="I36" s="38">
        <f t="shared" si="72"/>
        <v>0</v>
      </c>
      <c r="J36" s="38">
        <f t="shared" si="72"/>
        <v>0</v>
      </c>
      <c r="K36" s="38">
        <f t="shared" si="72"/>
        <v>0</v>
      </c>
      <c r="L36" s="38">
        <f t="shared" si="72"/>
        <v>0</v>
      </c>
      <c r="M36" s="39">
        <f t="shared" si="72"/>
        <v>0</v>
      </c>
    </row>
    <row r="37" spans="1:13">
      <c r="A37" s="7"/>
      <c r="B37" s="29"/>
      <c r="C37" s="29"/>
      <c r="D37" s="29"/>
      <c r="E37" s="29"/>
      <c r="F37" s="29"/>
      <c r="G37" s="29"/>
      <c r="H37" s="29"/>
      <c r="I37" s="29"/>
      <c r="J37" s="29"/>
      <c r="K37" s="29"/>
      <c r="L37" s="29"/>
      <c r="M37" s="29"/>
    </row>
    <row r="38" spans="1:13" ht="20">
      <c r="A38" s="1199" t="s">
        <v>588</v>
      </c>
      <c r="B38" s="1199"/>
      <c r="C38" s="1199"/>
      <c r="D38" s="1199"/>
      <c r="E38" s="1199"/>
      <c r="F38" s="1199"/>
      <c r="G38" s="1199"/>
      <c r="H38" s="1199"/>
      <c r="I38" s="1199"/>
      <c r="J38" s="1199"/>
      <c r="K38" s="1199"/>
      <c r="L38" s="1199"/>
      <c r="M38" s="1199"/>
    </row>
    <row r="39" spans="1:13">
      <c r="A39" s="93" t="s">
        <v>287</v>
      </c>
      <c r="B39" s="36">
        <f>_xlfn.XLOOKUP($A39,Inputs!$A:$A,Inputs!B:B,,0)</f>
        <v>12508</v>
      </c>
      <c r="C39" s="36">
        <f>_xlfn.XLOOKUP($A39,Inputs!$A:$A,Inputs!C:C,,0)</f>
        <v>10537</v>
      </c>
      <c r="D39" s="36">
        <f>_xlfn.XLOOKUP($A39,Inputs!$A:$A,Inputs!D:D,,0)</f>
        <v>11966</v>
      </c>
      <c r="E39" s="36">
        <f>_xlfn.XLOOKUP($A39,Inputs!$A:$A,Inputs!E:E,,0)</f>
        <v>7947</v>
      </c>
      <c r="F39" s="36">
        <f>_xlfn.XLOOKUP($A39,Inputs!$A:$A,Inputs!F:F,,0)</f>
        <v>4342</v>
      </c>
      <c r="G39" s="36">
        <f>_xlfn.XLOOKUP($A39,Inputs!$A:$A,Inputs!G:G,,0)</f>
        <v>4521</v>
      </c>
      <c r="H39" s="36">
        <f>_xlfn.XLOOKUP($A39,Inputs!$A:$A,Inputs!H:H,,0)</f>
        <v>2209</v>
      </c>
      <c r="I39" s="36">
        <f>_xlfn.XLOOKUP($A39,Inputs!$A:$A,Inputs!I:I,,0)</f>
        <v>2725</v>
      </c>
      <c r="J39" s="36">
        <f>_xlfn.XLOOKUP($A39,Inputs!$A:$A,Inputs!J:J,,0)</f>
        <v>995</v>
      </c>
      <c r="K39" s="36">
        <f>_xlfn.XLOOKUP($A39,Inputs!$A:$A,Inputs!K:K,,0)</f>
        <v>839</v>
      </c>
      <c r="L39" s="36">
        <f>_xlfn.XLOOKUP($A39,Inputs!$A:$A,Inputs!L:L,,0)</f>
        <v>868</v>
      </c>
      <c r="M39" s="37">
        <f>_xlfn.XLOOKUP($A39,Inputs!$A:$A,Inputs!M:M,,0)</f>
        <v>778</v>
      </c>
    </row>
    <row r="40" spans="1:13">
      <c r="A40" s="91" t="s">
        <v>589</v>
      </c>
      <c r="B40" s="36">
        <f>_xlfn.XLOOKUP($A40,Inputs!$A:$A,Inputs!B:B,,0)</f>
        <v>12531</v>
      </c>
      <c r="C40" s="36">
        <f>_xlfn.XLOOKUP($A40,Inputs!$A:$A,Inputs!C:C,,0)</f>
        <v>11193</v>
      </c>
      <c r="D40" s="36">
        <f>_xlfn.XLOOKUP($A40,Inputs!$A:$A,Inputs!D:D,,0)</f>
        <v>8932</v>
      </c>
      <c r="E40" s="36">
        <f>_xlfn.XLOOKUP($A40,Inputs!$A:$A,Inputs!E:E,,0)</f>
        <v>7100</v>
      </c>
      <c r="F40" s="36">
        <f>_xlfn.XLOOKUP($A40,Inputs!$A:$A,Inputs!F:F,,0)</f>
        <v>5712</v>
      </c>
      <c r="G40" s="36">
        <f>_xlfn.XLOOKUP($A40,Inputs!$A:$A,Inputs!G:G,,0)</f>
        <v>4592</v>
      </c>
      <c r="H40" s="36">
        <f>_xlfn.XLOOKUP($A40,Inputs!$A:$A,Inputs!H:H,,0)</f>
        <v>3197</v>
      </c>
      <c r="I40" s="36">
        <f>_xlfn.XLOOKUP($A40,Inputs!$A:$A,Inputs!I:I,,0)</f>
        <v>2496</v>
      </c>
      <c r="J40" s="36">
        <f>_xlfn.XLOOKUP($A40,Inputs!$A:$A,Inputs!J:J,,0)</f>
        <v>1906</v>
      </c>
      <c r="K40" s="36">
        <f>_xlfn.XLOOKUP($A40,Inputs!$A:$A,Inputs!K:K,,0)</f>
        <v>1361</v>
      </c>
      <c r="L40" s="36">
        <f>_xlfn.XLOOKUP($A40,Inputs!$A:$A,Inputs!L:L,,0)</f>
        <v>873</v>
      </c>
      <c r="M40" s="37">
        <f>_xlfn.XLOOKUP($A40,Inputs!$A:$A,Inputs!M:M,,0)</f>
        <v>684</v>
      </c>
    </row>
    <row r="41" spans="1:13">
      <c r="A41" s="93" t="s">
        <v>289</v>
      </c>
      <c r="B41" s="36">
        <f>_xlfn.XLOOKUP($A41,Inputs!$A:$A,Inputs!B:B,,0)</f>
        <v>0</v>
      </c>
      <c r="C41" s="36">
        <f>_xlfn.XLOOKUP($A41,Inputs!$A:$A,Inputs!C:C,,0)</f>
        <v>0</v>
      </c>
      <c r="D41" s="36">
        <f>_xlfn.XLOOKUP($A41,Inputs!$A:$A,Inputs!D:D,,0)</f>
        <v>0</v>
      </c>
      <c r="E41" s="36">
        <f>_xlfn.XLOOKUP($A41,Inputs!$A:$A,Inputs!E:E,,0)</f>
        <v>0</v>
      </c>
      <c r="F41" s="36">
        <f>_xlfn.XLOOKUP($A41,Inputs!$A:$A,Inputs!F:F,,0)</f>
        <v>0</v>
      </c>
      <c r="G41" s="36">
        <f>_xlfn.XLOOKUP($A41,Inputs!$A:$A,Inputs!G:G,,0)</f>
        <v>0</v>
      </c>
      <c r="H41" s="36">
        <f>_xlfn.XLOOKUP($A41,Inputs!$A:$A,Inputs!H:H,,0)</f>
        <v>0</v>
      </c>
      <c r="I41" s="36">
        <f>_xlfn.XLOOKUP($A41,Inputs!$A:$A,Inputs!I:I,,0)</f>
        <v>0</v>
      </c>
      <c r="J41" s="36">
        <f>_xlfn.XLOOKUP($A41,Inputs!$A:$A,Inputs!J:J,,0)</f>
        <v>0</v>
      </c>
      <c r="K41" s="36">
        <f>_xlfn.XLOOKUP($A41,Inputs!$A:$A,Inputs!K:K,,0)</f>
        <v>0</v>
      </c>
      <c r="L41" s="36">
        <f>_xlfn.XLOOKUP($A41,Inputs!$A:$A,Inputs!L:L,,0)</f>
        <v>0</v>
      </c>
      <c r="M41" s="37">
        <f>_xlfn.XLOOKUP($A41,Inputs!$A:$A,Inputs!M:M,,0)</f>
        <v>0</v>
      </c>
    </row>
    <row r="42" spans="1:13">
      <c r="A42" s="91" t="s">
        <v>590</v>
      </c>
      <c r="B42" s="36">
        <f>_xlfn.XLOOKUP($A42,Inputs!$A:$A,Inputs!B:B,,0)</f>
        <v>6592</v>
      </c>
      <c r="C42" s="36">
        <f>_xlfn.XLOOKUP($A42,Inputs!$A:$A,Inputs!C:C,,0)</f>
        <v>5695</v>
      </c>
      <c r="D42" s="36">
        <f>_xlfn.XLOOKUP($A42,Inputs!$A:$A,Inputs!D:D,,0)</f>
        <v>5663</v>
      </c>
      <c r="E42" s="36">
        <f>_xlfn.XLOOKUP($A42,Inputs!$A:$A,Inputs!E:E,,0)</f>
        <v>5415</v>
      </c>
      <c r="F42" s="36">
        <f>_xlfn.XLOOKUP($A42,Inputs!$A:$A,Inputs!F:F,,0)</f>
        <v>2051</v>
      </c>
      <c r="G42" s="36">
        <f>_xlfn.XLOOKUP($A42,Inputs!$A:$A,Inputs!G:G,,0)</f>
        <v>1947</v>
      </c>
      <c r="H42" s="36">
        <f>_xlfn.XLOOKUP($A42,Inputs!$A:$A,Inputs!H:H,,0)</f>
        <v>1788</v>
      </c>
      <c r="I42" s="36">
        <f>_xlfn.XLOOKUP($A42,Inputs!$A:$A,Inputs!I:I,,0)</f>
        <v>1716</v>
      </c>
      <c r="J42" s="36">
        <f>_xlfn.XLOOKUP($A42,Inputs!$A:$A,Inputs!J:J,,0)</f>
        <v>1126</v>
      </c>
      <c r="K42" s="36">
        <f>_xlfn.XLOOKUP($A42,Inputs!$A:$A,Inputs!K:K,,0)</f>
        <v>1241</v>
      </c>
      <c r="L42" s="36">
        <f>_xlfn.XLOOKUP($A42,Inputs!$A:$A,Inputs!L:L,,0)</f>
        <v>605</v>
      </c>
      <c r="M42" s="37">
        <f>_xlfn.XLOOKUP($A42,Inputs!$A:$A,Inputs!M:M,,0)</f>
        <v>528</v>
      </c>
    </row>
    <row r="43" spans="1:13">
      <c r="A43" s="93" t="s">
        <v>591</v>
      </c>
      <c r="B43" s="36">
        <f>_xlfn.XLOOKUP($A43,Inputs!$A:$A,Inputs!B:B,,0)</f>
        <v>15760</v>
      </c>
      <c r="C43" s="36">
        <f>_xlfn.XLOOKUP($A43,Inputs!$A:$A,Inputs!C:C,,0)</f>
        <v>16967</v>
      </c>
      <c r="D43" s="36">
        <f>_xlfn.XLOOKUP($A43,Inputs!$A:$A,Inputs!D:D,,0)</f>
        <v>13422</v>
      </c>
      <c r="E43" s="36">
        <f>_xlfn.XLOOKUP($A43,Inputs!$A:$A,Inputs!E:E,,0)</f>
        <v>9530</v>
      </c>
      <c r="F43" s="36">
        <f>_xlfn.XLOOKUP($A43,Inputs!$A:$A,Inputs!F:F,,0)</f>
        <v>5781</v>
      </c>
      <c r="G43" s="36">
        <f>_xlfn.XLOOKUP($A43,Inputs!$A:$A,Inputs!G:G,,0)</f>
        <v>3610</v>
      </c>
      <c r="H43" s="36">
        <f>_xlfn.XLOOKUP($A43,Inputs!$A:$A,Inputs!H:H,,0)</f>
        <v>3128</v>
      </c>
      <c r="I43" s="36">
        <f>_xlfn.XLOOKUP($A43,Inputs!$A:$A,Inputs!I:I,,0)</f>
        <v>1977</v>
      </c>
      <c r="J43" s="36">
        <f>_xlfn.XLOOKUP($A43,Inputs!$A:$A,Inputs!J:J,,0)</f>
        <v>6638</v>
      </c>
      <c r="K43" s="36">
        <f>_xlfn.XLOOKUP($A43,Inputs!$A:$A,Inputs!K:K,,0)</f>
        <v>2212</v>
      </c>
      <c r="L43" s="36">
        <f>_xlfn.XLOOKUP($A43,Inputs!$A:$A,Inputs!L:L,,0)</f>
        <v>1654</v>
      </c>
      <c r="M43" s="37">
        <f>_xlfn.XLOOKUP($A43,Inputs!$A:$A,Inputs!M:M,,0)</f>
        <v>2174</v>
      </c>
    </row>
    <row r="44" spans="1:13">
      <c r="A44" s="94" t="s">
        <v>50</v>
      </c>
      <c r="B44" s="42">
        <f>_xlfn.XLOOKUP($A44,Inputs!$A:$A,Inputs!B:B,,0)</f>
        <v>98849</v>
      </c>
      <c r="C44" s="42">
        <f>_xlfn.XLOOKUP($A44,Inputs!$A:$A,Inputs!C:C,,0)</f>
        <v>95209</v>
      </c>
      <c r="D44" s="42">
        <f>_xlfn.XLOOKUP($A44,Inputs!$A:$A,Inputs!D:D,,0)</f>
        <v>66301</v>
      </c>
      <c r="E44" s="42">
        <f>_xlfn.XLOOKUP($A44,Inputs!$A:$A,Inputs!E:E,,0)</f>
        <v>55126</v>
      </c>
      <c r="F44" s="42">
        <f>_xlfn.XLOOKUP($A44,Inputs!$A:$A,Inputs!F:F,,0)</f>
        <v>30737</v>
      </c>
      <c r="G44" s="42">
        <f>_xlfn.XLOOKUP($A44,Inputs!$A:$A,Inputs!G:G,,0)</f>
        <v>21984</v>
      </c>
      <c r="H44" s="42">
        <f>_xlfn.XLOOKUP($A44,Inputs!$A:$A,Inputs!H:H,,0)</f>
        <v>17585</v>
      </c>
      <c r="I44" s="42">
        <f>_xlfn.XLOOKUP($A44,Inputs!$A:$A,Inputs!I:I,,0)</f>
        <v>12763</v>
      </c>
      <c r="J44" s="42">
        <f>_xlfn.XLOOKUP($A44,Inputs!$A:$A,Inputs!J:J,,0)</f>
        <v>10665</v>
      </c>
      <c r="K44" s="42">
        <f>_xlfn.XLOOKUP($A44,Inputs!$A:$A,Inputs!K:K,,0)</f>
        <v>9153</v>
      </c>
      <c r="L44" s="42">
        <f>_xlfn.XLOOKUP($A44,Inputs!$A:$A,Inputs!L:L,,0)</f>
        <v>5529</v>
      </c>
      <c r="M44" s="42">
        <f>_xlfn.XLOOKUP($A44,Inputs!$A:$A,Inputs!M:M,,0)</f>
        <v>4164</v>
      </c>
    </row>
    <row r="45" spans="1:13">
      <c r="B45"/>
      <c r="C45"/>
      <c r="D45"/>
      <c r="E45"/>
      <c r="F45"/>
      <c r="G45"/>
      <c r="H45"/>
      <c r="I45"/>
      <c r="J45"/>
      <c r="K45"/>
      <c r="L45"/>
      <c r="M45"/>
    </row>
    <row r="46" spans="1:13">
      <c r="B46"/>
      <c r="C46"/>
      <c r="D46"/>
      <c r="E46"/>
      <c r="F46"/>
      <c r="G46"/>
      <c r="H46"/>
      <c r="I46"/>
      <c r="J46"/>
      <c r="K46"/>
      <c r="L46"/>
      <c r="M46"/>
    </row>
    <row r="47" spans="1:13" ht="20">
      <c r="A47" s="1199" t="s">
        <v>592</v>
      </c>
      <c r="B47" s="1199"/>
      <c r="C47" s="1199"/>
      <c r="D47" s="1199"/>
      <c r="E47" s="1199"/>
      <c r="F47" s="1199"/>
      <c r="G47" s="1199"/>
      <c r="H47" s="1199"/>
      <c r="I47" s="1199"/>
      <c r="J47" s="1199"/>
      <c r="K47" s="1199"/>
      <c r="L47" s="1199"/>
      <c r="M47" s="1199"/>
    </row>
    <row r="48" spans="1:13">
      <c r="A48" s="95" t="s">
        <v>293</v>
      </c>
      <c r="B48" s="42">
        <f>_xlfn.XLOOKUP($A48,Inputs!$A:$A,Inputs!B:B,,0)</f>
        <v>25891</v>
      </c>
      <c r="C48" s="42">
        <f>_xlfn.XLOOKUP($A48,Inputs!$A:$A,Inputs!C:C,,0)</f>
        <v>21788</v>
      </c>
      <c r="D48" s="42">
        <f>_xlfn.XLOOKUP($A48,Inputs!$A:$A,Inputs!D:D,,0)</f>
        <v>17728</v>
      </c>
      <c r="E48" s="42">
        <f>_xlfn.XLOOKUP($A48,Inputs!$A:$A,Inputs!E:E,,0)</f>
        <v>14845</v>
      </c>
      <c r="F48" s="42">
        <f>_xlfn.XLOOKUP($A48,Inputs!$A:$A,Inputs!F:F,,0)</f>
        <v>11255</v>
      </c>
      <c r="G48" s="42">
        <f>_xlfn.XLOOKUP($A48,Inputs!$A:$A,Inputs!G:G,,0)</f>
        <v>10067</v>
      </c>
      <c r="H48" s="42">
        <f>_xlfn.XLOOKUP($A48,Inputs!$A:$A,Inputs!H:H,,0)</f>
        <v>7295</v>
      </c>
      <c r="I48" s="42">
        <f>_xlfn.XLOOKUP($A48,Inputs!$A:$A,Inputs!I:I,,0)</f>
        <v>5617</v>
      </c>
      <c r="J48" s="42">
        <f>_xlfn.XLOOKUP($A48,Inputs!$A:$A,Inputs!J:J,,0)</f>
        <v>4390</v>
      </c>
      <c r="K48" s="42">
        <f>_xlfn.XLOOKUP($A48,Inputs!$A:$A,Inputs!K:K,,0)</f>
        <v>3980</v>
      </c>
      <c r="L48" s="42">
        <f>_xlfn.XLOOKUP($A48,Inputs!$A:$A,Inputs!L:L,,0)</f>
        <v>2918</v>
      </c>
      <c r="M48" s="42">
        <f>_xlfn.XLOOKUP($A48,Inputs!$A:$A,Inputs!M:M,,0)</f>
        <v>2323</v>
      </c>
    </row>
    <row r="49" spans="1:13">
      <c r="A49" s="96" t="s">
        <v>593</v>
      </c>
      <c r="B49" s="36">
        <f>_xlfn.XLOOKUP($A49,Inputs!$A:$A,Inputs!B:B,,0)</f>
        <v>0</v>
      </c>
      <c r="C49" s="36">
        <f>_xlfn.XLOOKUP($A49,Inputs!$A:$A,Inputs!C:C,,0)</f>
        <v>0</v>
      </c>
      <c r="D49" s="36">
        <f>_xlfn.XLOOKUP($A49,Inputs!$A:$A,Inputs!D:D,,0)</f>
        <v>0</v>
      </c>
      <c r="E49" s="36">
        <f>_xlfn.XLOOKUP($A49,Inputs!$A:$A,Inputs!E:E,,0)</f>
        <v>0</v>
      </c>
      <c r="F49" s="36">
        <f>_xlfn.XLOOKUP($A49,Inputs!$A:$A,Inputs!F:F,,0)</f>
        <v>0</v>
      </c>
      <c r="G49" s="36">
        <f>_xlfn.XLOOKUP($A49,Inputs!$A:$A,Inputs!G:G,,0)</f>
        <v>0</v>
      </c>
      <c r="H49" s="36">
        <f>_xlfn.XLOOKUP($A49,Inputs!$A:$A,Inputs!H:H,,0)</f>
        <v>0</v>
      </c>
      <c r="I49" s="36">
        <f>_xlfn.XLOOKUP($A49,Inputs!$A:$A,Inputs!I:I,,0)</f>
        <v>0</v>
      </c>
      <c r="J49" s="36">
        <f>_xlfn.XLOOKUP($A49,Inputs!$A:$A,Inputs!J:J,,0)</f>
        <v>0</v>
      </c>
      <c r="K49" s="36">
        <f>_xlfn.XLOOKUP($A49,Inputs!$A:$A,Inputs!K:K,,0)</f>
        <v>0</v>
      </c>
      <c r="L49" s="36">
        <f>_xlfn.XLOOKUP($A49,Inputs!$A:$A,Inputs!L:L,,0)</f>
        <v>0</v>
      </c>
      <c r="M49" s="36">
        <f>_xlfn.XLOOKUP($A49,Inputs!$A:$A,Inputs!M:M,,0)</f>
        <v>0</v>
      </c>
    </row>
    <row r="50" spans="1:13">
      <c r="A50" s="90" t="s">
        <v>594</v>
      </c>
      <c r="B50" s="36">
        <f>_xlfn.XLOOKUP($A50,Inputs!$A:$A,Inputs!B:B,,0)</f>
        <v>1439</v>
      </c>
      <c r="C50" s="36">
        <f>_xlfn.XLOOKUP($A50,Inputs!$A:$A,Inputs!C:C,,0)</f>
        <v>114</v>
      </c>
      <c r="D50" s="36">
        <f>_xlfn.XLOOKUP($A50,Inputs!$A:$A,Inputs!D:D,,0)</f>
        <v>35</v>
      </c>
      <c r="E50" s="36">
        <f>_xlfn.XLOOKUP($A50,Inputs!$A:$A,Inputs!E:E,,0)</f>
        <v>53</v>
      </c>
      <c r="F50" s="36">
        <f>_xlfn.XLOOKUP($A50,Inputs!$A:$A,Inputs!F:F,,0)</f>
        <v>216</v>
      </c>
      <c r="G50" s="36">
        <f>_xlfn.XLOOKUP($A50,Inputs!$A:$A,Inputs!G:G,,0)</f>
        <v>1025</v>
      </c>
      <c r="H50" s="36">
        <f>_xlfn.XLOOKUP($A50,Inputs!$A:$A,Inputs!H:H,,0)</f>
        <v>102</v>
      </c>
      <c r="I50" s="36">
        <f>_xlfn.XLOOKUP($A50,Inputs!$A:$A,Inputs!I:I,,0)</f>
        <v>15</v>
      </c>
      <c r="J50" s="36">
        <f>_xlfn.XLOOKUP($A50,Inputs!$A:$A,Inputs!J:J,,0)</f>
        <v>0</v>
      </c>
      <c r="K50" s="36">
        <f>_xlfn.XLOOKUP($A50,Inputs!$A:$A,Inputs!K:K,,0)</f>
        <v>572</v>
      </c>
      <c r="L50" s="36">
        <f>_xlfn.XLOOKUP($A50,Inputs!$A:$A,Inputs!L:L,,0)</f>
        <v>521</v>
      </c>
      <c r="M50" s="36">
        <f>_xlfn.XLOOKUP($A50,Inputs!$A:$A,Inputs!M:M,,0)</f>
        <v>496</v>
      </c>
    </row>
    <row r="51" spans="1:13">
      <c r="A51" s="91" t="s">
        <v>595</v>
      </c>
      <c r="B51" s="36">
        <f>_xlfn.XLOOKUP($A51,Inputs!$A:$A,Inputs!B:B,,0)</f>
        <v>24452</v>
      </c>
      <c r="C51" s="36">
        <f>_xlfn.XLOOKUP($A51,Inputs!$A:$A,Inputs!C:C,,0)</f>
        <v>21674</v>
      </c>
      <c r="D51" s="36">
        <f>_xlfn.XLOOKUP($A51,Inputs!$A:$A,Inputs!D:D,,0)</f>
        <v>17693</v>
      </c>
      <c r="E51" s="36">
        <f>_xlfn.XLOOKUP($A51,Inputs!$A:$A,Inputs!E:E,,0)</f>
        <v>14792</v>
      </c>
      <c r="F51" s="36">
        <f>_xlfn.XLOOKUP($A51,Inputs!$A:$A,Inputs!F:F,,0)</f>
        <v>10874</v>
      </c>
      <c r="G51" s="36">
        <f>_xlfn.XLOOKUP($A51,Inputs!$A:$A,Inputs!G:G,,0)</f>
        <v>8966</v>
      </c>
      <c r="H51" s="36">
        <f>_xlfn.XLOOKUP($A51,Inputs!$A:$A,Inputs!H:H,,0)</f>
        <v>7081</v>
      </c>
      <c r="I51" s="36">
        <f>_xlfn.XLOOKUP($A51,Inputs!$A:$A,Inputs!I:I,,0)</f>
        <v>5531</v>
      </c>
      <c r="J51" s="36">
        <f>_xlfn.XLOOKUP($A51,Inputs!$A:$A,Inputs!J:J,,0)</f>
        <v>4294</v>
      </c>
      <c r="K51" s="36">
        <f>_xlfn.XLOOKUP($A51,Inputs!$A:$A,Inputs!K:K,,0)</f>
        <v>3343</v>
      </c>
      <c r="L51" s="36">
        <f>_xlfn.XLOOKUP($A51,Inputs!$A:$A,Inputs!L:L,,0)</f>
        <v>2397</v>
      </c>
      <c r="M51" s="36">
        <f>_xlfn.XLOOKUP($A51,Inputs!$A:$A,Inputs!M:M,,0)</f>
        <v>1794</v>
      </c>
    </row>
    <row r="52" spans="1:13">
      <c r="A52" s="95" t="s">
        <v>596</v>
      </c>
      <c r="B52" s="42">
        <f>_xlfn.XLOOKUP($A52,Inputs!$A:$A,Inputs!B:B,,0)</f>
        <v>14599</v>
      </c>
      <c r="C52" s="42">
        <f>_xlfn.XLOOKUP($A52,Inputs!$A:$A,Inputs!C:C,,0)</f>
        <v>15290</v>
      </c>
      <c r="D52" s="42">
        <f>_xlfn.XLOOKUP($A52,Inputs!$A:$A,Inputs!D:D,,0)</f>
        <v>7080</v>
      </c>
      <c r="E52" s="42">
        <f>_xlfn.XLOOKUP($A52,Inputs!$A:$A,Inputs!E:E,,0)</f>
        <v>6396</v>
      </c>
      <c r="F52" s="42">
        <f>_xlfn.XLOOKUP($A52,Inputs!$A:$A,Inputs!F:F,,0)</f>
        <v>3877</v>
      </c>
      <c r="G52" s="42">
        <f>_xlfn.XLOOKUP($A52,Inputs!$A:$A,Inputs!G:G,,0)</f>
        <v>1541</v>
      </c>
      <c r="H52" s="42">
        <f>_xlfn.XLOOKUP($A52,Inputs!$A:$A,Inputs!H:H,,0)</f>
        <v>2790</v>
      </c>
      <c r="I52" s="42">
        <f>_xlfn.XLOOKUP($A52,Inputs!$A:$A,Inputs!I:I,,0)</f>
        <v>2143</v>
      </c>
      <c r="J52" s="42">
        <f>_xlfn.XLOOKUP($A52,Inputs!$A:$A,Inputs!J:J,,0)</f>
        <v>2300</v>
      </c>
      <c r="K52" s="42">
        <f>_xlfn.XLOOKUP($A52,Inputs!$A:$A,Inputs!K:K,,0)</f>
        <v>2134</v>
      </c>
      <c r="L52" s="42">
        <f>_xlfn.XLOOKUP($A52,Inputs!$A:$A,Inputs!L:L,,0)</f>
        <v>293</v>
      </c>
      <c r="M52" s="42">
        <f>_xlfn.XLOOKUP($A52,Inputs!$A:$A,Inputs!M:M,,0)</f>
        <v>254</v>
      </c>
    </row>
    <row r="53" spans="1:13">
      <c r="A53" s="96" t="s">
        <v>597</v>
      </c>
      <c r="B53" s="36">
        <f>_xlfn.XLOOKUP($A53,Inputs!$A:$A,Inputs!B:B,,0)</f>
        <v>9419</v>
      </c>
      <c r="C53" s="36">
        <f>_xlfn.XLOOKUP($A53,Inputs!$A:$A,Inputs!C:C,,0)</f>
        <v>10592</v>
      </c>
      <c r="D53" s="36">
        <f>_xlfn.XLOOKUP($A53,Inputs!$A:$A,Inputs!D:D,,0)</f>
        <v>2673</v>
      </c>
      <c r="E53" s="36">
        <f>_xlfn.XLOOKUP($A53,Inputs!$A:$A,Inputs!E:E,,0)</f>
        <v>2673</v>
      </c>
      <c r="F53" s="36">
        <f>_xlfn.XLOOKUP($A53,Inputs!$A:$A,Inputs!F:F,,0)</f>
        <v>3173</v>
      </c>
      <c r="G53" s="36">
        <f>_xlfn.XLOOKUP($A53,Inputs!$A:$A,Inputs!G:G,,0)</f>
        <v>695</v>
      </c>
      <c r="H53" s="36">
        <f>_xlfn.XLOOKUP($A53,Inputs!$A:$A,Inputs!H:H,,0)</f>
        <v>2008</v>
      </c>
      <c r="I53" s="36">
        <f>_xlfn.XLOOKUP($A53,Inputs!$A:$A,Inputs!I:I,,0)</f>
        <v>1286</v>
      </c>
      <c r="J53" s="36">
        <f>_xlfn.XLOOKUP($A53,Inputs!$A:$A,Inputs!J:J,,0)</f>
        <v>1371</v>
      </c>
      <c r="K53" s="36">
        <f>_xlfn.XLOOKUP($A53,Inputs!$A:$A,Inputs!K:K,,0)</f>
        <v>1302</v>
      </c>
      <c r="L53" s="36">
        <f>_xlfn.XLOOKUP($A53,Inputs!$A:$A,Inputs!L:L,,0)</f>
        <v>0</v>
      </c>
      <c r="M53" s="36">
        <f>_xlfn.XLOOKUP($A53,Inputs!$A:$A,Inputs!M:M,,0)</f>
        <v>0</v>
      </c>
    </row>
    <row r="54" spans="1:13">
      <c r="A54" s="90" t="s">
        <v>598</v>
      </c>
      <c r="B54" s="36">
        <f>_xlfn.XLOOKUP($A54,Inputs!$A:$A,Inputs!B:B,,0)</f>
        <v>534</v>
      </c>
      <c r="C54" s="36">
        <f>_xlfn.XLOOKUP($A54,Inputs!$A:$A,Inputs!C:C,,0)</f>
        <v>271</v>
      </c>
      <c r="D54" s="36">
        <f>_xlfn.XLOOKUP($A54,Inputs!$A:$A,Inputs!D:D,,0)</f>
        <v>93</v>
      </c>
      <c r="E54" s="36">
        <f>_xlfn.XLOOKUP($A54,Inputs!$A:$A,Inputs!E:E,,0)</f>
        <v>332</v>
      </c>
      <c r="F54" s="36">
        <f>_xlfn.XLOOKUP($A54,Inputs!$A:$A,Inputs!F:F,,0)</f>
        <v>257</v>
      </c>
      <c r="G54" s="36">
        <f>_xlfn.XLOOKUP($A54,Inputs!$A:$A,Inputs!G:G,,0)</f>
        <v>0</v>
      </c>
      <c r="H54" s="36">
        <f>_xlfn.XLOOKUP($A54,Inputs!$A:$A,Inputs!H:H,,0)</f>
        <v>682</v>
      </c>
      <c r="I54" s="36">
        <f>_xlfn.XLOOKUP($A54,Inputs!$A:$A,Inputs!I:I,,0)</f>
        <v>747</v>
      </c>
      <c r="J54" s="36">
        <f>_xlfn.XLOOKUP($A54,Inputs!$A:$A,Inputs!J:J,,0)</f>
        <v>827</v>
      </c>
      <c r="K54" s="36">
        <f>_xlfn.XLOOKUP($A54,Inputs!$A:$A,Inputs!K:K,,0)</f>
        <v>634</v>
      </c>
      <c r="L54" s="36">
        <f>_xlfn.XLOOKUP($A54,Inputs!$A:$A,Inputs!L:L,,0)</f>
        <v>0</v>
      </c>
      <c r="M54" s="36">
        <f>_xlfn.XLOOKUP($A54,Inputs!$A:$A,Inputs!M:M,,0)</f>
        <v>0</v>
      </c>
    </row>
    <row r="55" spans="1:13">
      <c r="A55" s="91" t="s">
        <v>599</v>
      </c>
      <c r="B55" s="36">
        <f>_xlfn.XLOOKUP($A55,Inputs!$A:$A,Inputs!B:B,,0)</f>
        <v>4646</v>
      </c>
      <c r="C55" s="36">
        <f>_xlfn.XLOOKUP($A55,Inputs!$A:$A,Inputs!C:C,,0)</f>
        <v>4427</v>
      </c>
      <c r="D55" s="36">
        <f>_xlfn.XLOOKUP($A55,Inputs!$A:$A,Inputs!D:D,,0)</f>
        <v>4314</v>
      </c>
      <c r="E55" s="36">
        <f>_xlfn.XLOOKUP($A55,Inputs!$A:$A,Inputs!E:E,,0)</f>
        <v>3391</v>
      </c>
      <c r="F55" s="36">
        <f>_xlfn.XLOOKUP($A55,Inputs!$A:$A,Inputs!F:F,,0)</f>
        <v>447</v>
      </c>
      <c r="G55" s="36">
        <f>_xlfn.XLOOKUP($A55,Inputs!$A:$A,Inputs!G:G,,0)</f>
        <v>846</v>
      </c>
      <c r="H55" s="36">
        <f>_xlfn.XLOOKUP($A55,Inputs!$A:$A,Inputs!H:H,,0)</f>
        <v>100</v>
      </c>
      <c r="I55" s="36">
        <f>_xlfn.XLOOKUP($A55,Inputs!$A:$A,Inputs!I:I,,0)</f>
        <v>110</v>
      </c>
      <c r="J55" s="36">
        <f>_xlfn.XLOOKUP($A55,Inputs!$A:$A,Inputs!J:J,,0)</f>
        <v>102</v>
      </c>
      <c r="K55" s="36">
        <f>_xlfn.XLOOKUP($A55,Inputs!$A:$A,Inputs!K:K,,0)</f>
        <v>198</v>
      </c>
      <c r="L55" s="36">
        <f>_xlfn.XLOOKUP($A55,Inputs!$A:$A,Inputs!L:L,,0)</f>
        <v>293</v>
      </c>
      <c r="M55" s="36">
        <f>_xlfn.XLOOKUP($A55,Inputs!$A:$A,Inputs!M:M,,0)</f>
        <v>254</v>
      </c>
    </row>
    <row r="56" spans="1:13">
      <c r="A56" s="95" t="s">
        <v>56</v>
      </c>
      <c r="B56" s="42">
        <f>_xlfn.XLOOKUP($A56,Inputs!$A:$A,Inputs!B:B,,0)</f>
        <v>40490</v>
      </c>
      <c r="C56" s="42">
        <f>_xlfn.XLOOKUP($A56,Inputs!$A:$A,Inputs!C:C,,0)</f>
        <v>37078</v>
      </c>
      <c r="D56" s="42">
        <f>_xlfn.XLOOKUP($A56,Inputs!$A:$A,Inputs!D:D,,0)</f>
        <v>24808</v>
      </c>
      <c r="E56" s="42">
        <f>_xlfn.XLOOKUP($A56,Inputs!$A:$A,Inputs!E:E,,0)</f>
        <v>21241</v>
      </c>
      <c r="F56" s="42">
        <f>_xlfn.XLOOKUP($A56,Inputs!$A:$A,Inputs!F:F,,0)</f>
        <v>15132</v>
      </c>
      <c r="G56" s="42">
        <f>_xlfn.XLOOKUP($A56,Inputs!$A:$A,Inputs!G:G,,0)</f>
        <v>11608</v>
      </c>
      <c r="H56" s="42">
        <f>_xlfn.XLOOKUP($A56,Inputs!$A:$A,Inputs!H:H,,0)</f>
        <v>10085</v>
      </c>
      <c r="I56" s="42">
        <f>_xlfn.XLOOKUP($A56,Inputs!$A:$A,Inputs!I:I,,0)</f>
        <v>7760</v>
      </c>
      <c r="J56" s="42">
        <f>_xlfn.XLOOKUP($A56,Inputs!$A:$A,Inputs!J:J,,0)</f>
        <v>6690</v>
      </c>
      <c r="K56" s="42">
        <f>_xlfn.XLOOKUP($A56,Inputs!$A:$A,Inputs!K:K,,0)</f>
        <v>6114</v>
      </c>
      <c r="L56" s="42">
        <f>_xlfn.XLOOKUP($A56,Inputs!$A:$A,Inputs!L:L,,0)</f>
        <v>3211</v>
      </c>
      <c r="M56" s="42">
        <f>_xlfn.XLOOKUP($A56,Inputs!$A:$A,Inputs!M:M,,0)</f>
        <v>2577</v>
      </c>
    </row>
    <row r="57" spans="1:13">
      <c r="B57"/>
      <c r="C57"/>
      <c r="D57"/>
      <c r="E57"/>
      <c r="F57"/>
      <c r="G57"/>
      <c r="H57"/>
      <c r="I57"/>
      <c r="J57"/>
      <c r="K57"/>
      <c r="L57"/>
      <c r="M57"/>
    </row>
    <row r="58" spans="1:13">
      <c r="A58" s="95" t="s">
        <v>294</v>
      </c>
      <c r="B58" s="42">
        <f>B49+B53+B50+B54</f>
        <v>11392</v>
      </c>
      <c r="C58" s="42">
        <f>C49+C53+C50+C54</f>
        <v>10977</v>
      </c>
      <c r="D58" s="42">
        <f t="shared" ref="D58:M58" si="73">D49+D53+D50+D54</f>
        <v>2801</v>
      </c>
      <c r="E58" s="42">
        <f t="shared" si="73"/>
        <v>3058</v>
      </c>
      <c r="F58" s="42">
        <f t="shared" si="73"/>
        <v>3646</v>
      </c>
      <c r="G58" s="42">
        <f t="shared" si="73"/>
        <v>1720</v>
      </c>
      <c r="H58" s="42">
        <f t="shared" si="73"/>
        <v>2792</v>
      </c>
      <c r="I58" s="42">
        <f t="shared" si="73"/>
        <v>2048</v>
      </c>
      <c r="J58" s="42">
        <f t="shared" si="73"/>
        <v>2198</v>
      </c>
      <c r="K58" s="42">
        <f t="shared" si="73"/>
        <v>2508</v>
      </c>
      <c r="L58" s="42">
        <f t="shared" si="73"/>
        <v>521</v>
      </c>
      <c r="M58" s="42">
        <f t="shared" si="73"/>
        <v>496</v>
      </c>
    </row>
    <row r="59" spans="1:13">
      <c r="A59" s="96" t="s">
        <v>78</v>
      </c>
      <c r="B59" s="38">
        <f>IFERROR(B58/B44,"-")</f>
        <v>0.11524648706613116</v>
      </c>
      <c r="C59" s="38">
        <f t="shared" ref="C59:M59" si="74">IFERROR(C58/C44,"-")</f>
        <v>0.11529372223214192</v>
      </c>
      <c r="D59" s="38">
        <f t="shared" si="74"/>
        <v>4.2246723277175303E-2</v>
      </c>
      <c r="E59" s="38">
        <f t="shared" si="74"/>
        <v>5.547291659108225E-2</v>
      </c>
      <c r="F59" s="38">
        <f t="shared" si="74"/>
        <v>0.11861925366821746</v>
      </c>
      <c r="G59" s="38">
        <f t="shared" si="74"/>
        <v>7.8238719068413398E-2</v>
      </c>
      <c r="H59" s="38">
        <f t="shared" si="74"/>
        <v>0.15877168040943987</v>
      </c>
      <c r="I59" s="38">
        <f t="shared" si="74"/>
        <v>0.16046384078978296</v>
      </c>
      <c r="J59" s="38">
        <f t="shared" si="74"/>
        <v>0.20609470229723395</v>
      </c>
      <c r="K59" s="38">
        <f t="shared" si="74"/>
        <v>0.27400852179613244</v>
      </c>
      <c r="L59" s="38">
        <f t="shared" si="74"/>
        <v>9.4230421414360638E-2</v>
      </c>
      <c r="M59" s="38">
        <f t="shared" si="74"/>
        <v>0.11911623439000961</v>
      </c>
    </row>
    <row r="60" spans="1:13">
      <c r="A60" s="95" t="s">
        <v>600</v>
      </c>
      <c r="B60" s="42">
        <f>B58-B39</f>
        <v>-1116</v>
      </c>
      <c r="C60" s="42">
        <f t="shared" ref="C60:M60" si="75">C58-C39</f>
        <v>440</v>
      </c>
      <c r="D60" s="42">
        <f t="shared" si="75"/>
        <v>-9165</v>
      </c>
      <c r="E60" s="42">
        <f t="shared" si="75"/>
        <v>-4889</v>
      </c>
      <c r="F60" s="42">
        <f t="shared" si="75"/>
        <v>-696</v>
      </c>
      <c r="G60" s="42">
        <f t="shared" si="75"/>
        <v>-2801</v>
      </c>
      <c r="H60" s="42">
        <f t="shared" si="75"/>
        <v>583</v>
      </c>
      <c r="I60" s="42">
        <f t="shared" si="75"/>
        <v>-677</v>
      </c>
      <c r="J60" s="42">
        <f t="shared" si="75"/>
        <v>1203</v>
      </c>
      <c r="K60" s="42">
        <f t="shared" si="75"/>
        <v>1669</v>
      </c>
      <c r="L60" s="42">
        <f t="shared" si="75"/>
        <v>-347</v>
      </c>
      <c r="M60" s="42">
        <f t="shared" si="75"/>
        <v>-282</v>
      </c>
    </row>
    <row r="61" spans="1:13">
      <c r="B61"/>
      <c r="C61"/>
      <c r="D61"/>
      <c r="E61"/>
      <c r="F61"/>
      <c r="G61"/>
      <c r="H61"/>
      <c r="I61"/>
      <c r="J61"/>
      <c r="K61"/>
      <c r="L61"/>
      <c r="M61"/>
    </row>
    <row r="62" spans="1:13" s="30" customFormat="1">
      <c r="A62" s="95" t="s">
        <v>601</v>
      </c>
      <c r="B62" s="42">
        <f>_xlfn.XLOOKUP($A62,Inputs!$A:$A,Inputs!B:B,,0)</f>
        <v>0</v>
      </c>
      <c r="C62" s="42">
        <f>_xlfn.XLOOKUP($A62,Inputs!$A:$A,Inputs!C:C,,0)</f>
        <v>0</v>
      </c>
      <c r="D62" s="42">
        <f>_xlfn.XLOOKUP($A62,Inputs!$A:$A,Inputs!D:D,,0)</f>
        <v>0</v>
      </c>
      <c r="E62" s="42">
        <f>_xlfn.XLOOKUP($A62,Inputs!$A:$A,Inputs!E:E,,0)</f>
        <v>0</v>
      </c>
      <c r="F62" s="42">
        <f>_xlfn.XLOOKUP($A62,Inputs!$A:$A,Inputs!F:F,,0)</f>
        <v>0</v>
      </c>
      <c r="G62" s="42">
        <f>_xlfn.XLOOKUP($A62,Inputs!$A:$A,Inputs!G:G,,0)</f>
        <v>0</v>
      </c>
      <c r="H62" s="42">
        <f>_xlfn.XLOOKUP($A62,Inputs!$A:$A,Inputs!H:H,,0)</f>
        <v>0</v>
      </c>
      <c r="I62" s="42">
        <f>_xlfn.XLOOKUP($A62,Inputs!$A:$A,Inputs!I:I,,0)</f>
        <v>0</v>
      </c>
      <c r="J62" s="42">
        <f>_xlfn.XLOOKUP($A62,Inputs!$A:$A,Inputs!J:J,,0)</f>
        <v>0</v>
      </c>
      <c r="K62" s="42">
        <f>_xlfn.XLOOKUP($A62,Inputs!$A:$A,Inputs!K:K,,0)</f>
        <v>0</v>
      </c>
      <c r="L62" s="42">
        <f>_xlfn.XLOOKUP($A62,Inputs!$A:$A,Inputs!L:L,,0)</f>
        <v>0</v>
      </c>
      <c r="M62" s="42">
        <f>_xlfn.XLOOKUP($A62,Inputs!$A:$A,Inputs!M:M,,0)</f>
        <v>0</v>
      </c>
    </row>
    <row r="63" spans="1:13">
      <c r="B63"/>
      <c r="C63"/>
      <c r="D63"/>
      <c r="E63"/>
      <c r="F63"/>
      <c r="G63"/>
      <c r="H63"/>
      <c r="I63"/>
      <c r="J63"/>
      <c r="K63"/>
      <c r="L63"/>
      <c r="M63"/>
    </row>
    <row r="64" spans="1:13">
      <c r="A64" s="95" t="s">
        <v>602</v>
      </c>
      <c r="B64" s="42">
        <f>_xlfn.XLOOKUP($A64,Inputs!$A:$A,Inputs!B:B,,0)</f>
        <v>58359</v>
      </c>
      <c r="C64" s="42">
        <f>_xlfn.XLOOKUP($A64,Inputs!$A:$A,Inputs!C:C,,0)</f>
        <v>58131</v>
      </c>
      <c r="D64" s="42">
        <f>_xlfn.XLOOKUP($A64,Inputs!$A:$A,Inputs!D:D,,0)</f>
        <v>41493</v>
      </c>
      <c r="E64" s="42">
        <f>_xlfn.XLOOKUP($A64,Inputs!$A:$A,Inputs!E:E,,0)</f>
        <v>33885</v>
      </c>
      <c r="F64" s="42">
        <f>_xlfn.XLOOKUP($A64,Inputs!$A:$A,Inputs!F:F,,0)</f>
        <v>15605</v>
      </c>
      <c r="G64" s="42">
        <f>_xlfn.XLOOKUP($A64,Inputs!$A:$A,Inputs!G:G,,0)</f>
        <v>10376</v>
      </c>
      <c r="H64" s="42">
        <f>_xlfn.XLOOKUP($A64,Inputs!$A:$A,Inputs!H:H,,0)</f>
        <v>7500</v>
      </c>
      <c r="I64" s="42">
        <f>_xlfn.XLOOKUP($A64,Inputs!$A:$A,Inputs!I:I,,0)</f>
        <v>5003</v>
      </c>
      <c r="J64" s="42">
        <f>_xlfn.XLOOKUP($A64,Inputs!$A:$A,Inputs!J:J,,0)</f>
        <v>3975</v>
      </c>
      <c r="K64" s="42">
        <f>_xlfn.XLOOKUP($A64,Inputs!$A:$A,Inputs!K:K,,0)</f>
        <v>3039</v>
      </c>
      <c r="L64" s="42">
        <f>_xlfn.XLOOKUP($A64,Inputs!$A:$A,Inputs!L:L,,0)</f>
        <v>2318</v>
      </c>
      <c r="M64" s="42">
        <f>_xlfn.XLOOKUP($A64,Inputs!$A:$A,Inputs!M:M,,0)</f>
        <v>1587</v>
      </c>
    </row>
    <row r="65" spans="1:235">
      <c r="K65" s="26"/>
      <c r="L65" s="26"/>
      <c r="M65" s="26"/>
    </row>
    <row r="66" spans="1:235" ht="20">
      <c r="A66" s="1199" t="s">
        <v>136</v>
      </c>
      <c r="B66" s="1199"/>
      <c r="C66" s="1199"/>
      <c r="D66" s="1199"/>
      <c r="E66" s="1199"/>
      <c r="F66" s="1199"/>
      <c r="G66" s="1199"/>
      <c r="H66" s="1199"/>
      <c r="I66" s="1199"/>
      <c r="J66" s="1199"/>
      <c r="K66" s="1199"/>
      <c r="L66" s="1199"/>
      <c r="M66" s="1199"/>
    </row>
    <row r="67" spans="1:235">
      <c r="A67" s="95" t="s">
        <v>137</v>
      </c>
      <c r="B67" s="42">
        <f>_xlfn.XLOOKUP($A67,Inputs!$A:$A,Inputs!B:B,,0)</f>
        <v>7111</v>
      </c>
      <c r="C67" s="42">
        <f>_xlfn.XLOOKUP($A67,Inputs!$A:$A,Inputs!C:C,,0)</f>
        <v>6000</v>
      </c>
      <c r="D67" s="42">
        <f>_xlfn.XLOOKUP($A67,Inputs!$A:$A,Inputs!D:D,,0)</f>
        <v>4801</v>
      </c>
      <c r="E67" s="42">
        <f>_xlfn.XLOOKUP($A67,Inputs!$A:$A,Inputs!E:E,,0)</f>
        <v>4331</v>
      </c>
      <c r="F67" s="42">
        <f>_xlfn.XLOOKUP($A67,Inputs!$A:$A,Inputs!F:F,,0)</f>
        <v>3398</v>
      </c>
      <c r="G67" s="42">
        <f>_xlfn.XLOOKUP($A67,Inputs!$A:$A,Inputs!G:G,,0)</f>
        <v>2738</v>
      </c>
      <c r="H67" s="42">
        <f>_xlfn.XLOOKUP($A67,Inputs!$A:$A,Inputs!H:H,,0)</f>
        <v>2162</v>
      </c>
      <c r="I67" s="42">
        <f>_xlfn.XLOOKUP($A67,Inputs!$A:$A,Inputs!I:I,,0)</f>
        <v>1672.1</v>
      </c>
      <c r="J67" s="42">
        <f>_xlfn.XLOOKUP($A67,Inputs!$A:$A,Inputs!J:J,,0)</f>
        <v>1181.4000000000001</v>
      </c>
      <c r="K67" s="42">
        <f>_xlfn.XLOOKUP($A67,Inputs!$A:$A,Inputs!K:K,,0)</f>
        <v>875.5</v>
      </c>
      <c r="L67" s="42">
        <f>_xlfn.XLOOKUP($A67,Inputs!$A:$A,Inputs!L:L,,0)</f>
        <v>736.9</v>
      </c>
      <c r="M67" s="42">
        <f>_xlfn.XLOOKUP($A67,Inputs!$A:$A,Inputs!M:M,,0)</f>
        <v>591.5</v>
      </c>
    </row>
    <row r="68" spans="1:235">
      <c r="A68" s="95" t="s">
        <v>138</v>
      </c>
      <c r="B68" s="42">
        <f>_xlfn.XLOOKUP($A68,Inputs!$A:$A,Inputs!B:B,,0)</f>
        <v>-1989</v>
      </c>
      <c r="C68" s="42">
        <f>_xlfn.XLOOKUP($A68,Inputs!$A:$A,Inputs!C:C,,0)</f>
        <v>-14536</v>
      </c>
      <c r="D68" s="42">
        <f>_xlfn.XLOOKUP($A68,Inputs!$A:$A,Inputs!D:D,,0)</f>
        <v>-3971</v>
      </c>
      <c r="E68" s="42">
        <f>_xlfn.XLOOKUP($A68,Inputs!$A:$A,Inputs!E:E,,0)</f>
        <v>-2980</v>
      </c>
      <c r="F68" s="42">
        <f>_xlfn.XLOOKUP($A68,Inputs!$A:$A,Inputs!F:F,,0)</f>
        <v>-5308</v>
      </c>
      <c r="G68" s="42">
        <f>_xlfn.XLOOKUP($A68,Inputs!$A:$A,Inputs!G:G,,0)</f>
        <v>-2011</v>
      </c>
      <c r="H68" s="42">
        <f>_xlfn.XLOOKUP($A68,Inputs!$A:$A,Inputs!H:H,,0)</f>
        <v>-2684</v>
      </c>
      <c r="I68" s="42">
        <f>_xlfn.XLOOKUP($A68,Inputs!$A:$A,Inputs!I:I,,0)</f>
        <v>-1487.9</v>
      </c>
      <c r="J68" s="42">
        <f>_xlfn.XLOOKUP($A68,Inputs!$A:$A,Inputs!J:J,,0)</f>
        <v>-698.4</v>
      </c>
      <c r="K68" s="42">
        <f>_xlfn.XLOOKUP($A68,Inputs!$A:$A,Inputs!K:K,,0)</f>
        <v>-2431.6</v>
      </c>
      <c r="L68" s="42">
        <f>_xlfn.XLOOKUP($A68,Inputs!$A:$A,Inputs!L:L,,0)</f>
        <v>-938.9</v>
      </c>
      <c r="M68" s="42">
        <f>_xlfn.XLOOKUP($A68,Inputs!$A:$A,Inputs!M:M,,0)</f>
        <v>-489.7</v>
      </c>
    </row>
    <row r="69" spans="1:235">
      <c r="A69" s="91" t="s">
        <v>139</v>
      </c>
      <c r="B69" s="36">
        <f>_xlfn.XLOOKUP($A69,Inputs!$A:$A,Inputs!B:B,,0)</f>
        <v>-798</v>
      </c>
      <c r="C69" s="36">
        <f>_xlfn.XLOOKUP($A69,Inputs!$A:$A,Inputs!C:C,,0)</f>
        <v>-717</v>
      </c>
      <c r="D69" s="36">
        <f>_xlfn.XLOOKUP($A69,Inputs!$A:$A,Inputs!D:D,,0)</f>
        <v>-710</v>
      </c>
      <c r="E69" s="36">
        <f>_xlfn.XLOOKUP($A69,Inputs!$A:$A,Inputs!E:E,,0)</f>
        <v>-643</v>
      </c>
      <c r="F69" s="36">
        <f>_xlfn.XLOOKUP($A69,Inputs!$A:$A,Inputs!F:F,,0)</f>
        <v>-595</v>
      </c>
      <c r="G69" s="36">
        <f>_xlfn.XLOOKUP($A69,Inputs!$A:$A,Inputs!G:G,,0)</f>
        <v>-534</v>
      </c>
      <c r="H69" s="36">
        <f>_xlfn.XLOOKUP($A69,Inputs!$A:$A,Inputs!H:H,,0)</f>
        <v>-464</v>
      </c>
      <c r="I69" s="36">
        <f>_xlfn.XLOOKUP($A69,Inputs!$A:$A,Inputs!I:I,,0)</f>
        <v>-709.9</v>
      </c>
      <c r="J69" s="36">
        <f>_xlfn.XLOOKUP($A69,Inputs!$A:$A,Inputs!J:J,,0)</f>
        <v>-290.5</v>
      </c>
      <c r="K69" s="36">
        <f>_xlfn.XLOOKUP($A69,Inputs!$A:$A,Inputs!K:K,,0)</f>
        <v>-299.10000000000002</v>
      </c>
      <c r="L69" s="36">
        <f>_xlfn.XLOOKUP($A69,Inputs!$A:$A,Inputs!L:L,,0)</f>
        <v>-175.6</v>
      </c>
      <c r="M69" s="36">
        <f>_xlfn.XLOOKUP($A69,Inputs!$A:$A,Inputs!M:M,,0)</f>
        <v>-151.6</v>
      </c>
    </row>
    <row r="70" spans="1:235">
      <c r="A70" s="91" t="s">
        <v>140</v>
      </c>
      <c r="B70" s="36">
        <f>_xlfn.XLOOKUP($A70,Inputs!$A:$A,Inputs!B:B,,0)</f>
        <v>-439</v>
      </c>
      <c r="C70" s="36">
        <f>_xlfn.XLOOKUP($A70,Inputs!$A:$A,Inputs!C:C,,0)</f>
        <v>-14876</v>
      </c>
      <c r="D70" s="36">
        <f>_xlfn.XLOOKUP($A70,Inputs!$A:$A,Inputs!D:D,,0)</f>
        <v>-1281</v>
      </c>
      <c r="E70" s="36">
        <f>_xlfn.XLOOKUP($A70,Inputs!$A:$A,Inputs!E:E,,0)</f>
        <v>-369</v>
      </c>
      <c r="F70" s="36">
        <f>_xlfn.XLOOKUP($A70,Inputs!$A:$A,Inputs!F:F,,0)</f>
        <v>-5115</v>
      </c>
      <c r="G70" s="36">
        <f>_xlfn.XLOOKUP($A70,Inputs!$A:$A,Inputs!G:G,,0)</f>
        <v>-25</v>
      </c>
      <c r="H70" s="36">
        <f>_xlfn.XLOOKUP($A70,Inputs!$A:$A,Inputs!H:H,,0)</f>
        <v>-3193</v>
      </c>
      <c r="I70" s="36">
        <f>_xlfn.XLOOKUP($A70,Inputs!$A:$A,Inputs!I:I,,0)</f>
        <v>-58.7</v>
      </c>
      <c r="J70" s="36">
        <f>_xlfn.XLOOKUP($A70,Inputs!$A:$A,Inputs!J:J,,0)</f>
        <v>0</v>
      </c>
      <c r="K70" s="36">
        <f>_xlfn.XLOOKUP($A70,Inputs!$A:$A,Inputs!K:K,,0)</f>
        <v>-2617.3000000000002</v>
      </c>
      <c r="L70" s="36">
        <f>_xlfn.XLOOKUP($A70,Inputs!$A:$A,Inputs!L:L,,0)</f>
        <v>-579.70000000000005</v>
      </c>
      <c r="M70" s="36">
        <f>_xlfn.XLOOKUP($A70,Inputs!$A:$A,Inputs!M:M,,0)</f>
        <v>-422.7</v>
      </c>
      <c r="IA70" s="26"/>
    </row>
    <row r="71" spans="1:235">
      <c r="A71" s="95" t="s">
        <v>141</v>
      </c>
      <c r="B71" s="42">
        <f>_xlfn.XLOOKUP($A71,Inputs!$A:$A,Inputs!B:B,,0)</f>
        <v>-3562</v>
      </c>
      <c r="C71" s="42">
        <f>_xlfn.XLOOKUP($A71,Inputs!$A:$A,Inputs!C:C,,0)</f>
        <v>7838</v>
      </c>
      <c r="D71" s="42">
        <f>_xlfn.XLOOKUP($A71,Inputs!$A:$A,Inputs!D:D,,0)</f>
        <v>1194</v>
      </c>
      <c r="E71" s="42">
        <f>_xlfn.XLOOKUP($A71,Inputs!$A:$A,Inputs!E:E,,0)</f>
        <v>164</v>
      </c>
      <c r="F71" s="42">
        <f>_xlfn.XLOOKUP($A71,Inputs!$A:$A,Inputs!F:F,,0)</f>
        <v>2010</v>
      </c>
      <c r="G71" s="42">
        <f>_xlfn.XLOOKUP($A71,Inputs!$A:$A,Inputs!G:G,,0)</f>
        <v>221</v>
      </c>
      <c r="H71" s="42">
        <f>_xlfn.XLOOKUP($A71,Inputs!$A:$A,Inputs!H:H,,0)</f>
        <v>998</v>
      </c>
      <c r="I71" s="42">
        <f>_xlfn.XLOOKUP($A71,Inputs!$A:$A,Inputs!I:I,,0)</f>
        <v>73.2</v>
      </c>
      <c r="J71" s="42">
        <f>_xlfn.XLOOKUP($A71,Inputs!$A:$A,Inputs!J:J,,0)</f>
        <v>-318.2</v>
      </c>
      <c r="K71" s="42">
        <f>_xlfn.XLOOKUP($A71,Inputs!$A:$A,Inputs!K:K,,0)</f>
        <v>1598.2</v>
      </c>
      <c r="L71" s="42">
        <f>_xlfn.XLOOKUP($A71,Inputs!$A:$A,Inputs!L:L,,0)</f>
        <v>334.5</v>
      </c>
      <c r="M71" s="42">
        <f>_xlfn.XLOOKUP($A71,Inputs!$A:$A,Inputs!M:M,,0)</f>
        <v>75.900000000000006</v>
      </c>
      <c r="IA71" s="26"/>
    </row>
    <row r="72" spans="1:235">
      <c r="A72" s="91" t="s">
        <v>142</v>
      </c>
      <c r="B72" s="36">
        <f>_xlfn.XLOOKUP($A72,Inputs!$A:$A,Inputs!B:B,,0)</f>
        <v>0</v>
      </c>
      <c r="C72" s="36">
        <f>_xlfn.XLOOKUP($A72,Inputs!$A:$A,Inputs!C:C,,0)</f>
        <v>0</v>
      </c>
      <c r="D72" s="36">
        <f>_xlfn.XLOOKUP($A72,Inputs!$A:$A,Inputs!D:D,,0)</f>
        <v>0</v>
      </c>
      <c r="E72" s="36">
        <f>_xlfn.XLOOKUP($A72,Inputs!$A:$A,Inputs!E:E,,0)</f>
        <v>0</v>
      </c>
      <c r="F72" s="36">
        <f>_xlfn.XLOOKUP($A72,Inputs!$A:$A,Inputs!F:F,,0)</f>
        <v>0</v>
      </c>
      <c r="G72" s="36">
        <f>_xlfn.XLOOKUP($A72,Inputs!$A:$A,Inputs!G:G,,0)</f>
        <v>0</v>
      </c>
      <c r="H72" s="36">
        <f>_xlfn.XLOOKUP($A72,Inputs!$A:$A,Inputs!H:H,,0)</f>
        <v>0</v>
      </c>
      <c r="I72" s="36">
        <f>_xlfn.XLOOKUP($A72,Inputs!$A:$A,Inputs!I:I,,0)</f>
        <v>0</v>
      </c>
      <c r="J72" s="36">
        <f>_xlfn.XLOOKUP($A72,Inputs!$A:$A,Inputs!J:J,,0)</f>
        <v>0</v>
      </c>
      <c r="K72" s="36">
        <f>_xlfn.XLOOKUP($A72,Inputs!$A:$A,Inputs!K:K,,0)</f>
        <v>0</v>
      </c>
      <c r="L72" s="36">
        <f>_xlfn.XLOOKUP($A72,Inputs!$A:$A,Inputs!L:L,,0)</f>
        <v>0</v>
      </c>
      <c r="M72" s="36">
        <f>_xlfn.XLOOKUP($A72,Inputs!$A:$A,Inputs!M:M,,0)</f>
        <v>0</v>
      </c>
      <c r="IA72" s="26"/>
    </row>
    <row r="73" spans="1:235">
      <c r="A73" s="91" t="s">
        <v>584</v>
      </c>
      <c r="B73" s="36">
        <f>_xlfn.XLOOKUP($A73,Inputs!$A:$A,Inputs!B:B,,0)</f>
        <v>-4000</v>
      </c>
      <c r="C73" s="36">
        <f>_xlfn.XLOOKUP($A73,Inputs!$A:$A,Inputs!C:C,,0)</f>
        <v>0</v>
      </c>
      <c r="D73" s="36">
        <f>_xlfn.XLOOKUP($A73,Inputs!$A:$A,Inputs!D:D,,0)</f>
        <v>0</v>
      </c>
      <c r="E73" s="36">
        <f>_xlfn.XLOOKUP($A73,Inputs!$A:$A,Inputs!E:E,,0)</f>
        <v>0</v>
      </c>
      <c r="F73" s="36">
        <f>_xlfn.XLOOKUP($A73,Inputs!$A:$A,Inputs!F:F,,0)</f>
        <v>0</v>
      </c>
      <c r="G73" s="36">
        <f>_xlfn.XLOOKUP($A73,Inputs!$A:$A,Inputs!G:G,,0)</f>
        <v>0</v>
      </c>
      <c r="H73" s="36">
        <f>_xlfn.XLOOKUP($A73,Inputs!$A:$A,Inputs!H:H,,0)</f>
        <v>0</v>
      </c>
      <c r="I73" s="36">
        <f>_xlfn.XLOOKUP($A73,Inputs!$A:$A,Inputs!I:I,,0)</f>
        <v>0</v>
      </c>
      <c r="J73" s="36">
        <f>_xlfn.XLOOKUP($A73,Inputs!$A:$A,Inputs!J:J,,0)</f>
        <v>0</v>
      </c>
      <c r="K73" s="36">
        <f>_xlfn.XLOOKUP($A73,Inputs!$A:$A,Inputs!K:K,,0)</f>
        <v>0</v>
      </c>
      <c r="L73" s="36">
        <f>_xlfn.XLOOKUP($A73,Inputs!$A:$A,Inputs!L:L,,0)</f>
        <v>0</v>
      </c>
      <c r="M73" s="36">
        <f>_xlfn.XLOOKUP($A73,Inputs!$A:$A,Inputs!M:M,,0)</f>
        <v>0</v>
      </c>
    </row>
    <row r="74" spans="1:235">
      <c r="A74" s="95" t="s">
        <v>145</v>
      </c>
      <c r="B74" s="42">
        <f>_xlfn.XLOOKUP($A74,Inputs!$A:$A,Inputs!B:B,,0)</f>
        <v>-8</v>
      </c>
      <c r="C74" s="42">
        <f>_xlfn.XLOOKUP($A74,Inputs!$A:$A,Inputs!C:C,,0)</f>
        <v>-33</v>
      </c>
      <c r="D74" s="42">
        <f>_xlfn.XLOOKUP($A74,Inputs!$A:$A,Inputs!D:D,,0)</f>
        <v>26</v>
      </c>
      <c r="E74" s="42">
        <f>_xlfn.XLOOKUP($A74,Inputs!$A:$A,Inputs!E:E,,0)</f>
        <v>-39</v>
      </c>
      <c r="F74" s="42">
        <f>_xlfn.XLOOKUP($A74,Inputs!$A:$A,Inputs!F:F,,0)</f>
        <v>26</v>
      </c>
      <c r="G74" s="42">
        <f>_xlfn.XLOOKUP($A74,Inputs!$A:$A,Inputs!G:G,,0)</f>
        <v>-12</v>
      </c>
      <c r="H74" s="42">
        <f>_xlfn.XLOOKUP($A74,Inputs!$A:$A,Inputs!H:H,,0)</f>
        <v>-27</v>
      </c>
      <c r="I74" s="42">
        <f>_xlfn.XLOOKUP($A74,Inputs!$A:$A,Inputs!I:I,,0)</f>
        <v>-7.1</v>
      </c>
      <c r="J74" s="42">
        <f>_xlfn.XLOOKUP($A74,Inputs!$A:$A,Inputs!J:J,,0)</f>
        <v>-38.4</v>
      </c>
      <c r="K74" s="42">
        <f>_xlfn.XLOOKUP($A74,Inputs!$A:$A,Inputs!K:K,,0)</f>
        <v>-7.8</v>
      </c>
      <c r="L74" s="42">
        <f>_xlfn.XLOOKUP($A74,Inputs!$A:$A,Inputs!L:L,,0)</f>
        <v>7.4</v>
      </c>
      <c r="M74" s="42">
        <f>_xlfn.XLOOKUP($A74,Inputs!$A:$A,Inputs!M:M,,0)</f>
        <v>5.3</v>
      </c>
    </row>
    <row r="75" spans="1:235">
      <c r="A75" s="95" t="s">
        <v>603</v>
      </c>
      <c r="B75" s="42">
        <f>_xlfn.XLOOKUP($A75,Inputs!$A:$A,Inputs!B:B,,0)</f>
        <v>1552</v>
      </c>
      <c r="C75" s="42">
        <f>_xlfn.XLOOKUP($A75,Inputs!$A:$A,Inputs!C:C,,0)</f>
        <v>-731</v>
      </c>
      <c r="D75" s="42">
        <f>_xlfn.XLOOKUP($A75,Inputs!$A:$A,Inputs!D:D,,0)</f>
        <v>2050</v>
      </c>
      <c r="E75" s="42">
        <f>_xlfn.XLOOKUP($A75,Inputs!$A:$A,Inputs!E:E,,0)</f>
        <v>1476</v>
      </c>
      <c r="F75" s="42">
        <f>_xlfn.XLOOKUP($A75,Inputs!$A:$A,Inputs!F:F,,0)</f>
        <v>126</v>
      </c>
      <c r="G75" s="42">
        <f>_xlfn.XLOOKUP($A75,Inputs!$A:$A,Inputs!G:G,,0)</f>
        <v>936</v>
      </c>
      <c r="H75" s="42">
        <f>_xlfn.XLOOKUP($A75,Inputs!$A:$A,Inputs!H:H,,0)</f>
        <v>449</v>
      </c>
      <c r="I75" s="42">
        <f>_xlfn.XLOOKUP($A75,Inputs!$A:$A,Inputs!I:I,,0)</f>
        <v>250.29999999999981</v>
      </c>
      <c r="J75" s="42">
        <f>_xlfn.XLOOKUP($A75,Inputs!$A:$A,Inputs!J:J,,0)</f>
        <v>126.40000000000012</v>
      </c>
      <c r="K75" s="42">
        <f>_xlfn.XLOOKUP($A75,Inputs!$A:$A,Inputs!K:K,,0)</f>
        <v>34.300000000000139</v>
      </c>
      <c r="L75" s="42">
        <f>_xlfn.XLOOKUP($A75,Inputs!$A:$A,Inputs!L:L,,0)</f>
        <v>139.9</v>
      </c>
      <c r="M75" s="42">
        <f>_xlfn.XLOOKUP($A75,Inputs!$A:$A,Inputs!M:M,,0)</f>
        <v>183.00000000000003</v>
      </c>
    </row>
    <row r="76" spans="1:235">
      <c r="K76" s="26"/>
      <c r="L76" s="26"/>
      <c r="M76" s="26"/>
    </row>
    <row r="77" spans="1:235" ht="20">
      <c r="A77" s="1199" t="s">
        <v>604</v>
      </c>
      <c r="B77" s="1199"/>
      <c r="C77" s="1199"/>
      <c r="D77" s="1199"/>
      <c r="E77" s="1199"/>
      <c r="F77" s="1199"/>
      <c r="G77" s="1199"/>
      <c r="H77" s="1199"/>
      <c r="I77" s="1199"/>
      <c r="J77" s="1199"/>
      <c r="K77" s="1199"/>
      <c r="L77" s="1199"/>
      <c r="M77" s="1199"/>
    </row>
    <row r="78" spans="1:235">
      <c r="A78" s="90" t="s">
        <v>605</v>
      </c>
      <c r="B78" s="36" t="e">
        <f>_xlfn.XLOOKUP($A78,Inputs!$A:$A,Inputs!B:B,,0)</f>
        <v>#N/A</v>
      </c>
      <c r="C78" s="36" t="e">
        <f>_xlfn.XLOOKUP($A78,Inputs!$A:$A,Inputs!C:C,,0)</f>
        <v>#N/A</v>
      </c>
      <c r="D78" s="36" t="e">
        <f>_xlfn.XLOOKUP($A78,Inputs!$A:$A,Inputs!D:D,,0)</f>
        <v>#N/A</v>
      </c>
      <c r="E78" s="36" t="e">
        <f>_xlfn.XLOOKUP($A78,Inputs!$A:$A,Inputs!E:E,,0)</f>
        <v>#N/A</v>
      </c>
      <c r="F78" s="36" t="e">
        <f>_xlfn.XLOOKUP($A78,Inputs!$A:$A,Inputs!F:F,,0)</f>
        <v>#N/A</v>
      </c>
      <c r="G78" s="36" t="e">
        <f>_xlfn.XLOOKUP($A78,Inputs!$A:$A,Inputs!G:G,,0)</f>
        <v>#N/A</v>
      </c>
      <c r="H78" s="36" t="e">
        <f>_xlfn.XLOOKUP($A78,Inputs!$A:$A,Inputs!H:H,,0)</f>
        <v>#N/A</v>
      </c>
      <c r="I78" s="36" t="e">
        <f>_xlfn.XLOOKUP($A78,Inputs!$A:$A,Inputs!I:I,,0)</f>
        <v>#N/A</v>
      </c>
      <c r="J78" s="36" t="e">
        <f>_xlfn.XLOOKUP($A78,Inputs!$A:$A,Inputs!J:J,,0)</f>
        <v>#N/A</v>
      </c>
      <c r="K78" s="36" t="e">
        <f>_xlfn.XLOOKUP($A78,Inputs!$A:$A,Inputs!K:K,,0)</f>
        <v>#N/A</v>
      </c>
      <c r="L78" s="36" t="e">
        <f>_xlfn.XLOOKUP($A78,Inputs!$A:$A,Inputs!L:L,,0)</f>
        <v>#N/A</v>
      </c>
      <c r="M78" s="36" t="e">
        <f>_xlfn.XLOOKUP($A78,Inputs!$A:$A,Inputs!M:M,,0)</f>
        <v>#N/A</v>
      </c>
    </row>
    <row r="79" spans="1:235">
      <c r="A79" s="96" t="s">
        <v>606</v>
      </c>
      <c r="B79" s="36" t="e">
        <f>_xlfn.XLOOKUP($A79,Inputs!$A:$A,Inputs!B:B,,0)</f>
        <v>#N/A</v>
      </c>
      <c r="C79" s="36" t="e">
        <f>_xlfn.XLOOKUP($A79,Inputs!$A:$A,Inputs!C:C,,0)</f>
        <v>#N/A</v>
      </c>
      <c r="D79" s="36" t="e">
        <f>_xlfn.XLOOKUP($A79,Inputs!$A:$A,Inputs!D:D,,0)</f>
        <v>#N/A</v>
      </c>
      <c r="E79" s="36" t="e">
        <f>_xlfn.XLOOKUP($A79,Inputs!$A:$A,Inputs!E:E,,0)</f>
        <v>#N/A</v>
      </c>
      <c r="F79" s="36" t="e">
        <f>_xlfn.XLOOKUP($A79,Inputs!$A:$A,Inputs!F:F,,0)</f>
        <v>#N/A</v>
      </c>
      <c r="G79" s="36" t="e">
        <f>_xlfn.XLOOKUP($A79,Inputs!$A:$A,Inputs!G:G,,0)</f>
        <v>#N/A</v>
      </c>
      <c r="H79" s="36" t="e">
        <f>_xlfn.XLOOKUP($A79,Inputs!$A:$A,Inputs!H:H,,0)</f>
        <v>#N/A</v>
      </c>
      <c r="I79" s="36" t="e">
        <f>_xlfn.XLOOKUP($A79,Inputs!$A:$A,Inputs!I:I,,0)</f>
        <v>#N/A</v>
      </c>
      <c r="J79" s="36" t="e">
        <f>_xlfn.XLOOKUP($A79,Inputs!$A:$A,Inputs!J:J,,0)</f>
        <v>#N/A</v>
      </c>
      <c r="K79" s="36" t="e">
        <f>_xlfn.XLOOKUP($A79,Inputs!$A:$A,Inputs!K:K,,0)</f>
        <v>#N/A</v>
      </c>
      <c r="L79" s="36" t="e">
        <f>_xlfn.XLOOKUP($A79,Inputs!$A:$A,Inputs!L:L,,0)</f>
        <v>#N/A</v>
      </c>
      <c r="M79" s="36" t="e">
        <f>_xlfn.XLOOKUP($A79,Inputs!$A:$A,Inputs!M:M,,0)</f>
        <v>#N/A</v>
      </c>
    </row>
    <row r="80" spans="1:235">
      <c r="A80" s="90" t="s">
        <v>54</v>
      </c>
      <c r="B80" s="36" t="str">
        <f>_xlfn.XLOOKUP($A80,Inputs!$A:$A,Inputs!B:B,,0)</f>
        <v>Yahoo finance</v>
      </c>
      <c r="C80" s="36" t="str">
        <f>_xlfn.XLOOKUP($A80,Inputs!$A:$A,Inputs!C:C,,0)</f>
        <v>Yahoo finance</v>
      </c>
      <c r="D80" s="36">
        <f>_xlfn.XLOOKUP($A80,Inputs!$A:$A,Inputs!D:D,,0)</f>
        <v>0</v>
      </c>
      <c r="E80" s="36">
        <f>_xlfn.XLOOKUP($A80,Inputs!$A:$A,Inputs!E:E,,0)</f>
        <v>0</v>
      </c>
      <c r="F80" s="36">
        <f>_xlfn.XLOOKUP($A80,Inputs!$A:$A,Inputs!F:F,,0)</f>
        <v>0</v>
      </c>
      <c r="G80" s="36">
        <f>_xlfn.XLOOKUP($A80,Inputs!$A:$A,Inputs!G:G,,0)</f>
        <v>0</v>
      </c>
      <c r="H80" s="36">
        <f>_xlfn.XLOOKUP($A80,Inputs!$A:$A,Inputs!H:H,,0)</f>
        <v>0</v>
      </c>
      <c r="I80" s="36">
        <f>_xlfn.XLOOKUP($A80,Inputs!$A:$A,Inputs!I:I,,0)</f>
        <v>0</v>
      </c>
      <c r="J80" s="36">
        <f>_xlfn.XLOOKUP($A80,Inputs!$A:$A,Inputs!J:J,,0)</f>
        <v>0</v>
      </c>
      <c r="K80" s="36">
        <f>_xlfn.XLOOKUP($A80,Inputs!$A:$A,Inputs!K:K,,0)</f>
        <v>0</v>
      </c>
      <c r="L80" s="36">
        <f>_xlfn.XLOOKUP($A80,Inputs!$A:$A,Inputs!L:L,,0)</f>
        <v>0</v>
      </c>
      <c r="M80" s="36">
        <f>_xlfn.XLOOKUP($A80,Inputs!$A:$A,Inputs!M:M,,0)</f>
        <v>0</v>
      </c>
    </row>
    <row r="81" spans="1:13">
      <c r="A81" s="96" t="s">
        <v>58</v>
      </c>
      <c r="B81" s="36" t="str">
        <f>_xlfn.XLOOKUP($A81,Inputs!$A:$A,Inputs!B:B,,0)</f>
        <v>Yahoo finance</v>
      </c>
      <c r="C81" s="36" t="str">
        <f>_xlfn.XLOOKUP($A81,Inputs!$A:$A,Inputs!C:C,,0)</f>
        <v>Yahoo finance</v>
      </c>
      <c r="D81" s="36">
        <f>_xlfn.XLOOKUP($A81,Inputs!$A:$A,Inputs!D:D,,0)</f>
        <v>0</v>
      </c>
      <c r="E81" s="36">
        <f>_xlfn.XLOOKUP($A81,Inputs!$A:$A,Inputs!E:E,,0)</f>
        <v>0</v>
      </c>
      <c r="F81" s="36">
        <f>_xlfn.XLOOKUP($A81,Inputs!$A:$A,Inputs!F:F,,0)</f>
        <v>0</v>
      </c>
      <c r="G81" s="36">
        <f>_xlfn.XLOOKUP($A81,Inputs!$A:$A,Inputs!G:G,,0)</f>
        <v>0</v>
      </c>
      <c r="H81" s="36">
        <f>_xlfn.XLOOKUP($A81,Inputs!$A:$A,Inputs!H:H,,0)</f>
        <v>0</v>
      </c>
      <c r="I81" s="36">
        <f>_xlfn.XLOOKUP($A81,Inputs!$A:$A,Inputs!I:I,,0)</f>
        <v>0</v>
      </c>
      <c r="J81" s="36">
        <f>_xlfn.XLOOKUP($A81,Inputs!$A:$A,Inputs!J:J,,0)</f>
        <v>0</v>
      </c>
      <c r="K81" s="36">
        <f>_xlfn.XLOOKUP($A81,Inputs!$A:$A,Inputs!K:K,,0)</f>
        <v>0</v>
      </c>
      <c r="L81" s="36">
        <f>_xlfn.XLOOKUP($A81,Inputs!$A:$A,Inputs!L:L,,0)</f>
        <v>0</v>
      </c>
      <c r="M81" s="36">
        <f>_xlfn.XLOOKUP($A81,Inputs!$A:$A,Inputs!M:M,,0)</f>
        <v>0</v>
      </c>
    </row>
    <row r="82" spans="1:13">
      <c r="A82" s="90" t="s">
        <v>607</v>
      </c>
      <c r="B82" s="36" t="str">
        <f>_xlfn.XLOOKUP($A82,Inputs!$A:$A,Inputs!B:B,,0)</f>
        <v>10-K</v>
      </c>
      <c r="C82" s="36" t="str">
        <f>_xlfn.XLOOKUP($A82,Inputs!$A:$A,Inputs!C:C,,0)</f>
        <v>10-K</v>
      </c>
      <c r="D82" s="36">
        <f>_xlfn.XLOOKUP($A82,Inputs!$A:$A,Inputs!D:D,,0)</f>
        <v>0</v>
      </c>
      <c r="E82" s="36">
        <f>_xlfn.XLOOKUP($A82,Inputs!$A:$A,Inputs!E:E,,0)</f>
        <v>0</v>
      </c>
      <c r="F82" s="36">
        <f>_xlfn.XLOOKUP($A82,Inputs!$A:$A,Inputs!F:F,,0)</f>
        <v>0</v>
      </c>
      <c r="G82" s="36">
        <f>_xlfn.XLOOKUP($A82,Inputs!$A:$A,Inputs!G:G,,0)</f>
        <v>0</v>
      </c>
      <c r="H82" s="36">
        <f>_xlfn.XLOOKUP($A82,Inputs!$A:$A,Inputs!H:H,,0)</f>
        <v>0</v>
      </c>
      <c r="I82" s="36">
        <f>_xlfn.XLOOKUP($A82,Inputs!$A:$A,Inputs!I:I,,0)</f>
        <v>0</v>
      </c>
      <c r="J82" s="36">
        <f>_xlfn.XLOOKUP($A82,Inputs!$A:$A,Inputs!J:J,,0)</f>
        <v>0</v>
      </c>
      <c r="K82" s="36">
        <f>_xlfn.XLOOKUP($A82,Inputs!$A:$A,Inputs!K:K,,0)</f>
        <v>0</v>
      </c>
      <c r="L82" s="36">
        <f>_xlfn.XLOOKUP($A82,Inputs!$A:$A,Inputs!L:L,,0)</f>
        <v>0</v>
      </c>
      <c r="M82" s="36">
        <f>_xlfn.XLOOKUP($A82,Inputs!$A:$A,Inputs!M:M,,0)</f>
        <v>0</v>
      </c>
    </row>
    <row r="83" spans="1:13">
      <c r="A83" s="90" t="s">
        <v>608</v>
      </c>
      <c r="B83" s="36" t="e">
        <f>_xlfn.XLOOKUP($A83,Inputs!$A:$A,Inputs!B:B,,0)</f>
        <v>#N/A</v>
      </c>
      <c r="C83" s="36" t="e">
        <f>_xlfn.XLOOKUP($A83,Inputs!$A:$A,Inputs!C:C,,0)</f>
        <v>#N/A</v>
      </c>
      <c r="D83" s="36" t="e">
        <f>_xlfn.XLOOKUP($A83,Inputs!$A:$A,Inputs!D:D,,0)</f>
        <v>#N/A</v>
      </c>
      <c r="E83" s="36" t="e">
        <f>_xlfn.XLOOKUP($A83,Inputs!$A:$A,Inputs!E:E,,0)</f>
        <v>#N/A</v>
      </c>
      <c r="F83" s="36" t="e">
        <f>_xlfn.XLOOKUP($A83,Inputs!$A:$A,Inputs!F:F,,0)</f>
        <v>#N/A</v>
      </c>
      <c r="G83" s="36" t="e">
        <f>_xlfn.XLOOKUP($A83,Inputs!$A:$A,Inputs!G:G,,0)</f>
        <v>#N/A</v>
      </c>
      <c r="H83" s="36" t="e">
        <f>_xlfn.XLOOKUP($A83,Inputs!$A:$A,Inputs!H:H,,0)</f>
        <v>#N/A</v>
      </c>
      <c r="I83" s="36" t="e">
        <f>_xlfn.XLOOKUP($A83,Inputs!$A:$A,Inputs!I:I,,0)</f>
        <v>#N/A</v>
      </c>
      <c r="J83" s="36" t="e">
        <f>_xlfn.XLOOKUP($A83,Inputs!$A:$A,Inputs!J:J,,0)</f>
        <v>#N/A</v>
      </c>
      <c r="K83" s="36" t="e">
        <f>_xlfn.XLOOKUP($A83,Inputs!$A:$A,Inputs!K:K,,0)</f>
        <v>#N/A</v>
      </c>
      <c r="L83" s="36" t="e">
        <f>_xlfn.XLOOKUP($A83,Inputs!$A:$A,Inputs!L:L,,0)</f>
        <v>#N/A</v>
      </c>
      <c r="M83" s="36" t="e">
        <f>_xlfn.XLOOKUP($A83,Inputs!$A:$A,Inputs!M:M,,0)</f>
        <v>#N/A</v>
      </c>
    </row>
    <row r="84" spans="1:13">
      <c r="A84" s="96" t="s">
        <v>609</v>
      </c>
      <c r="B84" s="36" t="str">
        <f>_xlfn.XLOOKUP($A84,Inputs!$A:$A,Inputs!B:B,,0)</f>
        <v>Yahoo Finance</v>
      </c>
      <c r="C84" s="36" t="str">
        <f>_xlfn.XLOOKUP($A84,Inputs!$A:$A,Inputs!C:C,,0)</f>
        <v>Yahoo Finance</v>
      </c>
      <c r="D84" s="36">
        <f>_xlfn.XLOOKUP($A84,Inputs!$A:$A,Inputs!D:D,,0)</f>
        <v>0</v>
      </c>
      <c r="E84" s="36">
        <f>_xlfn.XLOOKUP($A84,Inputs!$A:$A,Inputs!E:E,,0)</f>
        <v>0</v>
      </c>
      <c r="F84" s="36">
        <f>_xlfn.XLOOKUP($A84,Inputs!$A:$A,Inputs!F:F,,0)</f>
        <v>0</v>
      </c>
      <c r="G84" s="36">
        <f>_xlfn.XLOOKUP($A84,Inputs!$A:$A,Inputs!G:G,,0)</f>
        <v>0</v>
      </c>
      <c r="H84" s="36">
        <f>_xlfn.XLOOKUP($A84,Inputs!$A:$A,Inputs!H:H,,0)</f>
        <v>0</v>
      </c>
      <c r="I84" s="36">
        <f>_xlfn.XLOOKUP($A84,Inputs!$A:$A,Inputs!I:I,,0)</f>
        <v>0</v>
      </c>
      <c r="J84" s="36">
        <f>_xlfn.XLOOKUP($A84,Inputs!$A:$A,Inputs!J:J,,0)</f>
        <v>0</v>
      </c>
      <c r="K84" s="36">
        <f>_xlfn.XLOOKUP($A84,Inputs!$A:$A,Inputs!K:K,,0)</f>
        <v>0</v>
      </c>
      <c r="L84" s="36">
        <f>_xlfn.XLOOKUP($A84,Inputs!$A:$A,Inputs!L:L,,0)</f>
        <v>0</v>
      </c>
      <c r="M84" s="36">
        <f>_xlfn.XLOOKUP($A84,Inputs!$A:$A,Inputs!M:M,,0)</f>
        <v>0</v>
      </c>
    </row>
    <row r="85" spans="1:13">
      <c r="B85" s="28"/>
      <c r="C85" s="28"/>
      <c r="D85" s="28"/>
      <c r="E85" s="28"/>
      <c r="F85" s="28"/>
      <c r="G85" s="28"/>
      <c r="H85" s="28"/>
      <c r="I85" s="28"/>
      <c r="J85" s="28"/>
      <c r="K85" s="28"/>
      <c r="L85" s="28"/>
      <c r="M85" s="28"/>
    </row>
    <row r="86" spans="1:13">
      <c r="B86" s="27">
        <v>2020</v>
      </c>
      <c r="C86" s="27">
        <v>2021</v>
      </c>
      <c r="D86" s="27">
        <v>2022</v>
      </c>
      <c r="G86" s="27"/>
      <c r="H86" s="28"/>
      <c r="I86" s="28"/>
      <c r="J86" s="28"/>
      <c r="K86" s="28"/>
      <c r="L86" s="28"/>
      <c r="M86" s="28"/>
    </row>
    <row r="87" spans="1:13">
      <c r="A87" s="90" t="s">
        <v>610</v>
      </c>
      <c r="B87" s="40">
        <v>0</v>
      </c>
      <c r="C87" s="40">
        <v>0</v>
      </c>
      <c r="D87" s="41">
        <v>0</v>
      </c>
      <c r="G87" s="28"/>
      <c r="H87" s="28"/>
      <c r="I87" s="28"/>
      <c r="J87" s="28"/>
      <c r="K87" s="28"/>
      <c r="L87" s="28"/>
      <c r="M87" s="28"/>
    </row>
    <row r="88" spans="1:13">
      <c r="A88" s="96" t="s">
        <v>80</v>
      </c>
      <c r="B88" s="40">
        <v>0</v>
      </c>
      <c r="C88" s="40">
        <v>0</v>
      </c>
      <c r="D88" s="41">
        <v>0</v>
      </c>
    </row>
    <row r="90" spans="1:13">
      <c r="A90" s="13" t="s">
        <v>611</v>
      </c>
      <c r="B90" s="27" t="s">
        <v>612</v>
      </c>
      <c r="C90" s="27" t="s">
        <v>613</v>
      </c>
      <c r="D90" s="27" t="s">
        <v>614</v>
      </c>
      <c r="E90" s="27" t="s">
        <v>615</v>
      </c>
      <c r="G90" s="27"/>
    </row>
    <row r="91" spans="1:13">
      <c r="B91" s="43" t="e">
        <f>VLOOKUP($A91,Inputs!$A$5:$M$98,MATCH(B$4,Inputs!$B$5:$M$5,0)+1,FALSE)</f>
        <v>#N/A</v>
      </c>
      <c r="C91" s="43" t="e">
        <f>VLOOKUP($A91,Inputs!$A$5:$M$98,MATCH(C$4,Inputs!$B$5:$M$5,0)+1,FALSE)</f>
        <v>#N/A</v>
      </c>
      <c r="D91" s="43" t="e">
        <f>VLOOKUP($A91,Inputs!$A$5:$M$98,MATCH(D$4,Inputs!$B$5:$M$5,0)+1,FALSE)</f>
        <v>#N/A</v>
      </c>
      <c r="E91" s="43" t="e">
        <f>VLOOKUP($A91,Inputs!$A$5:$M$98,MATCH(E$4,Inputs!$B$5:$M$5,0)+1,FALSE)</f>
        <v>#N/A</v>
      </c>
    </row>
    <row r="92" spans="1:13">
      <c r="B92" s="44"/>
      <c r="C92" s="44"/>
      <c r="D92" s="2"/>
      <c r="E92" s="44"/>
      <c r="F92" s="2"/>
    </row>
    <row r="93" spans="1:13">
      <c r="B93" s="44"/>
      <c r="C93" s="44"/>
      <c r="D93" s="2"/>
      <c r="E93" s="44"/>
      <c r="F93" s="2"/>
    </row>
    <row r="94" spans="1:13">
      <c r="B94" s="44"/>
      <c r="C94" s="44"/>
      <c r="D94" s="2"/>
      <c r="E94" s="44"/>
      <c r="F94" s="2"/>
    </row>
    <row r="95" spans="1:13">
      <c r="B95" s="44"/>
      <c r="C95" s="44"/>
      <c r="D95" s="2"/>
      <c r="E95" s="44"/>
      <c r="F95" s="2"/>
    </row>
    <row r="96" spans="1:13">
      <c r="B96" s="44"/>
      <c r="C96" s="44"/>
      <c r="D96" s="2"/>
      <c r="E96" s="44"/>
      <c r="F96" s="2"/>
    </row>
    <row r="97" spans="2:6">
      <c r="B97" s="44"/>
      <c r="C97" s="44"/>
      <c r="D97" s="2"/>
      <c r="E97" s="44"/>
      <c r="F97" s="2"/>
    </row>
    <row r="98" spans="2:6">
      <c r="B98" s="44"/>
      <c r="C98" s="44"/>
      <c r="D98" s="2"/>
      <c r="E98" s="44"/>
      <c r="F98" s="2"/>
    </row>
    <row r="99" spans="2:6">
      <c r="B99" s="44"/>
      <c r="C99" s="44"/>
      <c r="D99" s="2"/>
      <c r="E99" s="44"/>
      <c r="F99" s="2"/>
    </row>
  </sheetData>
  <mergeCells count="7">
    <mergeCell ref="A77:M77"/>
    <mergeCell ref="A1:M1"/>
    <mergeCell ref="A2:M2"/>
    <mergeCell ref="A3:M3"/>
    <mergeCell ref="A38:M38"/>
    <mergeCell ref="A47:M47"/>
    <mergeCell ref="A66:M66"/>
  </mergeCells>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baseColWidth="10" defaultColWidth="8.83203125" defaultRowHeight="13"/>
  <cols>
    <col min="1" max="9" width="0" hidden="1" customWidth="1"/>
    <col min="11" max="11" width="21.83203125" bestFit="1" customWidth="1"/>
  </cols>
  <sheetData>
    <row r="2" spans="2:27">
      <c r="E2" s="10" t="s">
        <v>616</v>
      </c>
      <c r="F2" s="10" t="s">
        <v>617</v>
      </c>
      <c r="H2" s="10" t="s">
        <v>377</v>
      </c>
      <c r="K2" s="1202" t="s">
        <v>616</v>
      </c>
      <c r="L2" s="1204" t="s">
        <v>618</v>
      </c>
      <c r="M2" s="1205"/>
      <c r="N2" s="1205"/>
      <c r="O2" s="1205"/>
      <c r="P2" s="1206"/>
      <c r="Q2" s="1205" t="s">
        <v>334</v>
      </c>
      <c r="R2" s="1205"/>
      <c r="S2" s="1205"/>
      <c r="T2" s="1205"/>
      <c r="U2" s="1205"/>
      <c r="V2" s="1205"/>
      <c r="W2" s="1205"/>
      <c r="X2" s="1205"/>
      <c r="Y2" s="1205"/>
      <c r="Z2" s="1205"/>
      <c r="AA2" s="1206"/>
    </row>
    <row r="3" spans="2:27">
      <c r="E3" t="s">
        <v>619</v>
      </c>
      <c r="F3" t="s">
        <v>620</v>
      </c>
      <c r="H3" s="10" t="s">
        <v>375</v>
      </c>
      <c r="K3" s="1203"/>
      <c r="L3" s="50" t="s">
        <v>621</v>
      </c>
      <c r="M3" s="67" t="s">
        <v>622</v>
      </c>
      <c r="N3" s="67" t="s">
        <v>623</v>
      </c>
      <c r="O3" s="67" t="s">
        <v>624</v>
      </c>
      <c r="P3" s="68" t="s">
        <v>625</v>
      </c>
      <c r="Q3" s="67" t="s">
        <v>626</v>
      </c>
      <c r="R3" s="67" t="s">
        <v>627</v>
      </c>
      <c r="S3" s="67" t="s">
        <v>343</v>
      </c>
      <c r="T3" s="67" t="s">
        <v>628</v>
      </c>
      <c r="U3" s="67" t="s">
        <v>629</v>
      </c>
      <c r="V3" s="67" t="s">
        <v>630</v>
      </c>
      <c r="W3" s="67" t="s">
        <v>631</v>
      </c>
      <c r="X3" s="67" t="s">
        <v>632</v>
      </c>
      <c r="Y3" s="67" t="s">
        <v>633</v>
      </c>
      <c r="Z3" s="67" t="s">
        <v>634</v>
      </c>
      <c r="AA3" s="68" t="s">
        <v>365</v>
      </c>
    </row>
    <row r="4" spans="2:27">
      <c r="B4" s="51"/>
      <c r="E4" t="s">
        <v>619</v>
      </c>
      <c r="F4" t="s">
        <v>635</v>
      </c>
      <c r="H4" s="10" t="s">
        <v>382</v>
      </c>
      <c r="K4" s="69" t="s">
        <v>619</v>
      </c>
      <c r="L4" s="70" t="s">
        <v>377</v>
      </c>
      <c r="M4" t="s">
        <v>377</v>
      </c>
      <c r="N4" t="s">
        <v>375</v>
      </c>
      <c r="O4" t="s">
        <v>377</v>
      </c>
      <c r="P4" s="71" t="s">
        <v>377</v>
      </c>
      <c r="Q4" t="s">
        <v>375</v>
      </c>
      <c r="R4" t="s">
        <v>375</v>
      </c>
      <c r="S4" t="s">
        <v>377</v>
      </c>
      <c r="T4" t="s">
        <v>377</v>
      </c>
      <c r="U4" t="s">
        <v>382</v>
      </c>
      <c r="V4" t="s">
        <v>377</v>
      </c>
      <c r="W4" t="s">
        <v>377</v>
      </c>
      <c r="X4" t="s">
        <v>377</v>
      </c>
      <c r="Y4" t="s">
        <v>377</v>
      </c>
      <c r="Z4" t="s">
        <v>377</v>
      </c>
      <c r="AA4" s="71" t="s">
        <v>375</v>
      </c>
    </row>
    <row r="5" spans="2:27" ht="14">
      <c r="B5" s="63" t="s">
        <v>310</v>
      </c>
      <c r="E5" t="s">
        <v>619</v>
      </c>
      <c r="F5" t="s">
        <v>636</v>
      </c>
      <c r="H5" s="10" t="s">
        <v>637</v>
      </c>
      <c r="K5" s="69" t="s">
        <v>638</v>
      </c>
      <c r="L5" s="70" t="s">
        <v>377</v>
      </c>
      <c r="M5" t="s">
        <v>377</v>
      </c>
      <c r="N5" t="s">
        <v>375</v>
      </c>
      <c r="O5" t="s">
        <v>375</v>
      </c>
      <c r="P5" s="71" t="s">
        <v>377</v>
      </c>
      <c r="Q5" t="s">
        <v>375</v>
      </c>
      <c r="R5" t="s">
        <v>375</v>
      </c>
      <c r="S5" t="s">
        <v>377</v>
      </c>
      <c r="T5" t="s">
        <v>377</v>
      </c>
      <c r="U5" t="s">
        <v>375</v>
      </c>
      <c r="V5" t="s">
        <v>375</v>
      </c>
      <c r="W5" t="s">
        <v>375</v>
      </c>
      <c r="X5" t="s">
        <v>382</v>
      </c>
      <c r="Y5" t="s">
        <v>377</v>
      </c>
      <c r="Z5" t="s">
        <v>382</v>
      </c>
      <c r="AA5" s="71" t="s">
        <v>377</v>
      </c>
    </row>
    <row r="6" spans="2:27">
      <c r="B6" s="65" t="s">
        <v>639</v>
      </c>
      <c r="E6" t="s">
        <v>619</v>
      </c>
      <c r="F6" t="s">
        <v>640</v>
      </c>
      <c r="K6" s="69" t="s">
        <v>641</v>
      </c>
      <c r="L6" s="70" t="s">
        <v>382</v>
      </c>
      <c r="M6" t="s">
        <v>637</v>
      </c>
      <c r="N6" t="s">
        <v>382</v>
      </c>
      <c r="O6" t="s">
        <v>382</v>
      </c>
      <c r="P6" s="71" t="s">
        <v>382</v>
      </c>
      <c r="Q6" t="s">
        <v>375</v>
      </c>
      <c r="R6" t="s">
        <v>382</v>
      </c>
      <c r="S6" t="s">
        <v>382</v>
      </c>
      <c r="T6" t="s">
        <v>377</v>
      </c>
      <c r="U6" t="s">
        <v>375</v>
      </c>
      <c r="V6" t="s">
        <v>375</v>
      </c>
      <c r="W6" t="s">
        <v>377</v>
      </c>
      <c r="X6" t="s">
        <v>382</v>
      </c>
      <c r="Y6" t="s">
        <v>377</v>
      </c>
      <c r="Z6" t="s">
        <v>637</v>
      </c>
      <c r="AA6" s="71" t="s">
        <v>377</v>
      </c>
    </row>
    <row r="7" spans="2:27">
      <c r="B7" s="65" t="s">
        <v>642</v>
      </c>
      <c r="E7" t="s">
        <v>619</v>
      </c>
      <c r="F7" t="s">
        <v>643</v>
      </c>
      <c r="K7" s="69" t="s">
        <v>623</v>
      </c>
      <c r="L7" s="70" t="s">
        <v>637</v>
      </c>
      <c r="M7" t="s">
        <v>637</v>
      </c>
      <c r="N7" t="s">
        <v>375</v>
      </c>
      <c r="O7" t="s">
        <v>637</v>
      </c>
      <c r="P7" s="71" t="s">
        <v>382</v>
      </c>
      <c r="Q7" t="s">
        <v>382</v>
      </c>
      <c r="R7" t="s">
        <v>375</v>
      </c>
      <c r="S7" t="s">
        <v>375</v>
      </c>
      <c r="T7" t="s">
        <v>375</v>
      </c>
      <c r="U7" t="s">
        <v>375</v>
      </c>
      <c r="V7" t="s">
        <v>382</v>
      </c>
      <c r="W7" t="s">
        <v>375</v>
      </c>
      <c r="X7" t="s">
        <v>375</v>
      </c>
      <c r="Y7" t="s">
        <v>382</v>
      </c>
      <c r="Z7" t="s">
        <v>382</v>
      </c>
      <c r="AA7" s="71" t="s">
        <v>377</v>
      </c>
    </row>
    <row r="8" spans="2:27">
      <c r="B8" s="65"/>
      <c r="K8" s="69" t="s">
        <v>644</v>
      </c>
      <c r="L8" s="70" t="s">
        <v>377</v>
      </c>
      <c r="M8" t="s">
        <v>377</v>
      </c>
      <c r="N8" t="s">
        <v>377</v>
      </c>
      <c r="O8" t="s">
        <v>375</v>
      </c>
      <c r="P8" s="71" t="s">
        <v>375</v>
      </c>
      <c r="Q8" t="s">
        <v>377</v>
      </c>
      <c r="R8" t="s">
        <v>375</v>
      </c>
      <c r="S8" t="s">
        <v>375</v>
      </c>
      <c r="T8" t="s">
        <v>382</v>
      </c>
      <c r="U8" t="s">
        <v>375</v>
      </c>
      <c r="V8" t="s">
        <v>377</v>
      </c>
      <c r="W8" t="s">
        <v>377</v>
      </c>
      <c r="X8" t="s">
        <v>375</v>
      </c>
      <c r="Y8" t="s">
        <v>375</v>
      </c>
      <c r="Z8" t="s">
        <v>382</v>
      </c>
      <c r="AA8" s="71" t="s">
        <v>377</v>
      </c>
    </row>
    <row r="9" spans="2:27">
      <c r="B9" s="65" t="s">
        <v>321</v>
      </c>
      <c r="E9" t="s">
        <v>619</v>
      </c>
      <c r="F9" t="s">
        <v>645</v>
      </c>
      <c r="K9" s="69" t="s">
        <v>646</v>
      </c>
      <c r="L9" s="70" t="s">
        <v>377</v>
      </c>
      <c r="M9" t="s">
        <v>377</v>
      </c>
      <c r="N9" t="s">
        <v>377</v>
      </c>
      <c r="O9" t="s">
        <v>377</v>
      </c>
      <c r="P9" s="71" t="s">
        <v>377</v>
      </c>
      <c r="Q9" t="s">
        <v>377</v>
      </c>
      <c r="R9" t="s">
        <v>377</v>
      </c>
      <c r="S9" t="s">
        <v>375</v>
      </c>
      <c r="T9" t="s">
        <v>382</v>
      </c>
      <c r="U9" t="s">
        <v>375</v>
      </c>
      <c r="V9" t="s">
        <v>377</v>
      </c>
      <c r="W9" t="s">
        <v>377</v>
      </c>
      <c r="X9" t="s">
        <v>377</v>
      </c>
      <c r="Y9" t="s">
        <v>377</v>
      </c>
      <c r="Z9" t="s">
        <v>375</v>
      </c>
      <c r="AA9" s="71" t="s">
        <v>377</v>
      </c>
    </row>
    <row r="10" spans="2:27">
      <c r="B10" s="65"/>
      <c r="K10" s="69" t="s">
        <v>647</v>
      </c>
      <c r="L10" s="70" t="s">
        <v>377</v>
      </c>
      <c r="M10" t="s">
        <v>375</v>
      </c>
      <c r="N10" t="s">
        <v>377</v>
      </c>
      <c r="O10" t="s">
        <v>375</v>
      </c>
      <c r="P10" s="71" t="s">
        <v>382</v>
      </c>
      <c r="Q10" t="s">
        <v>377</v>
      </c>
      <c r="R10" t="s">
        <v>377</v>
      </c>
      <c r="S10" t="s">
        <v>377</v>
      </c>
      <c r="T10" t="s">
        <v>377</v>
      </c>
      <c r="U10" t="s">
        <v>377</v>
      </c>
      <c r="V10" t="s">
        <v>377</v>
      </c>
      <c r="W10" t="s">
        <v>377</v>
      </c>
      <c r="X10" t="s">
        <v>377</v>
      </c>
      <c r="Y10" t="s">
        <v>375</v>
      </c>
      <c r="Z10" t="s">
        <v>377</v>
      </c>
      <c r="AA10" s="71" t="s">
        <v>377</v>
      </c>
    </row>
    <row r="11" spans="2:27">
      <c r="B11" s="65" t="s">
        <v>326</v>
      </c>
      <c r="E11" t="s">
        <v>619</v>
      </c>
      <c r="F11" t="s">
        <v>648</v>
      </c>
      <c r="K11" s="69" t="s">
        <v>649</v>
      </c>
      <c r="L11" s="70" t="s">
        <v>377</v>
      </c>
      <c r="M11" t="s">
        <v>375</v>
      </c>
      <c r="N11" t="s">
        <v>377</v>
      </c>
      <c r="O11" t="s">
        <v>377</v>
      </c>
      <c r="P11" s="71" t="s">
        <v>377</v>
      </c>
      <c r="Q11" t="s">
        <v>377</v>
      </c>
      <c r="R11" t="s">
        <v>377</v>
      </c>
      <c r="S11" t="s">
        <v>375</v>
      </c>
      <c r="T11" t="s">
        <v>377</v>
      </c>
      <c r="U11" t="s">
        <v>382</v>
      </c>
      <c r="V11" t="s">
        <v>377</v>
      </c>
      <c r="W11" t="s">
        <v>377</v>
      </c>
      <c r="X11" t="s">
        <v>377</v>
      </c>
      <c r="Y11" t="s">
        <v>377</v>
      </c>
      <c r="Z11" t="s">
        <v>377</v>
      </c>
      <c r="AA11" s="71" t="s">
        <v>377</v>
      </c>
    </row>
    <row r="12" spans="2:27">
      <c r="B12" s="64" t="s">
        <v>650</v>
      </c>
      <c r="E12" t="s">
        <v>619</v>
      </c>
      <c r="F12" t="s">
        <v>651</v>
      </c>
      <c r="K12" s="69" t="s">
        <v>652</v>
      </c>
      <c r="L12" s="70" t="s">
        <v>637</v>
      </c>
      <c r="M12" t="s">
        <v>637</v>
      </c>
      <c r="N12" t="s">
        <v>637</v>
      </c>
      <c r="O12" t="s">
        <v>382</v>
      </c>
      <c r="P12" s="71" t="s">
        <v>382</v>
      </c>
      <c r="Q12" t="s">
        <v>377</v>
      </c>
      <c r="R12" t="s">
        <v>375</v>
      </c>
      <c r="S12" t="s">
        <v>382</v>
      </c>
      <c r="T12" t="s">
        <v>637</v>
      </c>
      <c r="U12" t="s">
        <v>375</v>
      </c>
      <c r="V12" t="s">
        <v>637</v>
      </c>
      <c r="W12" t="s">
        <v>375</v>
      </c>
      <c r="X12" t="s">
        <v>637</v>
      </c>
      <c r="Y12" t="s">
        <v>637</v>
      </c>
      <c r="Z12" t="s">
        <v>637</v>
      </c>
      <c r="AA12" s="71" t="s">
        <v>382</v>
      </c>
    </row>
    <row r="13" spans="2:27" ht="14">
      <c r="B13" s="63" t="s">
        <v>334</v>
      </c>
      <c r="E13" t="s">
        <v>619</v>
      </c>
      <c r="F13" t="s">
        <v>653</v>
      </c>
      <c r="K13" s="69" t="s">
        <v>297</v>
      </c>
      <c r="L13" s="70" t="s">
        <v>375</v>
      </c>
      <c r="M13" t="s">
        <v>377</v>
      </c>
      <c r="N13" t="s">
        <v>382</v>
      </c>
      <c r="O13" t="s">
        <v>377</v>
      </c>
      <c r="P13" s="71" t="s">
        <v>377</v>
      </c>
      <c r="Q13" t="s">
        <v>377</v>
      </c>
      <c r="R13" t="s">
        <v>377</v>
      </c>
      <c r="S13" t="s">
        <v>377</v>
      </c>
      <c r="T13" t="s">
        <v>377</v>
      </c>
      <c r="U13" t="s">
        <v>382</v>
      </c>
      <c r="V13" t="s">
        <v>377</v>
      </c>
      <c r="W13" t="s">
        <v>377</v>
      </c>
      <c r="X13" t="s">
        <v>377</v>
      </c>
      <c r="Y13" t="s">
        <v>377</v>
      </c>
      <c r="Z13" t="s">
        <v>375</v>
      </c>
      <c r="AA13" s="71" t="s">
        <v>637</v>
      </c>
    </row>
    <row r="14" spans="2:27">
      <c r="B14" s="55" t="s">
        <v>654</v>
      </c>
      <c r="E14" t="s">
        <v>619</v>
      </c>
      <c r="F14" t="s">
        <v>655</v>
      </c>
      <c r="K14" s="69" t="s">
        <v>656</v>
      </c>
      <c r="L14" s="70" t="s">
        <v>637</v>
      </c>
      <c r="M14" t="s">
        <v>637</v>
      </c>
      <c r="N14" t="s">
        <v>637</v>
      </c>
      <c r="O14" t="s">
        <v>637</v>
      </c>
      <c r="P14" s="71" t="s">
        <v>382</v>
      </c>
      <c r="Q14" t="s">
        <v>382</v>
      </c>
      <c r="R14" t="s">
        <v>382</v>
      </c>
      <c r="S14" t="s">
        <v>375</v>
      </c>
      <c r="T14" t="s">
        <v>382</v>
      </c>
      <c r="U14" t="s">
        <v>377</v>
      </c>
      <c r="V14" t="s">
        <v>637</v>
      </c>
      <c r="W14" t="s">
        <v>375</v>
      </c>
      <c r="X14" t="s">
        <v>375</v>
      </c>
      <c r="Y14" t="s">
        <v>637</v>
      </c>
      <c r="Z14" t="s">
        <v>382</v>
      </c>
      <c r="AA14" s="71" t="s">
        <v>375</v>
      </c>
    </row>
    <row r="15" spans="2:27">
      <c r="B15" s="55" t="s">
        <v>657</v>
      </c>
      <c r="E15" t="s">
        <v>638</v>
      </c>
      <c r="F15" t="s">
        <v>658</v>
      </c>
      <c r="K15" s="69" t="s">
        <v>659</v>
      </c>
      <c r="L15" s="70" t="s">
        <v>377</v>
      </c>
      <c r="M15" t="s">
        <v>377</v>
      </c>
      <c r="N15" t="s">
        <v>375</v>
      </c>
      <c r="O15" t="s">
        <v>377</v>
      </c>
      <c r="P15" s="71" t="s">
        <v>377</v>
      </c>
      <c r="Q15" t="s">
        <v>375</v>
      </c>
      <c r="R15" t="s">
        <v>377</v>
      </c>
      <c r="S15" t="s">
        <v>377</v>
      </c>
      <c r="T15" t="s">
        <v>377</v>
      </c>
      <c r="U15" t="s">
        <v>382</v>
      </c>
      <c r="V15" t="s">
        <v>377</v>
      </c>
      <c r="W15" t="s">
        <v>375</v>
      </c>
      <c r="X15" t="s">
        <v>377</v>
      </c>
      <c r="Y15" t="s">
        <v>375</v>
      </c>
      <c r="Z15" t="s">
        <v>377</v>
      </c>
      <c r="AA15" s="71" t="s">
        <v>377</v>
      </c>
    </row>
    <row r="16" spans="2:27">
      <c r="B16" s="58" t="s">
        <v>660</v>
      </c>
      <c r="E16" t="s">
        <v>638</v>
      </c>
      <c r="F16" t="s">
        <v>661</v>
      </c>
      <c r="K16" s="72" t="s">
        <v>662</v>
      </c>
      <c r="L16" s="73" t="s">
        <v>637</v>
      </c>
      <c r="M16" s="74" t="s">
        <v>382</v>
      </c>
      <c r="N16" s="74" t="s">
        <v>382</v>
      </c>
      <c r="O16" s="74" t="s">
        <v>375</v>
      </c>
      <c r="P16" s="75" t="s">
        <v>382</v>
      </c>
      <c r="Q16" s="74" t="s">
        <v>377</v>
      </c>
      <c r="R16" s="74" t="s">
        <v>375</v>
      </c>
      <c r="S16" s="74" t="s">
        <v>375</v>
      </c>
      <c r="T16" s="74" t="s">
        <v>377</v>
      </c>
      <c r="U16" s="74" t="s">
        <v>375</v>
      </c>
      <c r="V16" s="74" t="s">
        <v>375</v>
      </c>
      <c r="W16" s="74" t="s">
        <v>375</v>
      </c>
      <c r="X16" s="74" t="s">
        <v>375</v>
      </c>
      <c r="Y16" s="74" t="s">
        <v>377</v>
      </c>
      <c r="Z16" s="74" t="s">
        <v>375</v>
      </c>
      <c r="AA16" s="75" t="s">
        <v>377</v>
      </c>
    </row>
    <row r="17" spans="2:22">
      <c r="B17" s="58" t="s">
        <v>663</v>
      </c>
      <c r="E17" t="s">
        <v>638</v>
      </c>
      <c r="F17" t="s">
        <v>664</v>
      </c>
    </row>
    <row r="18" spans="2:22" hidden="1">
      <c r="B18" s="55" t="s">
        <v>665</v>
      </c>
      <c r="E18" t="s">
        <v>638</v>
      </c>
      <c r="F18" t="s">
        <v>666</v>
      </c>
    </row>
    <row r="19" spans="2:22" hidden="1">
      <c r="B19" s="55" t="s">
        <v>667</v>
      </c>
      <c r="E19" t="s">
        <v>638</v>
      </c>
      <c r="F19" t="s">
        <v>668</v>
      </c>
      <c r="L19" s="76" t="s">
        <v>619</v>
      </c>
      <c r="M19" s="77" t="s">
        <v>638</v>
      </c>
      <c r="N19" s="77" t="s">
        <v>641</v>
      </c>
      <c r="O19" s="77" t="s">
        <v>623</v>
      </c>
      <c r="P19" s="77" t="s">
        <v>646</v>
      </c>
      <c r="Q19" s="77" t="s">
        <v>649</v>
      </c>
      <c r="R19" s="77" t="s">
        <v>652</v>
      </c>
      <c r="S19" s="77" t="s">
        <v>297</v>
      </c>
      <c r="T19" s="77" t="s">
        <v>656</v>
      </c>
      <c r="U19" s="77" t="s">
        <v>659</v>
      </c>
      <c r="V19" s="78" t="s">
        <v>662</v>
      </c>
    </row>
    <row r="20" spans="2:22" hidden="1">
      <c r="B20" s="55" t="s">
        <v>354</v>
      </c>
      <c r="E20" t="s">
        <v>638</v>
      </c>
      <c r="F20" t="s">
        <v>669</v>
      </c>
      <c r="L20" s="70" t="s">
        <v>620</v>
      </c>
      <c r="M20" t="s">
        <v>658</v>
      </c>
      <c r="N20" t="s">
        <v>670</v>
      </c>
      <c r="O20" t="s">
        <v>671</v>
      </c>
      <c r="P20" t="s">
        <v>672</v>
      </c>
      <c r="Q20" t="s">
        <v>673</v>
      </c>
      <c r="R20" t="s">
        <v>674</v>
      </c>
      <c r="S20" t="s">
        <v>675</v>
      </c>
      <c r="T20" t="s">
        <v>676</v>
      </c>
      <c r="U20" t="s">
        <v>677</v>
      </c>
      <c r="V20" s="71" t="s">
        <v>678</v>
      </c>
    </row>
    <row r="21" spans="2:22" hidden="1">
      <c r="B21" s="55" t="s">
        <v>357</v>
      </c>
      <c r="E21" t="s">
        <v>638</v>
      </c>
      <c r="F21" t="s">
        <v>679</v>
      </c>
      <c r="L21" s="70" t="s">
        <v>635</v>
      </c>
      <c r="M21" t="s">
        <v>661</v>
      </c>
      <c r="N21" t="s">
        <v>680</v>
      </c>
      <c r="O21" t="s">
        <v>681</v>
      </c>
      <c r="P21" t="s">
        <v>682</v>
      </c>
      <c r="Q21" t="s">
        <v>683</v>
      </c>
      <c r="R21" t="s">
        <v>684</v>
      </c>
      <c r="S21" t="s">
        <v>685</v>
      </c>
      <c r="T21" t="s">
        <v>686</v>
      </c>
      <c r="U21" t="s">
        <v>687</v>
      </c>
      <c r="V21" s="71" t="s">
        <v>688</v>
      </c>
    </row>
    <row r="22" spans="2:22" hidden="1">
      <c r="B22" s="55" t="s">
        <v>359</v>
      </c>
      <c r="E22" t="s">
        <v>638</v>
      </c>
      <c r="F22" t="s">
        <v>689</v>
      </c>
      <c r="L22" s="70" t="s">
        <v>636</v>
      </c>
      <c r="M22" t="s">
        <v>664</v>
      </c>
      <c r="N22" t="s">
        <v>690</v>
      </c>
      <c r="O22" t="s">
        <v>691</v>
      </c>
      <c r="P22" t="s">
        <v>692</v>
      </c>
      <c r="Q22" t="s">
        <v>693</v>
      </c>
      <c r="R22" t="s">
        <v>694</v>
      </c>
      <c r="S22" t="s">
        <v>695</v>
      </c>
      <c r="T22" t="s">
        <v>696</v>
      </c>
      <c r="U22" t="s">
        <v>697</v>
      </c>
      <c r="V22" s="71" t="s">
        <v>698</v>
      </c>
    </row>
    <row r="23" spans="2:22" hidden="1">
      <c r="B23" s="55" t="s">
        <v>364</v>
      </c>
      <c r="E23" t="s">
        <v>638</v>
      </c>
      <c r="F23" t="s">
        <v>699</v>
      </c>
      <c r="L23" s="70" t="s">
        <v>640</v>
      </c>
      <c r="M23" t="s">
        <v>666</v>
      </c>
      <c r="N23" t="s">
        <v>700</v>
      </c>
      <c r="O23" t="s">
        <v>701</v>
      </c>
      <c r="P23" t="s">
        <v>702</v>
      </c>
      <c r="Q23" t="s">
        <v>703</v>
      </c>
      <c r="R23" t="s">
        <v>704</v>
      </c>
      <c r="S23" t="s">
        <v>705</v>
      </c>
      <c r="T23" t="s">
        <v>706</v>
      </c>
      <c r="U23" t="s">
        <v>707</v>
      </c>
      <c r="V23" s="71" t="s">
        <v>708</v>
      </c>
    </row>
    <row r="24" spans="2:22" hidden="1">
      <c r="B24" s="57" t="s">
        <v>365</v>
      </c>
      <c r="E24" t="s">
        <v>638</v>
      </c>
      <c r="F24" t="s">
        <v>709</v>
      </c>
      <c r="L24" s="70" t="s">
        <v>643</v>
      </c>
      <c r="M24" t="s">
        <v>668</v>
      </c>
      <c r="N24" t="s">
        <v>710</v>
      </c>
      <c r="O24" t="s">
        <v>711</v>
      </c>
      <c r="P24" t="s">
        <v>712</v>
      </c>
      <c r="Q24" t="s">
        <v>713</v>
      </c>
      <c r="R24" t="s">
        <v>714</v>
      </c>
      <c r="S24" t="s">
        <v>715</v>
      </c>
      <c r="T24" t="s">
        <v>716</v>
      </c>
      <c r="U24" t="s">
        <v>717</v>
      </c>
      <c r="V24" s="71" t="s">
        <v>718</v>
      </c>
    </row>
    <row r="25" spans="2:22" hidden="1">
      <c r="E25" t="s">
        <v>638</v>
      </c>
      <c r="F25" t="s">
        <v>719</v>
      </c>
      <c r="L25" s="70" t="s">
        <v>645</v>
      </c>
      <c r="M25" t="s">
        <v>669</v>
      </c>
      <c r="N25" t="s">
        <v>720</v>
      </c>
      <c r="P25" t="s">
        <v>721</v>
      </c>
      <c r="Q25" t="s">
        <v>722</v>
      </c>
      <c r="R25" t="s">
        <v>723</v>
      </c>
      <c r="S25" t="s">
        <v>724</v>
      </c>
      <c r="T25" t="s">
        <v>725</v>
      </c>
      <c r="U25" t="s">
        <v>726</v>
      </c>
      <c r="V25" s="71"/>
    </row>
    <row r="26" spans="2:22" hidden="1">
      <c r="E26" t="s">
        <v>638</v>
      </c>
      <c r="F26" t="s">
        <v>727</v>
      </c>
      <c r="L26" s="70" t="s">
        <v>648</v>
      </c>
      <c r="M26" t="s">
        <v>679</v>
      </c>
      <c r="N26" t="s">
        <v>728</v>
      </c>
      <c r="P26" t="s">
        <v>729</v>
      </c>
      <c r="Q26" t="s">
        <v>730</v>
      </c>
      <c r="R26" t="s">
        <v>731</v>
      </c>
      <c r="S26" t="s">
        <v>732</v>
      </c>
      <c r="T26" t="s">
        <v>733</v>
      </c>
      <c r="U26" t="s">
        <v>734</v>
      </c>
      <c r="V26" s="71"/>
    </row>
    <row r="27" spans="2:22" hidden="1">
      <c r="E27" t="s">
        <v>638</v>
      </c>
      <c r="F27" t="s">
        <v>735</v>
      </c>
      <c r="L27" s="70" t="s">
        <v>651</v>
      </c>
      <c r="M27" t="s">
        <v>689</v>
      </c>
      <c r="N27" t="s">
        <v>736</v>
      </c>
      <c r="P27" t="s">
        <v>737</v>
      </c>
      <c r="Q27" t="s">
        <v>738</v>
      </c>
      <c r="R27" t="s">
        <v>739</v>
      </c>
      <c r="S27" t="s">
        <v>740</v>
      </c>
      <c r="T27" t="s">
        <v>741</v>
      </c>
      <c r="U27" t="s">
        <v>742</v>
      </c>
      <c r="V27" s="71"/>
    </row>
    <row r="28" spans="2:22" hidden="1">
      <c r="E28" t="s">
        <v>638</v>
      </c>
      <c r="F28" t="s">
        <v>743</v>
      </c>
      <c r="L28" s="70" t="s">
        <v>653</v>
      </c>
      <c r="M28" t="s">
        <v>699</v>
      </c>
      <c r="N28" t="s">
        <v>744</v>
      </c>
      <c r="P28" t="s">
        <v>745</v>
      </c>
      <c r="Q28" t="s">
        <v>746</v>
      </c>
      <c r="R28" t="s">
        <v>747</v>
      </c>
      <c r="S28" t="s">
        <v>748</v>
      </c>
      <c r="T28" t="s">
        <v>749</v>
      </c>
      <c r="V28" s="71"/>
    </row>
    <row r="29" spans="2:22" hidden="1">
      <c r="E29" t="s">
        <v>638</v>
      </c>
      <c r="F29" t="s">
        <v>750</v>
      </c>
      <c r="L29" s="73" t="s">
        <v>655</v>
      </c>
      <c r="M29" s="74" t="s">
        <v>709</v>
      </c>
      <c r="N29" s="74" t="s">
        <v>751</v>
      </c>
      <c r="O29" s="74"/>
      <c r="P29" s="74" t="s">
        <v>752</v>
      </c>
      <c r="Q29" s="74" t="s">
        <v>753</v>
      </c>
      <c r="R29" s="74" t="s">
        <v>754</v>
      </c>
      <c r="S29" s="74" t="s">
        <v>755</v>
      </c>
      <c r="T29" s="74" t="s">
        <v>756</v>
      </c>
      <c r="U29" s="74"/>
      <c r="V29" s="75"/>
    </row>
    <row r="30" spans="2:22" hidden="1">
      <c r="E30" t="s">
        <v>638</v>
      </c>
      <c r="F30" t="s">
        <v>757</v>
      </c>
      <c r="M30" t="s">
        <v>719</v>
      </c>
      <c r="N30" t="s">
        <v>758</v>
      </c>
      <c r="P30" t="s">
        <v>759</v>
      </c>
      <c r="R30" t="s">
        <v>760</v>
      </c>
      <c r="S30" t="s">
        <v>761</v>
      </c>
      <c r="T30" t="s">
        <v>762</v>
      </c>
    </row>
    <row r="31" spans="2:22" hidden="1">
      <c r="E31" t="s">
        <v>638</v>
      </c>
      <c r="F31" t="s">
        <v>763</v>
      </c>
      <c r="M31" t="s">
        <v>727</v>
      </c>
      <c r="N31" t="s">
        <v>764</v>
      </c>
      <c r="P31" t="s">
        <v>765</v>
      </c>
      <c r="R31" t="s">
        <v>766</v>
      </c>
      <c r="S31" t="s">
        <v>767</v>
      </c>
    </row>
    <row r="32" spans="2:22" hidden="1">
      <c r="E32" t="s">
        <v>638</v>
      </c>
      <c r="F32" t="s">
        <v>768</v>
      </c>
      <c r="M32" t="s">
        <v>735</v>
      </c>
      <c r="P32" t="s">
        <v>769</v>
      </c>
      <c r="R32" t="s">
        <v>770</v>
      </c>
      <c r="S32" t="s">
        <v>771</v>
      </c>
    </row>
    <row r="33" spans="5:18" hidden="1">
      <c r="E33" t="s">
        <v>638</v>
      </c>
      <c r="F33" t="s">
        <v>772</v>
      </c>
      <c r="M33" t="s">
        <v>743</v>
      </c>
      <c r="R33" t="s">
        <v>773</v>
      </c>
    </row>
    <row r="34" spans="5:18" hidden="1">
      <c r="E34" t="s">
        <v>638</v>
      </c>
      <c r="F34" t="s">
        <v>774</v>
      </c>
      <c r="M34" t="s">
        <v>750</v>
      </c>
      <c r="R34" t="s">
        <v>775</v>
      </c>
    </row>
    <row r="35" spans="5:18" hidden="1">
      <c r="E35" t="s">
        <v>641</v>
      </c>
      <c r="F35" t="s">
        <v>670</v>
      </c>
      <c r="M35" t="s">
        <v>757</v>
      </c>
      <c r="R35" t="s">
        <v>776</v>
      </c>
    </row>
    <row r="36" spans="5:18" hidden="1">
      <c r="E36" t="s">
        <v>641</v>
      </c>
      <c r="F36" t="s">
        <v>680</v>
      </c>
      <c r="M36" t="s">
        <v>763</v>
      </c>
      <c r="R36" t="s">
        <v>777</v>
      </c>
    </row>
    <row r="37" spans="5:18" hidden="1">
      <c r="E37" t="s">
        <v>641</v>
      </c>
      <c r="F37" t="s">
        <v>690</v>
      </c>
      <c r="M37" t="s">
        <v>768</v>
      </c>
    </row>
    <row r="38" spans="5:18" hidden="1">
      <c r="E38" t="s">
        <v>641</v>
      </c>
      <c r="F38" t="s">
        <v>700</v>
      </c>
      <c r="M38" t="s">
        <v>772</v>
      </c>
    </row>
    <row r="39" spans="5:18" hidden="1">
      <c r="E39" t="s">
        <v>641</v>
      </c>
      <c r="F39" t="s">
        <v>710</v>
      </c>
      <c r="M39" t="s">
        <v>774</v>
      </c>
    </row>
    <row r="40" spans="5:18" hidden="1">
      <c r="E40" t="s">
        <v>641</v>
      </c>
      <c r="F40" t="s">
        <v>720</v>
      </c>
    </row>
    <row r="41" spans="5:18" hidden="1">
      <c r="E41" t="s">
        <v>641</v>
      </c>
      <c r="F41" t="s">
        <v>728</v>
      </c>
    </row>
    <row r="42" spans="5:18">
      <c r="E42" t="s">
        <v>641</v>
      </c>
      <c r="F42" t="s">
        <v>736</v>
      </c>
    </row>
    <row r="43" spans="5:18">
      <c r="E43" t="s">
        <v>641</v>
      </c>
      <c r="F43" t="s">
        <v>744</v>
      </c>
    </row>
    <row r="44" spans="5:18">
      <c r="E44" t="s">
        <v>641</v>
      </c>
      <c r="F44" t="s">
        <v>751</v>
      </c>
    </row>
    <row r="45" spans="5:18">
      <c r="E45" t="s">
        <v>641</v>
      </c>
      <c r="F45" t="s">
        <v>758</v>
      </c>
    </row>
    <row r="46" spans="5:18">
      <c r="E46" t="s">
        <v>641</v>
      </c>
      <c r="F46" t="s">
        <v>764</v>
      </c>
    </row>
    <row r="47" spans="5:18">
      <c r="E47" t="s">
        <v>623</v>
      </c>
      <c r="F47" t="s">
        <v>671</v>
      </c>
    </row>
    <row r="48" spans="5:18">
      <c r="E48" t="s">
        <v>623</v>
      </c>
      <c r="F48" t="s">
        <v>681</v>
      </c>
    </row>
    <row r="49" spans="5:6">
      <c r="E49" t="s">
        <v>623</v>
      </c>
      <c r="F49" t="s">
        <v>691</v>
      </c>
    </row>
    <row r="50" spans="5:6">
      <c r="E50" t="s">
        <v>623</v>
      </c>
      <c r="F50" t="s">
        <v>701</v>
      </c>
    </row>
    <row r="51" spans="5:6">
      <c r="E51" t="s">
        <v>623</v>
      </c>
      <c r="F51" t="s">
        <v>711</v>
      </c>
    </row>
    <row r="52" spans="5:6">
      <c r="E52" t="s">
        <v>646</v>
      </c>
      <c r="F52" t="s">
        <v>672</v>
      </c>
    </row>
    <row r="53" spans="5:6">
      <c r="E53" t="s">
        <v>646</v>
      </c>
      <c r="F53" t="s">
        <v>682</v>
      </c>
    </row>
    <row r="54" spans="5:6">
      <c r="E54" t="s">
        <v>646</v>
      </c>
      <c r="F54" t="s">
        <v>692</v>
      </c>
    </row>
    <row r="55" spans="5:6">
      <c r="E55" t="s">
        <v>646</v>
      </c>
      <c r="F55" t="s">
        <v>702</v>
      </c>
    </row>
    <row r="56" spans="5:6">
      <c r="E56" t="s">
        <v>646</v>
      </c>
      <c r="F56" t="s">
        <v>712</v>
      </c>
    </row>
    <row r="57" spans="5:6">
      <c r="E57" t="s">
        <v>646</v>
      </c>
      <c r="F57" t="s">
        <v>721</v>
      </c>
    </row>
    <row r="58" spans="5:6">
      <c r="E58" t="s">
        <v>646</v>
      </c>
      <c r="F58" t="s">
        <v>729</v>
      </c>
    </row>
    <row r="59" spans="5:6">
      <c r="E59" t="s">
        <v>646</v>
      </c>
      <c r="F59" t="s">
        <v>737</v>
      </c>
    </row>
    <row r="60" spans="5:6">
      <c r="E60" t="s">
        <v>646</v>
      </c>
      <c r="F60" t="s">
        <v>745</v>
      </c>
    </row>
    <row r="61" spans="5:6">
      <c r="E61" t="s">
        <v>646</v>
      </c>
      <c r="F61" t="s">
        <v>752</v>
      </c>
    </row>
    <row r="62" spans="5:6">
      <c r="E62" t="s">
        <v>646</v>
      </c>
      <c r="F62" t="s">
        <v>759</v>
      </c>
    </row>
    <row r="63" spans="5:6">
      <c r="E63" t="s">
        <v>646</v>
      </c>
      <c r="F63" t="s">
        <v>765</v>
      </c>
    </row>
    <row r="64" spans="5:6">
      <c r="E64" t="s">
        <v>646</v>
      </c>
      <c r="F64" t="s">
        <v>769</v>
      </c>
    </row>
    <row r="65" spans="5:6">
      <c r="E65" t="s">
        <v>649</v>
      </c>
      <c r="F65" t="s">
        <v>673</v>
      </c>
    </row>
    <row r="66" spans="5:6">
      <c r="E66" t="s">
        <v>649</v>
      </c>
      <c r="F66" t="s">
        <v>683</v>
      </c>
    </row>
    <row r="67" spans="5:6">
      <c r="E67" t="s">
        <v>649</v>
      </c>
      <c r="F67" t="s">
        <v>693</v>
      </c>
    </row>
    <row r="68" spans="5:6">
      <c r="E68" t="s">
        <v>649</v>
      </c>
      <c r="F68" t="s">
        <v>703</v>
      </c>
    </row>
    <row r="69" spans="5:6">
      <c r="E69" t="s">
        <v>649</v>
      </c>
      <c r="F69" t="s">
        <v>713</v>
      </c>
    </row>
    <row r="70" spans="5:6">
      <c r="E70" t="s">
        <v>649</v>
      </c>
      <c r="F70" t="s">
        <v>722</v>
      </c>
    </row>
    <row r="71" spans="5:6">
      <c r="E71" t="s">
        <v>649</v>
      </c>
      <c r="F71" t="s">
        <v>730</v>
      </c>
    </row>
    <row r="72" spans="5:6">
      <c r="E72" t="s">
        <v>649</v>
      </c>
      <c r="F72" t="s">
        <v>738</v>
      </c>
    </row>
    <row r="73" spans="5:6">
      <c r="E73" t="s">
        <v>649</v>
      </c>
      <c r="F73" t="s">
        <v>746</v>
      </c>
    </row>
    <row r="74" spans="5:6">
      <c r="E74" t="s">
        <v>649</v>
      </c>
      <c r="F74" t="s">
        <v>753</v>
      </c>
    </row>
    <row r="75" spans="5:6">
      <c r="E75" t="s">
        <v>652</v>
      </c>
      <c r="F75" t="s">
        <v>674</v>
      </c>
    </row>
    <row r="76" spans="5:6">
      <c r="E76" t="s">
        <v>652</v>
      </c>
      <c r="F76" t="s">
        <v>684</v>
      </c>
    </row>
    <row r="77" spans="5:6">
      <c r="E77" t="s">
        <v>652</v>
      </c>
      <c r="F77" t="s">
        <v>694</v>
      </c>
    </row>
    <row r="78" spans="5:6">
      <c r="E78" t="s">
        <v>652</v>
      </c>
      <c r="F78" t="s">
        <v>704</v>
      </c>
    </row>
    <row r="79" spans="5:6">
      <c r="E79" t="s">
        <v>652</v>
      </c>
      <c r="F79" t="s">
        <v>714</v>
      </c>
    </row>
    <row r="80" spans="5:6">
      <c r="E80" t="s">
        <v>652</v>
      </c>
      <c r="F80" t="s">
        <v>723</v>
      </c>
    </row>
    <row r="81" spans="5:6">
      <c r="E81" t="s">
        <v>652</v>
      </c>
      <c r="F81" t="s">
        <v>731</v>
      </c>
    </row>
    <row r="82" spans="5:6">
      <c r="E82" t="s">
        <v>652</v>
      </c>
      <c r="F82" t="s">
        <v>739</v>
      </c>
    </row>
    <row r="83" spans="5:6">
      <c r="E83" t="s">
        <v>652</v>
      </c>
      <c r="F83" t="s">
        <v>747</v>
      </c>
    </row>
    <row r="84" spans="5:6">
      <c r="E84" t="s">
        <v>652</v>
      </c>
      <c r="F84" t="s">
        <v>754</v>
      </c>
    </row>
    <row r="85" spans="5:6">
      <c r="E85" t="s">
        <v>652</v>
      </c>
      <c r="F85" t="s">
        <v>760</v>
      </c>
    </row>
    <row r="86" spans="5:6">
      <c r="E86" t="s">
        <v>652</v>
      </c>
      <c r="F86" t="s">
        <v>766</v>
      </c>
    </row>
    <row r="87" spans="5:6">
      <c r="E87" t="s">
        <v>652</v>
      </c>
      <c r="F87" t="s">
        <v>770</v>
      </c>
    </row>
    <row r="88" spans="5:6">
      <c r="E88" t="s">
        <v>652</v>
      </c>
      <c r="F88" t="s">
        <v>773</v>
      </c>
    </row>
    <row r="89" spans="5:6">
      <c r="E89" t="s">
        <v>652</v>
      </c>
      <c r="F89" t="s">
        <v>775</v>
      </c>
    </row>
    <row r="90" spans="5:6">
      <c r="E90" t="s">
        <v>652</v>
      </c>
      <c r="F90" t="s">
        <v>776</v>
      </c>
    </row>
    <row r="91" spans="5:6">
      <c r="E91" t="s">
        <v>652</v>
      </c>
      <c r="F91" t="s">
        <v>777</v>
      </c>
    </row>
    <row r="92" spans="5:6">
      <c r="E92" t="s">
        <v>297</v>
      </c>
      <c r="F92" t="s">
        <v>675</v>
      </c>
    </row>
    <row r="93" spans="5:6">
      <c r="E93" t="s">
        <v>297</v>
      </c>
      <c r="F93" t="s">
        <v>685</v>
      </c>
    </row>
    <row r="94" spans="5:6">
      <c r="E94" t="s">
        <v>297</v>
      </c>
      <c r="F94" t="s">
        <v>695</v>
      </c>
    </row>
    <row r="95" spans="5:6">
      <c r="E95" t="s">
        <v>297</v>
      </c>
      <c r="F95" t="s">
        <v>705</v>
      </c>
    </row>
    <row r="96" spans="5:6">
      <c r="E96" t="s">
        <v>297</v>
      </c>
      <c r="F96" t="s">
        <v>715</v>
      </c>
    </row>
    <row r="97" spans="5:6">
      <c r="E97" t="s">
        <v>297</v>
      </c>
      <c r="F97" t="s">
        <v>724</v>
      </c>
    </row>
    <row r="98" spans="5:6">
      <c r="E98" t="s">
        <v>297</v>
      </c>
      <c r="F98" t="s">
        <v>732</v>
      </c>
    </row>
    <row r="99" spans="5:6">
      <c r="E99" t="s">
        <v>297</v>
      </c>
      <c r="F99" t="s">
        <v>740</v>
      </c>
    </row>
    <row r="100" spans="5:6">
      <c r="E100" t="s">
        <v>297</v>
      </c>
      <c r="F100" t="s">
        <v>748</v>
      </c>
    </row>
    <row r="101" spans="5:6">
      <c r="E101" t="s">
        <v>297</v>
      </c>
      <c r="F101" t="s">
        <v>755</v>
      </c>
    </row>
    <row r="102" spans="5:6">
      <c r="E102" t="s">
        <v>297</v>
      </c>
      <c r="F102" t="s">
        <v>761</v>
      </c>
    </row>
    <row r="103" spans="5:6">
      <c r="E103" t="s">
        <v>297</v>
      </c>
      <c r="F103" t="s">
        <v>767</v>
      </c>
    </row>
    <row r="104" spans="5:6">
      <c r="E104" t="s">
        <v>297</v>
      </c>
      <c r="F104" t="s">
        <v>771</v>
      </c>
    </row>
    <row r="105" spans="5:6">
      <c r="E105" t="s">
        <v>656</v>
      </c>
      <c r="F105" t="s">
        <v>676</v>
      </c>
    </row>
    <row r="106" spans="5:6">
      <c r="E106" t="s">
        <v>656</v>
      </c>
      <c r="F106" t="s">
        <v>686</v>
      </c>
    </row>
    <row r="107" spans="5:6">
      <c r="E107" t="s">
        <v>656</v>
      </c>
      <c r="F107" t="s">
        <v>696</v>
      </c>
    </row>
    <row r="108" spans="5:6">
      <c r="E108" t="s">
        <v>656</v>
      </c>
      <c r="F108" t="s">
        <v>706</v>
      </c>
    </row>
    <row r="109" spans="5:6">
      <c r="E109" t="s">
        <v>656</v>
      </c>
      <c r="F109" t="s">
        <v>716</v>
      </c>
    </row>
    <row r="110" spans="5:6">
      <c r="E110" t="s">
        <v>656</v>
      </c>
      <c r="F110" t="s">
        <v>725</v>
      </c>
    </row>
    <row r="111" spans="5:6">
      <c r="E111" t="s">
        <v>656</v>
      </c>
      <c r="F111" t="s">
        <v>733</v>
      </c>
    </row>
    <row r="112" spans="5:6">
      <c r="E112" t="s">
        <v>656</v>
      </c>
      <c r="F112" t="s">
        <v>741</v>
      </c>
    </row>
    <row r="113" spans="5:6">
      <c r="E113" t="s">
        <v>656</v>
      </c>
      <c r="F113" t="s">
        <v>749</v>
      </c>
    </row>
    <row r="114" spans="5:6">
      <c r="E114" t="s">
        <v>656</v>
      </c>
      <c r="F114" t="s">
        <v>756</v>
      </c>
    </row>
    <row r="115" spans="5:6">
      <c r="E115" t="s">
        <v>656</v>
      </c>
      <c r="F115" t="s">
        <v>762</v>
      </c>
    </row>
    <row r="116" spans="5:6">
      <c r="E116" t="s">
        <v>659</v>
      </c>
      <c r="F116" t="s">
        <v>677</v>
      </c>
    </row>
    <row r="117" spans="5:6">
      <c r="E117" t="s">
        <v>659</v>
      </c>
      <c r="F117" t="s">
        <v>687</v>
      </c>
    </row>
    <row r="118" spans="5:6">
      <c r="E118" t="s">
        <v>659</v>
      </c>
      <c r="F118" t="s">
        <v>697</v>
      </c>
    </row>
    <row r="119" spans="5:6">
      <c r="E119" t="s">
        <v>659</v>
      </c>
      <c r="F119" t="s">
        <v>707</v>
      </c>
    </row>
    <row r="120" spans="5:6">
      <c r="E120" t="s">
        <v>659</v>
      </c>
      <c r="F120" t="s">
        <v>717</v>
      </c>
    </row>
    <row r="121" spans="5:6">
      <c r="E121" t="s">
        <v>659</v>
      </c>
      <c r="F121" t="s">
        <v>726</v>
      </c>
    </row>
    <row r="122" spans="5:6">
      <c r="E122" t="s">
        <v>659</v>
      </c>
      <c r="F122" t="s">
        <v>734</v>
      </c>
    </row>
    <row r="123" spans="5:6">
      <c r="E123" t="s">
        <v>659</v>
      </c>
      <c r="F123" t="s">
        <v>742</v>
      </c>
    </row>
    <row r="124" spans="5:6">
      <c r="E124" t="s">
        <v>662</v>
      </c>
      <c r="F124" t="s">
        <v>678</v>
      </c>
    </row>
    <row r="125" spans="5:6">
      <c r="E125" t="s">
        <v>662</v>
      </c>
      <c r="F125" t="s">
        <v>688</v>
      </c>
    </row>
    <row r="126" spans="5:6">
      <c r="E126" t="s">
        <v>662</v>
      </c>
      <c r="F126" t="s">
        <v>698</v>
      </c>
    </row>
    <row r="127" spans="5:6">
      <c r="E127" t="s">
        <v>662</v>
      </c>
      <c r="F127" t="s">
        <v>708</v>
      </c>
    </row>
    <row r="128" spans="5:6">
      <c r="E128" t="s">
        <v>662</v>
      </c>
      <c r="F128" t="s">
        <v>718</v>
      </c>
    </row>
  </sheetData>
  <mergeCells count="3">
    <mergeCell ref="K2:K3"/>
    <mergeCell ref="L2:P2"/>
    <mergeCell ref="Q2:AA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1:EV100"/>
  <sheetViews>
    <sheetView zoomScale="110" zoomScaleNormal="110" workbookViewId="0">
      <pane xSplit="1" topLeftCell="B1" activePane="topRight" state="frozen"/>
      <selection pane="topRight" activeCell="D79" sqref="D79"/>
    </sheetView>
  </sheetViews>
  <sheetFormatPr baseColWidth="10" defaultColWidth="10.5" defaultRowHeight="14"/>
  <cols>
    <col min="1" max="1" width="32.6640625" style="667" bestFit="1" customWidth="1"/>
    <col min="2" max="5" width="13.5" style="667" customWidth="1"/>
    <col min="6" max="6" width="13.1640625" style="667" customWidth="1"/>
    <col min="7" max="9" width="13.83203125" style="667" customWidth="1"/>
    <col min="10" max="10" width="14.1640625" style="667" customWidth="1"/>
    <col min="11" max="11" width="15.1640625" style="670" customWidth="1"/>
    <col min="12" max="12" width="17" style="670" customWidth="1"/>
    <col min="13" max="13" width="14.1640625" style="667" customWidth="1"/>
    <col min="14" max="14" width="21.5" style="667" bestFit="1" customWidth="1"/>
    <col min="15" max="15" width="32.1640625" style="667" customWidth="1"/>
    <col min="16" max="16" width="11.5" style="667" customWidth="1"/>
    <col min="17" max="23" width="0" style="667" hidden="1" customWidth="1"/>
    <col min="24" max="24" width="15.5" style="667" bestFit="1" customWidth="1"/>
    <col min="25" max="25" width="17.5" style="667" bestFit="1" customWidth="1"/>
    <col min="26" max="33" width="0" style="667" hidden="1" customWidth="1"/>
    <col min="34" max="16384" width="10.5" style="667"/>
  </cols>
  <sheetData>
    <row r="1" spans="1:33">
      <c r="B1" s="668"/>
      <c r="C1" s="668"/>
      <c r="D1" s="668"/>
      <c r="E1" s="668"/>
      <c r="F1" s="668"/>
      <c r="G1" s="668"/>
      <c r="H1" s="668"/>
      <c r="I1" s="668"/>
      <c r="J1" s="668"/>
      <c r="K1" s="668"/>
      <c r="L1" s="668"/>
      <c r="M1" s="668"/>
      <c r="N1" s="613"/>
      <c r="O1" s="613"/>
    </row>
    <row r="2" spans="1:33">
      <c r="G2" s="1209" t="s">
        <v>778</v>
      </c>
      <c r="H2" s="1209"/>
      <c r="I2" s="1209"/>
      <c r="J2" s="1209"/>
      <c r="K2" s="669"/>
      <c r="L2" s="669"/>
      <c r="M2" s="669"/>
      <c r="N2" s="669"/>
      <c r="O2" s="669"/>
    </row>
    <row r="3" spans="1:33">
      <c r="G3" s="667" t="s">
        <v>779</v>
      </c>
      <c r="H3" s="888" t="s">
        <v>780</v>
      </c>
      <c r="M3" s="613"/>
      <c r="N3" s="613"/>
      <c r="O3" s="613"/>
    </row>
    <row r="4" spans="1:33">
      <c r="D4" s="1209" t="s">
        <v>781</v>
      </c>
      <c r="E4" s="1209"/>
      <c r="F4" s="1209"/>
      <c r="G4" s="1209"/>
      <c r="H4" s="1209"/>
      <c r="I4" s="1209"/>
      <c r="J4" s="1209"/>
      <c r="K4" s="1209"/>
      <c r="L4" s="1209"/>
      <c r="M4" s="1209"/>
      <c r="N4" s="613"/>
      <c r="O4" s="613"/>
    </row>
    <row r="5" spans="1:33">
      <c r="A5" s="668" t="s">
        <v>782</v>
      </c>
      <c r="B5" s="671">
        <v>2022</v>
      </c>
      <c r="C5" s="671">
        <f>B5-1</f>
        <v>2021</v>
      </c>
      <c r="D5" s="671">
        <f t="shared" ref="D5:M5" si="0">C5-1</f>
        <v>2020</v>
      </c>
      <c r="E5" s="671">
        <f t="shared" si="0"/>
        <v>2019</v>
      </c>
      <c r="F5" s="671">
        <f t="shared" si="0"/>
        <v>2018</v>
      </c>
      <c r="G5" s="671">
        <f t="shared" si="0"/>
        <v>2017</v>
      </c>
      <c r="H5" s="671">
        <f t="shared" si="0"/>
        <v>2016</v>
      </c>
      <c r="I5" s="671">
        <f t="shared" si="0"/>
        <v>2015</v>
      </c>
      <c r="J5" s="671">
        <f t="shared" si="0"/>
        <v>2014</v>
      </c>
      <c r="K5" s="671">
        <f t="shared" si="0"/>
        <v>2013</v>
      </c>
      <c r="L5" s="671">
        <f t="shared" si="0"/>
        <v>2012</v>
      </c>
      <c r="M5" s="671">
        <f t="shared" si="0"/>
        <v>2011</v>
      </c>
      <c r="N5" s="613"/>
      <c r="O5" s="613"/>
      <c r="Q5" s="672" t="s">
        <v>783</v>
      </c>
      <c r="R5" s="1210" t="s">
        <v>784</v>
      </c>
      <c r="S5" s="1210"/>
      <c r="T5" s="667" t="s">
        <v>785</v>
      </c>
      <c r="Z5" s="668">
        <v>2016</v>
      </c>
      <c r="AA5" s="668">
        <v>2015</v>
      </c>
      <c r="AB5" s="668">
        <v>2014</v>
      </c>
      <c r="AC5" s="668">
        <v>2013</v>
      </c>
      <c r="AD5" s="668">
        <v>2012</v>
      </c>
      <c r="AE5" s="668">
        <v>2011</v>
      </c>
      <c r="AF5" s="668">
        <v>2010</v>
      </c>
      <c r="AG5" s="668">
        <v>2009</v>
      </c>
    </row>
    <row r="6" spans="1:33">
      <c r="A6" s="673" t="s">
        <v>131</v>
      </c>
      <c r="B6" s="674">
        <v>31352</v>
      </c>
      <c r="C6" s="674">
        <v>26492</v>
      </c>
      <c r="D6" s="674">
        <v>21252</v>
      </c>
      <c r="E6" s="674">
        <v>17098</v>
      </c>
      <c r="F6" s="674">
        <v>13282</v>
      </c>
      <c r="G6" s="674">
        <v>10540</v>
      </c>
      <c r="H6" s="675">
        <v>8437</v>
      </c>
      <c r="I6" s="674">
        <v>6667</v>
      </c>
      <c r="J6" s="674">
        <v>5374</v>
      </c>
      <c r="K6" s="674">
        <v>4071</v>
      </c>
      <c r="L6" s="674">
        <v>3050</v>
      </c>
      <c r="M6" s="674">
        <v>2267</v>
      </c>
      <c r="N6" s="676" t="s">
        <v>786</v>
      </c>
      <c r="O6" s="613" t="s">
        <v>787</v>
      </c>
      <c r="P6" s="613"/>
      <c r="Q6" s="667" t="s">
        <v>788</v>
      </c>
      <c r="R6" s="667" t="s">
        <v>788</v>
      </c>
      <c r="X6" s="677"/>
      <c r="Y6" s="677"/>
      <c r="Z6" s="678">
        <v>38537</v>
      </c>
      <c r="AA6" s="678">
        <v>47011</v>
      </c>
      <c r="AB6" s="678">
        <v>55184</v>
      </c>
      <c r="AC6" s="678">
        <v>55656</v>
      </c>
      <c r="AD6" s="678">
        <v>65875</v>
      </c>
      <c r="AE6" s="678">
        <v>60138</v>
      </c>
      <c r="AF6" s="678">
        <v>42588</v>
      </c>
      <c r="AG6" s="678">
        <v>32396</v>
      </c>
    </row>
    <row r="7" spans="1:33">
      <c r="A7" s="673" t="s">
        <v>575</v>
      </c>
      <c r="B7" s="674">
        <v>22992</v>
      </c>
      <c r="C7" s="674">
        <v>19466</v>
      </c>
      <c r="D7" s="674">
        <v>15814</v>
      </c>
      <c r="E7" s="674">
        <v>12863</v>
      </c>
      <c r="F7" s="674">
        <v>9831</v>
      </c>
      <c r="G7" s="674">
        <v>7767</v>
      </c>
      <c r="H7" s="679">
        <v>6203</v>
      </c>
      <c r="I7" s="680">
        <v>5013</v>
      </c>
      <c r="J7" s="674">
        <v>4084</v>
      </c>
      <c r="K7" s="674">
        <v>3103</v>
      </c>
      <c r="L7" s="674">
        <v>2367</v>
      </c>
      <c r="M7" s="674">
        <v>1778</v>
      </c>
      <c r="N7" s="676" t="s">
        <v>786</v>
      </c>
      <c r="O7" s="613" t="str">
        <f>+A7</f>
        <v>Gross Profit</v>
      </c>
      <c r="P7" s="613"/>
      <c r="Q7" s="667" t="s">
        <v>788</v>
      </c>
      <c r="R7" s="667" t="s">
        <v>789</v>
      </c>
      <c r="Z7" s="681">
        <f>Z6-28044</f>
        <v>10493</v>
      </c>
      <c r="AA7" s="681">
        <f>AA6-33546</f>
        <v>13465</v>
      </c>
      <c r="AB7" s="681">
        <f>AB6-40718</f>
        <v>14466</v>
      </c>
      <c r="AC7" s="681">
        <f>AC6-40727</f>
        <v>14929</v>
      </c>
      <c r="AD7" s="682">
        <f>+AD6-47055</f>
        <v>18820</v>
      </c>
      <c r="AE7" s="682">
        <f>+AE6-43578</f>
        <v>16560</v>
      </c>
      <c r="AF7" s="682">
        <f>+AF6-30367</f>
        <v>12221</v>
      </c>
      <c r="AG7" s="682">
        <f>+AG6-23886</f>
        <v>8510</v>
      </c>
    </row>
    <row r="8" spans="1:33">
      <c r="A8" s="673" t="s">
        <v>282</v>
      </c>
      <c r="B8" s="674">
        <v>1030</v>
      </c>
      <c r="C8" s="674">
        <v>548</v>
      </c>
      <c r="D8" s="674">
        <v>455</v>
      </c>
      <c r="E8" s="674">
        <v>297</v>
      </c>
      <c r="F8" s="674">
        <v>535</v>
      </c>
      <c r="G8" s="674">
        <v>454</v>
      </c>
      <c r="H8" s="679">
        <v>218</v>
      </c>
      <c r="I8" s="680">
        <v>111</v>
      </c>
      <c r="J8" s="680">
        <v>-146</v>
      </c>
      <c r="K8" s="680">
        <v>-286</v>
      </c>
      <c r="L8" s="680">
        <v>-111</v>
      </c>
      <c r="M8" s="680">
        <v>-35</v>
      </c>
      <c r="N8" s="676" t="s">
        <v>786</v>
      </c>
      <c r="O8" s="613" t="s">
        <v>282</v>
      </c>
      <c r="P8" s="613"/>
      <c r="Q8" s="667" t="s">
        <v>788</v>
      </c>
      <c r="R8" s="22" t="s">
        <v>790</v>
      </c>
      <c r="Z8" s="681">
        <f>Z7-4383</f>
        <v>6110</v>
      </c>
      <c r="AA8" s="681">
        <f>AA7-4951</f>
        <v>8514</v>
      </c>
      <c r="AB8" s="681">
        <f>AB7-6529</f>
        <v>7937</v>
      </c>
      <c r="AC8" s="681">
        <f>AC7-5547</f>
        <v>9382</v>
      </c>
      <c r="AD8" s="682">
        <f>AD7-5919-2466-797-580-485</f>
        <v>8573</v>
      </c>
      <c r="AE8" s="682">
        <f>+AE7-5203-2297-826-1081</f>
        <v>7153</v>
      </c>
      <c r="AF8" s="682">
        <f>+AF7-4248-1905-914-1191</f>
        <v>3963</v>
      </c>
      <c r="AG8" s="682">
        <f>+AG7-3645-1421-1045-1822</f>
        <v>577</v>
      </c>
    </row>
    <row r="9" spans="1:33">
      <c r="A9" s="673" t="s">
        <v>579</v>
      </c>
      <c r="B9" s="674">
        <v>131</v>
      </c>
      <c r="C9" s="674">
        <v>227</v>
      </c>
      <c r="D9" s="674">
        <v>664</v>
      </c>
      <c r="E9" s="674">
        <v>18</v>
      </c>
      <c r="F9" s="674">
        <v>94</v>
      </c>
      <c r="G9" s="674">
        <v>53</v>
      </c>
      <c r="H9" s="674">
        <v>-9</v>
      </c>
      <c r="I9" s="674">
        <v>15.2</v>
      </c>
      <c r="J9" s="674">
        <v>19.8</v>
      </c>
      <c r="K9" s="674">
        <v>4.8</v>
      </c>
      <c r="L9" s="674">
        <v>5.6</v>
      </c>
      <c r="M9" s="674">
        <v>4.45</v>
      </c>
      <c r="N9" s="676" t="s">
        <v>786</v>
      </c>
      <c r="O9" s="613" t="s">
        <v>791</v>
      </c>
      <c r="P9" s="613"/>
      <c r="Q9" s="667" t="s">
        <v>788</v>
      </c>
      <c r="R9" s="667" t="s">
        <v>792</v>
      </c>
      <c r="S9" s="667" t="s">
        <v>793</v>
      </c>
      <c r="T9" s="667" t="s">
        <v>794</v>
      </c>
      <c r="U9" s="667" t="s">
        <v>795</v>
      </c>
      <c r="V9" s="667" t="s">
        <v>796</v>
      </c>
      <c r="Z9" s="681">
        <f>1853+596+595+1904+6+8</f>
        <v>4962</v>
      </c>
      <c r="AA9" s="681">
        <f>2119+587+2023+11</f>
        <v>4740</v>
      </c>
      <c r="AB9" s="681">
        <f>2380+624+1619-8+16</f>
        <v>4631</v>
      </c>
      <c r="AC9" s="681">
        <f>2046+727+981+6+14</f>
        <v>3774</v>
      </c>
      <c r="AD9" s="682">
        <f>-14+41</f>
        <v>27</v>
      </c>
      <c r="AE9" s="681">
        <v>53</v>
      </c>
      <c r="AF9" s="681">
        <f>58+24</f>
        <v>82</v>
      </c>
      <c r="AG9" s="681">
        <f>12-68</f>
        <v>-56</v>
      </c>
    </row>
    <row r="10" spans="1:33">
      <c r="A10" s="673" t="s">
        <v>283</v>
      </c>
      <c r="B10" s="674">
        <v>-131</v>
      </c>
      <c r="C10" s="674">
        <v>-227</v>
      </c>
      <c r="D10" s="674">
        <v>-64</v>
      </c>
      <c r="E10" s="674">
        <v>-18</v>
      </c>
      <c r="F10" s="674">
        <v>-94</v>
      </c>
      <c r="G10" s="674">
        <v>-53</v>
      </c>
      <c r="H10" s="679">
        <v>-88.98</v>
      </c>
      <c r="I10" s="680">
        <v>-72.48</v>
      </c>
      <c r="J10" s="674">
        <v>-73.23</v>
      </c>
      <c r="K10" s="674">
        <v>-77.209999999999994</v>
      </c>
      <c r="L10" s="674">
        <v>-30.94</v>
      </c>
      <c r="M10" s="674">
        <v>-17.045000000000002</v>
      </c>
      <c r="N10" s="676" t="s">
        <v>786</v>
      </c>
      <c r="O10" s="613" t="s">
        <v>797</v>
      </c>
      <c r="P10" s="613"/>
      <c r="Q10" s="667" t="s">
        <v>788</v>
      </c>
      <c r="R10" s="667" t="s">
        <v>798</v>
      </c>
      <c r="Z10" s="681">
        <f>505+518</f>
        <v>1023</v>
      </c>
      <c r="AA10" s="681">
        <f>507-161</f>
        <v>346</v>
      </c>
      <c r="AB10" s="681">
        <f>484-322</f>
        <v>162</v>
      </c>
      <c r="AC10" s="681">
        <f>465+35</f>
        <v>500</v>
      </c>
      <c r="AD10" s="682">
        <f>467-130</f>
        <v>337</v>
      </c>
      <c r="AE10" s="681">
        <f>396+32</f>
        <v>428</v>
      </c>
      <c r="AF10" s="681">
        <f>343-130</f>
        <v>213</v>
      </c>
      <c r="AG10" s="681">
        <f>389-381</f>
        <v>8</v>
      </c>
    </row>
    <row r="11" spans="1:33">
      <c r="A11" s="673" t="s">
        <v>284</v>
      </c>
      <c r="B11" s="674">
        <v>452</v>
      </c>
      <c r="C11" s="674">
        <v>88</v>
      </c>
      <c r="D11" s="674">
        <v>-1511</v>
      </c>
      <c r="E11" s="674">
        <v>574</v>
      </c>
      <c r="F11" s="674">
        <v>-170</v>
      </c>
      <c r="G11" s="674">
        <v>-66</v>
      </c>
      <c r="H11" s="679">
        <v>-144</v>
      </c>
      <c r="I11" s="680">
        <v>112</v>
      </c>
      <c r="J11" s="674">
        <v>50</v>
      </c>
      <c r="K11" s="674">
        <v>-126</v>
      </c>
      <c r="L11" s="674">
        <v>143</v>
      </c>
      <c r="M11" s="674">
        <v>-22</v>
      </c>
      <c r="N11" s="676" t="s">
        <v>786</v>
      </c>
      <c r="O11" s="613" t="s">
        <v>284</v>
      </c>
      <c r="P11" s="613"/>
      <c r="Q11" s="667" t="s">
        <v>788</v>
      </c>
      <c r="R11" s="667" t="s">
        <v>799</v>
      </c>
      <c r="Z11" s="678">
        <v>192</v>
      </c>
      <c r="AA11" s="678">
        <v>916</v>
      </c>
      <c r="AB11" s="678">
        <v>692</v>
      </c>
      <c r="AC11" s="678">
        <v>1319</v>
      </c>
      <c r="AD11" s="683">
        <f>2528</f>
        <v>2528</v>
      </c>
      <c r="AE11" s="678">
        <f>1720</f>
        <v>1720</v>
      </c>
      <c r="AF11" s="678">
        <f>968</f>
        <v>968</v>
      </c>
      <c r="AG11" s="678">
        <f>-270</f>
        <v>-270</v>
      </c>
    </row>
    <row r="12" spans="1:33">
      <c r="A12" s="673" t="s">
        <v>74</v>
      </c>
      <c r="B12" s="674">
        <v>208</v>
      </c>
      <c r="C12" s="674">
        <v>1444</v>
      </c>
      <c r="D12" s="674">
        <v>4072</v>
      </c>
      <c r="E12" s="674">
        <v>1266</v>
      </c>
      <c r="F12" s="674">
        <v>1110</v>
      </c>
      <c r="G12" s="674">
        <v>360</v>
      </c>
      <c r="H12" s="675">
        <v>323</v>
      </c>
      <c r="I12" s="674">
        <v>-47.4</v>
      </c>
      <c r="J12" s="674">
        <v>-262.7</v>
      </c>
      <c r="K12" s="674">
        <v>-232.2</v>
      </c>
      <c r="L12" s="674">
        <v>-270.39999999999998</v>
      </c>
      <c r="M12" s="674">
        <v>-11.6</v>
      </c>
      <c r="N12" s="676" t="s">
        <v>786</v>
      </c>
      <c r="O12" s="613" t="s">
        <v>74</v>
      </c>
      <c r="P12" s="613"/>
      <c r="Q12" s="667" t="s">
        <v>800</v>
      </c>
      <c r="R12" s="667" t="s">
        <v>801</v>
      </c>
      <c r="Z12" s="678">
        <v>-67</v>
      </c>
      <c r="AA12" s="678">
        <v>2512</v>
      </c>
      <c r="AB12" s="678">
        <v>2452</v>
      </c>
      <c r="AC12" s="678">
        <v>3789</v>
      </c>
      <c r="AD12" s="678">
        <v>5681</v>
      </c>
      <c r="AE12" s="678">
        <f>4928+24</f>
        <v>4952</v>
      </c>
      <c r="AF12" s="678">
        <v>2700</v>
      </c>
      <c r="AG12" s="678">
        <v>895</v>
      </c>
    </row>
    <row r="13" spans="1:33">
      <c r="B13" s="684">
        <f>SUM(B8:B11)</f>
        <v>1482</v>
      </c>
      <c r="C13" s="684">
        <f t="shared" ref="C13:M13" si="1">SUM(C8:C11)</f>
        <v>636</v>
      </c>
      <c r="D13" s="684">
        <f t="shared" si="1"/>
        <v>-456</v>
      </c>
      <c r="E13" s="684">
        <f t="shared" si="1"/>
        <v>871</v>
      </c>
      <c r="F13" s="684">
        <f t="shared" si="1"/>
        <v>365</v>
      </c>
      <c r="G13" s="684">
        <f t="shared" si="1"/>
        <v>388</v>
      </c>
      <c r="H13" s="684">
        <f t="shared" si="1"/>
        <v>-23.980000000000004</v>
      </c>
      <c r="I13" s="684">
        <f t="shared" si="1"/>
        <v>165.72</v>
      </c>
      <c r="J13" s="684">
        <f t="shared" si="1"/>
        <v>-149.43</v>
      </c>
      <c r="K13" s="684">
        <f t="shared" si="1"/>
        <v>-484.40999999999997</v>
      </c>
      <c r="L13" s="684">
        <f t="shared" si="1"/>
        <v>6.6599999999999966</v>
      </c>
      <c r="M13" s="684">
        <f t="shared" si="1"/>
        <v>-69.594999999999999</v>
      </c>
      <c r="N13" s="613"/>
      <c r="O13" s="613"/>
      <c r="P13" s="613"/>
      <c r="Z13" s="670">
        <f t="shared" ref="Z13:AG13" si="2">Z8-Z10-Z9-Z11</f>
        <v>-67</v>
      </c>
      <c r="AA13" s="670">
        <f t="shared" si="2"/>
        <v>2512</v>
      </c>
      <c r="AB13" s="670">
        <f t="shared" si="2"/>
        <v>2452</v>
      </c>
      <c r="AC13" s="670">
        <f t="shared" si="2"/>
        <v>3789</v>
      </c>
      <c r="AD13" s="670">
        <f t="shared" si="2"/>
        <v>5681</v>
      </c>
      <c r="AE13" s="670">
        <f t="shared" si="2"/>
        <v>4952</v>
      </c>
      <c r="AF13" s="670">
        <f t="shared" si="2"/>
        <v>2700</v>
      </c>
      <c r="AG13" s="670">
        <f t="shared" si="2"/>
        <v>895</v>
      </c>
    </row>
    <row r="14" spans="1:33">
      <c r="A14" s="668" t="s">
        <v>802</v>
      </c>
      <c r="B14" s="685">
        <f>B12-B13</f>
        <v>-1274</v>
      </c>
      <c r="C14" s="685">
        <f t="shared" ref="C14:M14" si="3">C12-C13</f>
        <v>808</v>
      </c>
      <c r="D14" s="685">
        <f t="shared" si="3"/>
        <v>4528</v>
      </c>
      <c r="E14" s="685">
        <f t="shared" si="3"/>
        <v>395</v>
      </c>
      <c r="F14" s="685">
        <f t="shared" si="3"/>
        <v>745</v>
      </c>
      <c r="G14" s="685">
        <f t="shared" si="3"/>
        <v>-28</v>
      </c>
      <c r="H14" s="685">
        <f t="shared" si="3"/>
        <v>346.98</v>
      </c>
      <c r="I14" s="685">
        <f t="shared" si="3"/>
        <v>-213.12</v>
      </c>
      <c r="J14" s="685">
        <f t="shared" si="3"/>
        <v>-113.26999999999998</v>
      </c>
      <c r="K14" s="685">
        <f t="shared" si="3"/>
        <v>252.20999999999998</v>
      </c>
      <c r="L14" s="685">
        <f t="shared" si="3"/>
        <v>-277.05999999999995</v>
      </c>
      <c r="M14" s="685">
        <f t="shared" si="3"/>
        <v>57.994999999999997</v>
      </c>
      <c r="N14" s="613"/>
      <c r="O14" s="613"/>
      <c r="P14" s="613"/>
      <c r="Z14" s="686">
        <f t="shared" ref="Z14:AG14" si="4">Z12-Z13</f>
        <v>0</v>
      </c>
      <c r="AA14" s="686">
        <f t="shared" si="4"/>
        <v>0</v>
      </c>
      <c r="AB14" s="686">
        <f t="shared" si="4"/>
        <v>0</v>
      </c>
      <c r="AC14" s="686">
        <f t="shared" si="4"/>
        <v>0</v>
      </c>
      <c r="AD14" s="686">
        <f t="shared" si="4"/>
        <v>0</v>
      </c>
      <c r="AE14" s="686">
        <f t="shared" si="4"/>
        <v>0</v>
      </c>
      <c r="AF14" s="686">
        <f t="shared" si="4"/>
        <v>0</v>
      </c>
      <c r="AG14" s="686">
        <f t="shared" si="4"/>
        <v>0</v>
      </c>
    </row>
    <row r="15" spans="1:33">
      <c r="A15" s="613"/>
      <c r="B15" s="638"/>
      <c r="C15" s="638"/>
      <c r="D15" s="638"/>
      <c r="E15" s="638"/>
      <c r="F15" s="638"/>
      <c r="G15" s="638"/>
      <c r="H15" s="638"/>
      <c r="I15" s="638"/>
      <c r="J15" s="638"/>
      <c r="K15" s="638"/>
      <c r="L15" s="638"/>
      <c r="M15" s="638"/>
      <c r="N15" s="613"/>
      <c r="O15" s="613"/>
      <c r="P15" s="613"/>
      <c r="Z15" s="678"/>
      <c r="AA15" s="678"/>
      <c r="AB15" s="678"/>
      <c r="AC15" s="678"/>
      <c r="AD15" s="678"/>
      <c r="AE15" s="678"/>
      <c r="AF15" s="678"/>
      <c r="AG15" s="678"/>
    </row>
    <row r="16" spans="1:33">
      <c r="A16" s="673" t="s">
        <v>803</v>
      </c>
      <c r="B16" s="687">
        <v>0.21</v>
      </c>
      <c r="C16" s="687">
        <v>1.51</v>
      </c>
      <c r="D16" s="687">
        <v>4.4800000000000004</v>
      </c>
      <c r="E16" s="687">
        <v>0.15</v>
      </c>
      <c r="F16" s="687">
        <v>1.48</v>
      </c>
      <c r="G16" s="687">
        <v>0.5</v>
      </c>
      <c r="H16" s="688">
        <v>0.26</v>
      </c>
      <c r="I16" s="687">
        <v>-7.0000000000000007E-2</v>
      </c>
      <c r="J16" s="687">
        <v>-0.42</v>
      </c>
      <c r="K16" s="687">
        <v>-0.39</v>
      </c>
      <c r="L16" s="687">
        <v>-0.48</v>
      </c>
      <c r="M16" s="687">
        <v>-0.02</v>
      </c>
      <c r="N16" s="676"/>
      <c r="O16" s="613"/>
      <c r="P16" s="613"/>
      <c r="Z16" s="678"/>
      <c r="AA16" s="678"/>
      <c r="AB16" s="678"/>
      <c r="AC16" s="678"/>
      <c r="AD16" s="678"/>
      <c r="AE16" s="678"/>
      <c r="AF16" s="678"/>
      <c r="AG16" s="678"/>
    </row>
    <row r="17" spans="1:152">
      <c r="A17" s="673" t="s">
        <v>804</v>
      </c>
      <c r="B17" s="687">
        <v>0.21</v>
      </c>
      <c r="C17" s="687">
        <v>1.51</v>
      </c>
      <c r="D17" s="687">
        <v>4.4800000000000004</v>
      </c>
      <c r="E17" s="687">
        <v>0.15</v>
      </c>
      <c r="F17" s="687">
        <v>1.48</v>
      </c>
      <c r="G17" s="687">
        <v>0.5</v>
      </c>
      <c r="H17" s="688">
        <v>0.26</v>
      </c>
      <c r="I17" s="687">
        <v>-7.0000000000000007E-2</v>
      </c>
      <c r="J17" s="687">
        <v>-0.42</v>
      </c>
      <c r="K17" s="687">
        <v>-0.39</v>
      </c>
      <c r="L17" s="687">
        <v>-0.48</v>
      </c>
      <c r="M17" s="687">
        <v>-0.02</v>
      </c>
      <c r="N17" s="676"/>
      <c r="O17" s="613"/>
      <c r="P17" s="613"/>
      <c r="Z17" s="678"/>
      <c r="AA17" s="678"/>
      <c r="AB17" s="678"/>
      <c r="AC17" s="678"/>
      <c r="AD17" s="678"/>
      <c r="AE17" s="678"/>
      <c r="AF17" s="678"/>
      <c r="AG17" s="678"/>
    </row>
    <row r="18" spans="1:152" s="613" customFormat="1" ht="13">
      <c r="B18" s="638"/>
      <c r="C18" s="638"/>
      <c r="D18" s="638"/>
      <c r="E18" s="638"/>
      <c r="F18" s="638"/>
      <c r="G18" s="638"/>
      <c r="H18" s="638"/>
      <c r="I18" s="638"/>
      <c r="J18" s="638"/>
      <c r="K18" s="638"/>
      <c r="L18" s="638"/>
      <c r="M18" s="638"/>
    </row>
    <row r="19" spans="1:152">
      <c r="A19" s="673" t="s">
        <v>805</v>
      </c>
      <c r="B19" s="674">
        <v>-35</v>
      </c>
      <c r="C19" s="674">
        <v>-55</v>
      </c>
      <c r="D19" s="674">
        <v>40</v>
      </c>
      <c r="E19" s="674">
        <v>-59</v>
      </c>
      <c r="F19" s="674">
        <v>26</v>
      </c>
      <c r="G19" s="674">
        <v>77</v>
      </c>
      <c r="H19" s="675">
        <v>-43.07</v>
      </c>
      <c r="I19" s="674">
        <v>-16.66</v>
      </c>
      <c r="J19" s="674">
        <v>-43.27</v>
      </c>
      <c r="K19" s="674">
        <v>-4.9000000000000004</v>
      </c>
      <c r="L19" s="674">
        <v>4.7</v>
      </c>
      <c r="M19" s="674">
        <v>9.5</v>
      </c>
      <c r="N19" s="676"/>
      <c r="O19" s="613"/>
      <c r="P19" s="613"/>
      <c r="Z19" s="678"/>
      <c r="AA19" s="678"/>
      <c r="AB19" s="678"/>
      <c r="AC19" s="678"/>
      <c r="AD19" s="678"/>
      <c r="AE19" s="678"/>
      <c r="AF19" s="678"/>
      <c r="AG19" s="678"/>
    </row>
    <row r="20" spans="1:152">
      <c r="A20" s="672" t="s">
        <v>806</v>
      </c>
      <c r="B20" s="674">
        <v>100</v>
      </c>
      <c r="C20" s="674">
        <v>1320</v>
      </c>
      <c r="D20" s="674">
        <v>4123</v>
      </c>
      <c r="E20" s="674">
        <v>91</v>
      </c>
      <c r="F20" s="674">
        <v>1071</v>
      </c>
      <c r="G20" s="674">
        <v>434</v>
      </c>
      <c r="H20" s="675">
        <v>153.69999999999999</v>
      </c>
      <c r="I20" s="674">
        <v>-73.2</v>
      </c>
      <c r="J20" s="674">
        <v>-304.39999999999998</v>
      </c>
      <c r="K20" s="674">
        <v>-231.6</v>
      </c>
      <c r="L20" s="674">
        <v>-265.89999999999998</v>
      </c>
      <c r="M20" s="674">
        <v>-5.6</v>
      </c>
      <c r="N20" s="676"/>
      <c r="O20" s="613"/>
      <c r="P20" s="613"/>
      <c r="Z20" s="678"/>
      <c r="AA20" s="678"/>
      <c r="AB20" s="678"/>
      <c r="AC20" s="678"/>
      <c r="AD20" s="678"/>
      <c r="AE20" s="678"/>
      <c r="AF20" s="678"/>
      <c r="AG20" s="678"/>
    </row>
    <row r="21" spans="1:152" s="613" customFormat="1" ht="13">
      <c r="B21" s="638"/>
      <c r="C21" s="638"/>
      <c r="D21" s="638"/>
      <c r="E21" s="638"/>
      <c r="F21" s="638"/>
      <c r="G21" s="638"/>
      <c r="H21" s="638"/>
      <c r="I21" s="638"/>
      <c r="J21" s="638"/>
      <c r="K21" s="638"/>
      <c r="L21" s="638"/>
      <c r="M21" s="638"/>
    </row>
    <row r="22" spans="1:152">
      <c r="A22" s="667" t="s">
        <v>580</v>
      </c>
      <c r="B22" s="684">
        <f>B23-C23</f>
        <v>-2529</v>
      </c>
      <c r="C22" s="684">
        <f t="shared" ref="C22:J22" si="5">C23-D23</f>
        <v>-1670</v>
      </c>
      <c r="D22" s="684">
        <f>D23-E23</f>
        <v>-976</v>
      </c>
      <c r="E22" s="684">
        <f t="shared" si="5"/>
        <v>-1915</v>
      </c>
      <c r="F22" s="684">
        <f t="shared" si="5"/>
        <v>90</v>
      </c>
      <c r="G22" s="684">
        <f t="shared" si="5"/>
        <v>-1497</v>
      </c>
      <c r="H22" s="684">
        <f t="shared" si="5"/>
        <v>-896</v>
      </c>
      <c r="I22" s="684">
        <f>I23-J23</f>
        <v>-741</v>
      </c>
      <c r="J22" s="684">
        <f t="shared" si="5"/>
        <v>269</v>
      </c>
      <c r="K22" s="684">
        <f>K23-L23</f>
        <v>-369</v>
      </c>
      <c r="L22" s="684">
        <f>L23-M23</f>
        <v>-341</v>
      </c>
      <c r="M22" s="684">
        <f>M23-N23</f>
        <v>-1429</v>
      </c>
      <c r="N22" s="689" t="s">
        <v>807</v>
      </c>
      <c r="O22" s="613" t="s">
        <v>808</v>
      </c>
      <c r="P22" s="613"/>
      <c r="Q22" s="667" t="s">
        <v>800</v>
      </c>
      <c r="Z22" s="678"/>
      <c r="AA22" s="678"/>
      <c r="AB22" s="678"/>
      <c r="AC22" s="678"/>
      <c r="AD22" s="683"/>
      <c r="AE22" s="678"/>
      <c r="AF22" s="678"/>
      <c r="AG22" s="678"/>
    </row>
    <row r="23" spans="1:152">
      <c r="A23" s="673" t="s">
        <v>809</v>
      </c>
      <c r="B23" s="674">
        <f>B27-B42-B28</f>
        <v>-12004</v>
      </c>
      <c r="C23" s="674">
        <f t="shared" ref="C23:M23" si="6">C27-C42-C28</f>
        <v>-9475</v>
      </c>
      <c r="D23" s="674">
        <f t="shared" si="6"/>
        <v>-7805</v>
      </c>
      <c r="E23" s="674">
        <f t="shared" si="6"/>
        <v>-6829</v>
      </c>
      <c r="F23" s="674">
        <f t="shared" si="6"/>
        <v>-4914</v>
      </c>
      <c r="G23" s="674">
        <f t="shared" si="6"/>
        <v>-5004</v>
      </c>
      <c r="H23" s="674">
        <f t="shared" si="6"/>
        <v>-3507</v>
      </c>
      <c r="I23" s="674">
        <f t="shared" si="6"/>
        <v>-2611</v>
      </c>
      <c r="J23" s="674">
        <f t="shared" si="6"/>
        <v>-1870</v>
      </c>
      <c r="K23" s="674">
        <f t="shared" si="6"/>
        <v>-2139</v>
      </c>
      <c r="L23" s="674">
        <f t="shared" si="6"/>
        <v>-1770</v>
      </c>
      <c r="M23" s="674">
        <f t="shared" si="6"/>
        <v>-1429</v>
      </c>
      <c r="N23" s="689"/>
      <c r="O23" s="613"/>
      <c r="P23" s="613"/>
      <c r="Z23" s="678"/>
      <c r="AA23" s="678"/>
      <c r="AB23" s="678"/>
      <c r="AC23" s="678"/>
      <c r="AD23" s="683"/>
      <c r="AE23" s="678"/>
      <c r="AF23" s="678"/>
      <c r="AG23" s="678"/>
    </row>
    <row r="24" spans="1:152">
      <c r="A24" s="690">
        <v>2625</v>
      </c>
      <c r="B24" s="691">
        <v>2625</v>
      </c>
      <c r="C24" s="691">
        <v>2625</v>
      </c>
      <c r="D24" s="691">
        <v>2625</v>
      </c>
      <c r="E24" s="691">
        <v>2625</v>
      </c>
      <c r="F24" s="691">
        <v>2625</v>
      </c>
      <c r="G24" s="691">
        <v>2625</v>
      </c>
      <c r="H24" s="691">
        <v>2625</v>
      </c>
      <c r="I24" s="691">
        <v>2625</v>
      </c>
      <c r="J24" s="691">
        <v>2625</v>
      </c>
      <c r="K24" s="691">
        <v>2625</v>
      </c>
      <c r="L24" s="691">
        <v>2625</v>
      </c>
      <c r="M24" s="691">
        <v>2625</v>
      </c>
      <c r="N24" s="690">
        <v>2625</v>
      </c>
      <c r="O24" s="613"/>
      <c r="P24" s="613"/>
      <c r="Q24" s="667" t="s">
        <v>800</v>
      </c>
      <c r="R24" s="667" t="s">
        <v>810</v>
      </c>
      <c r="T24" s="667" t="s">
        <v>811</v>
      </c>
      <c r="Z24" s="678">
        <v>1799</v>
      </c>
      <c r="AA24" s="678">
        <v>1757</v>
      </c>
      <c r="AB24" s="678">
        <v>1620</v>
      </c>
      <c r="AC24" s="678">
        <v>1111</v>
      </c>
      <c r="AD24" s="678">
        <v>1617</v>
      </c>
      <c r="AE24" s="678">
        <v>1159</v>
      </c>
      <c r="AF24" s="678">
        <v>1084</v>
      </c>
      <c r="AG24" s="678">
        <v>1029</v>
      </c>
    </row>
    <row r="25" spans="1:152">
      <c r="A25" s="668" t="s">
        <v>438</v>
      </c>
      <c r="B25" s="691">
        <v>2625</v>
      </c>
      <c r="C25" s="691">
        <v>2625</v>
      </c>
      <c r="D25" s="691">
        <v>2625</v>
      </c>
      <c r="E25" s="691">
        <v>2625</v>
      </c>
      <c r="F25" s="691">
        <v>2625</v>
      </c>
      <c r="G25" s="691">
        <v>2625</v>
      </c>
      <c r="H25" s="691">
        <v>2625</v>
      </c>
      <c r="I25" s="691">
        <v>2625</v>
      </c>
      <c r="J25" s="691">
        <v>2625</v>
      </c>
      <c r="K25" s="691">
        <v>2625</v>
      </c>
      <c r="L25" s="691">
        <v>2625</v>
      </c>
      <c r="M25" s="691">
        <v>2625</v>
      </c>
      <c r="N25" s="690">
        <v>2625</v>
      </c>
      <c r="O25" s="613"/>
      <c r="P25" s="613"/>
      <c r="Q25" s="667" t="s">
        <v>800</v>
      </c>
      <c r="R25" s="667" t="s">
        <v>812</v>
      </c>
      <c r="S25" s="667" t="s">
        <v>813</v>
      </c>
      <c r="T25" s="667" t="s">
        <v>814</v>
      </c>
      <c r="Z25" s="678">
        <v>23</v>
      </c>
      <c r="AA25" s="678">
        <f>-33+2025</f>
        <v>1992</v>
      </c>
      <c r="AB25" s="678">
        <v>3817</v>
      </c>
      <c r="AC25" s="678">
        <v>1776</v>
      </c>
      <c r="AD25" s="678">
        <v>-244</v>
      </c>
      <c r="AE25" s="678">
        <v>-312</v>
      </c>
      <c r="AF25" s="678">
        <v>-449</v>
      </c>
      <c r="AG25" s="678">
        <v>-110</v>
      </c>
    </row>
    <row r="26" spans="1:152">
      <c r="A26" s="692" t="s">
        <v>815</v>
      </c>
      <c r="B26" s="417"/>
      <c r="C26" s="417"/>
      <c r="D26" s="417"/>
      <c r="E26" s="417"/>
      <c r="F26" s="417"/>
      <c r="G26" s="417"/>
      <c r="H26" s="417"/>
      <c r="I26" s="417"/>
      <c r="J26" s="417"/>
      <c r="K26" s="417"/>
      <c r="L26" s="417"/>
      <c r="M26" s="417"/>
      <c r="N26" s="690">
        <v>1922</v>
      </c>
      <c r="O26" s="690">
        <v>2625</v>
      </c>
      <c r="P26" s="613"/>
      <c r="Z26" s="678"/>
      <c r="AA26" s="678"/>
      <c r="AB26" s="678"/>
      <c r="AC26" s="678"/>
      <c r="AD26" s="678"/>
      <c r="AE26" s="678"/>
      <c r="AF26" s="678"/>
      <c r="AG26" s="678"/>
    </row>
    <row r="27" spans="1:152">
      <c r="A27" s="672" t="s">
        <v>816</v>
      </c>
      <c r="B27" s="693">
        <v>26395</v>
      </c>
      <c r="C27" s="693">
        <v>22850</v>
      </c>
      <c r="D27" s="693">
        <v>21889</v>
      </c>
      <c r="E27" s="693">
        <v>15963</v>
      </c>
      <c r="F27" s="693">
        <v>10683</v>
      </c>
      <c r="G27" s="693">
        <v>9584</v>
      </c>
      <c r="H27" s="693">
        <v>5997</v>
      </c>
      <c r="I27" s="693">
        <v>5731</v>
      </c>
      <c r="J27" s="693">
        <v>3515</v>
      </c>
      <c r="K27" s="693">
        <v>2680</v>
      </c>
      <c r="L27" s="693">
        <v>2016</v>
      </c>
      <c r="M27" s="693">
        <v>1672</v>
      </c>
      <c r="N27" s="690"/>
      <c r="O27" s="690"/>
      <c r="P27" s="613"/>
      <c r="Z27" s="678"/>
      <c r="AA27" s="678"/>
      <c r="AB27" s="678"/>
      <c r="AC27" s="678"/>
      <c r="AD27" s="678"/>
      <c r="AE27" s="678"/>
      <c r="AF27" s="678"/>
      <c r="AG27" s="678"/>
    </row>
    <row r="28" spans="1:152">
      <c r="A28" s="694" t="s">
        <v>287</v>
      </c>
      <c r="B28" s="674">
        <v>12508</v>
      </c>
      <c r="C28" s="674">
        <v>10537</v>
      </c>
      <c r="D28" s="674">
        <v>11966</v>
      </c>
      <c r="E28" s="674">
        <v>7947</v>
      </c>
      <c r="F28" s="674">
        <v>4342</v>
      </c>
      <c r="G28" s="674">
        <v>4521</v>
      </c>
      <c r="H28" s="674">
        <v>2209</v>
      </c>
      <c r="I28" s="674">
        <v>2725</v>
      </c>
      <c r="J28" s="674">
        <v>995</v>
      </c>
      <c r="K28" s="674">
        <v>839</v>
      </c>
      <c r="L28" s="674">
        <v>868</v>
      </c>
      <c r="M28" s="674">
        <v>778</v>
      </c>
      <c r="N28" s="695" t="s">
        <v>817</v>
      </c>
      <c r="O28" s="613" t="s">
        <v>287</v>
      </c>
      <c r="P28" s="613"/>
      <c r="Z28" s="696"/>
      <c r="AA28" s="696"/>
      <c r="AB28" s="696"/>
      <c r="AC28" s="696"/>
      <c r="AD28" s="696"/>
      <c r="AE28" s="686"/>
      <c r="AF28" s="686"/>
      <c r="AG28" s="686"/>
    </row>
    <row r="29" spans="1:152">
      <c r="A29" s="697" t="s">
        <v>589</v>
      </c>
      <c r="B29" s="674">
        <v>12531</v>
      </c>
      <c r="C29" s="674">
        <v>11193</v>
      </c>
      <c r="D29" s="674">
        <v>8932</v>
      </c>
      <c r="E29" s="674">
        <v>7100</v>
      </c>
      <c r="F29" s="674">
        <v>5712</v>
      </c>
      <c r="G29" s="674">
        <v>4592</v>
      </c>
      <c r="H29" s="674">
        <v>3197</v>
      </c>
      <c r="I29" s="674">
        <v>2496</v>
      </c>
      <c r="J29" s="674">
        <v>1906</v>
      </c>
      <c r="K29" s="674">
        <v>1361</v>
      </c>
      <c r="L29" s="674">
        <v>873</v>
      </c>
      <c r="M29" s="674">
        <v>684</v>
      </c>
      <c r="N29" s="695" t="s">
        <v>817</v>
      </c>
      <c r="O29" s="613" t="s">
        <v>589</v>
      </c>
      <c r="P29" s="613"/>
      <c r="Z29" s="696"/>
      <c r="AA29" s="696"/>
      <c r="AB29" s="696"/>
      <c r="AC29" s="696"/>
      <c r="AD29" s="696"/>
      <c r="AE29" s="686"/>
      <c r="AF29" s="686"/>
      <c r="AG29" s="686"/>
    </row>
    <row r="30" spans="1:152">
      <c r="A30" s="694" t="s">
        <v>289</v>
      </c>
      <c r="B30" s="674">
        <v>0</v>
      </c>
      <c r="C30" s="674">
        <v>0</v>
      </c>
      <c r="D30" s="674">
        <v>0</v>
      </c>
      <c r="E30" s="674">
        <v>0</v>
      </c>
      <c r="F30" s="674">
        <v>0</v>
      </c>
      <c r="G30" s="674">
        <v>0</v>
      </c>
      <c r="H30" s="674">
        <v>0</v>
      </c>
      <c r="I30" s="674">
        <v>0</v>
      </c>
      <c r="J30" s="674">
        <v>0</v>
      </c>
      <c r="K30" s="674">
        <v>0</v>
      </c>
      <c r="L30" s="674">
        <v>0</v>
      </c>
      <c r="M30" s="674">
        <v>0</v>
      </c>
      <c r="N30" s="695" t="s">
        <v>817</v>
      </c>
      <c r="O30" s="613" t="s">
        <v>289</v>
      </c>
      <c r="P30" s="613"/>
      <c r="Q30" s="667" t="s">
        <v>818</v>
      </c>
      <c r="R30" s="667" t="s">
        <v>819</v>
      </c>
      <c r="Z30" s="678">
        <v>7168</v>
      </c>
      <c r="AA30" s="678">
        <v>6460</v>
      </c>
      <c r="AB30" s="678">
        <v>7341</v>
      </c>
      <c r="AC30" s="678">
        <v>6081</v>
      </c>
      <c r="AD30" s="678">
        <v>5490</v>
      </c>
      <c r="AE30" s="678">
        <v>3057</v>
      </c>
      <c r="AF30" s="678">
        <v>3592</v>
      </c>
      <c r="AG30" s="678">
        <v>4867</v>
      </c>
    </row>
    <row r="31" spans="1:152" s="698" customFormat="1">
      <c r="A31" s="694" t="s">
        <v>820</v>
      </c>
      <c r="B31" s="674">
        <f t="shared" ref="B31" si="7">B27-SUM(B28:B30)</f>
        <v>1356</v>
      </c>
      <c r="C31" s="674">
        <f t="shared" ref="C31:M31" si="8">C27-SUM(C28:C30)</f>
        <v>1120</v>
      </c>
      <c r="D31" s="674">
        <f t="shared" si="8"/>
        <v>991</v>
      </c>
      <c r="E31" s="674">
        <f t="shared" si="8"/>
        <v>916</v>
      </c>
      <c r="F31" s="674">
        <f t="shared" si="8"/>
        <v>629</v>
      </c>
      <c r="G31" s="674">
        <f t="shared" si="8"/>
        <v>471</v>
      </c>
      <c r="H31" s="674">
        <f t="shared" si="8"/>
        <v>591</v>
      </c>
      <c r="I31" s="674">
        <f t="shared" si="8"/>
        <v>510</v>
      </c>
      <c r="J31" s="674">
        <f t="shared" si="8"/>
        <v>614</v>
      </c>
      <c r="K31" s="674">
        <f t="shared" si="8"/>
        <v>480</v>
      </c>
      <c r="L31" s="674">
        <f t="shared" si="8"/>
        <v>275</v>
      </c>
      <c r="M31" s="674">
        <f t="shared" si="8"/>
        <v>210</v>
      </c>
      <c r="N31" s="695" t="s">
        <v>817</v>
      </c>
      <c r="O31" s="613" t="s">
        <v>289</v>
      </c>
      <c r="P31" s="613"/>
      <c r="Q31" s="667" t="s">
        <v>818</v>
      </c>
      <c r="R31" s="667" t="s">
        <v>821</v>
      </c>
      <c r="S31" s="667" t="s">
        <v>822</v>
      </c>
      <c r="T31" s="667" t="s">
        <v>823</v>
      </c>
      <c r="U31" s="667"/>
      <c r="V31" s="667"/>
      <c r="W31" s="667"/>
      <c r="X31" s="667"/>
      <c r="Y31" s="667"/>
      <c r="Z31" s="681">
        <f>5981+8522+1029+13556</f>
        <v>29088</v>
      </c>
      <c r="AA31" s="681">
        <f>6695+8991+1170+13651</f>
        <v>30507</v>
      </c>
      <c r="AB31" s="681">
        <f>7737+9027+1364+14644</f>
        <v>32772</v>
      </c>
      <c r="AC31" s="681">
        <v>33499</v>
      </c>
      <c r="AD31" s="681">
        <v>33911</v>
      </c>
      <c r="AE31" s="681">
        <v>31031</v>
      </c>
      <c r="AF31" s="681">
        <v>28849</v>
      </c>
      <c r="AG31" s="681">
        <v>27162</v>
      </c>
      <c r="AH31" s="667"/>
      <c r="AI31" s="667"/>
      <c r="AJ31" s="667"/>
      <c r="AK31" s="667"/>
      <c r="AL31" s="667"/>
      <c r="AM31" s="667"/>
      <c r="AN31" s="667"/>
      <c r="AO31" s="667"/>
      <c r="AP31" s="667"/>
      <c r="AQ31" s="667"/>
      <c r="AR31" s="667"/>
      <c r="AS31" s="667"/>
      <c r="AT31" s="667"/>
      <c r="AU31" s="667"/>
      <c r="AV31" s="667"/>
      <c r="AW31" s="667"/>
      <c r="AX31" s="667"/>
      <c r="AY31" s="667"/>
      <c r="AZ31" s="667"/>
      <c r="BA31" s="667"/>
      <c r="BB31" s="667"/>
      <c r="BC31" s="667"/>
      <c r="BD31" s="667"/>
      <c r="BE31" s="667"/>
      <c r="BF31" s="667"/>
      <c r="BG31" s="667"/>
      <c r="BH31" s="667"/>
      <c r="BI31" s="667"/>
      <c r="BJ31" s="667"/>
      <c r="BK31" s="667"/>
      <c r="BL31" s="667"/>
      <c r="BM31" s="667"/>
      <c r="BN31" s="667"/>
      <c r="BO31" s="667"/>
      <c r="BP31" s="667"/>
      <c r="BQ31" s="667"/>
      <c r="BR31" s="667"/>
      <c r="BS31" s="667"/>
      <c r="BT31" s="667"/>
      <c r="BU31" s="667"/>
      <c r="BV31" s="667"/>
      <c r="BW31" s="667"/>
      <c r="BX31" s="667"/>
      <c r="BY31" s="667"/>
      <c r="BZ31" s="667"/>
      <c r="CA31" s="667"/>
      <c r="CB31" s="667"/>
      <c r="CC31" s="667"/>
      <c r="CD31" s="667"/>
      <c r="CE31" s="667"/>
      <c r="CF31" s="667"/>
      <c r="CG31" s="667"/>
      <c r="CH31" s="667"/>
      <c r="CI31" s="667"/>
      <c r="CJ31" s="667"/>
      <c r="CK31" s="667"/>
      <c r="CL31" s="667"/>
      <c r="CM31" s="667"/>
      <c r="CN31" s="667"/>
      <c r="CO31" s="667"/>
      <c r="CP31" s="667"/>
      <c r="CQ31" s="667"/>
      <c r="CR31" s="667"/>
      <c r="CS31" s="667"/>
      <c r="CT31" s="667"/>
      <c r="CU31" s="667"/>
      <c r="CV31" s="667"/>
      <c r="CW31" s="667"/>
      <c r="CX31" s="667"/>
      <c r="CY31" s="667"/>
      <c r="CZ31" s="667"/>
      <c r="DA31" s="667"/>
      <c r="DB31" s="667"/>
      <c r="DC31" s="667"/>
      <c r="DD31" s="667"/>
      <c r="DE31" s="667"/>
      <c r="DF31" s="667"/>
      <c r="DG31" s="667"/>
      <c r="DH31" s="667"/>
      <c r="DI31" s="667"/>
      <c r="DJ31" s="667"/>
      <c r="DK31" s="667"/>
      <c r="DL31" s="667"/>
      <c r="DM31" s="667"/>
      <c r="DN31" s="667"/>
      <c r="DO31" s="667"/>
      <c r="DP31" s="667"/>
      <c r="DQ31" s="667"/>
      <c r="DR31" s="667"/>
      <c r="DS31" s="667"/>
      <c r="DT31" s="667"/>
      <c r="DU31" s="667"/>
      <c r="DV31" s="667"/>
      <c r="DW31" s="667"/>
      <c r="DX31" s="667"/>
      <c r="DY31" s="667"/>
      <c r="DZ31" s="667"/>
      <c r="EA31" s="667"/>
      <c r="EB31" s="667"/>
      <c r="EC31" s="667"/>
      <c r="ED31" s="667"/>
      <c r="EE31" s="667"/>
      <c r="EF31" s="667"/>
      <c r="EG31" s="667"/>
      <c r="EH31" s="667"/>
      <c r="EI31" s="667"/>
      <c r="EJ31" s="667"/>
      <c r="EK31" s="667"/>
      <c r="EL31" s="667"/>
      <c r="EM31" s="667"/>
      <c r="EN31" s="667"/>
      <c r="EO31" s="667"/>
      <c r="EP31" s="667"/>
      <c r="EQ31" s="667"/>
      <c r="ER31" s="667"/>
      <c r="ES31" s="667"/>
      <c r="ET31" s="667"/>
      <c r="EU31" s="667"/>
      <c r="EV31" s="667"/>
    </row>
    <row r="32" spans="1:152" s="698" customFormat="1">
      <c r="A32" s="672" t="s">
        <v>824</v>
      </c>
      <c r="B32" s="693">
        <f>B38-B27</f>
        <v>72454</v>
      </c>
      <c r="C32" s="693">
        <f t="shared" ref="C32:M32" si="9">C38-C27</f>
        <v>72359</v>
      </c>
      <c r="D32" s="693">
        <f t="shared" si="9"/>
        <v>44412</v>
      </c>
      <c r="E32" s="693">
        <f t="shared" si="9"/>
        <v>39163</v>
      </c>
      <c r="F32" s="693">
        <f t="shared" si="9"/>
        <v>20054</v>
      </c>
      <c r="G32" s="693">
        <f t="shared" si="9"/>
        <v>12400</v>
      </c>
      <c r="H32" s="693">
        <f t="shared" si="9"/>
        <v>11588</v>
      </c>
      <c r="I32" s="693">
        <f t="shared" si="9"/>
        <v>7032</v>
      </c>
      <c r="J32" s="693">
        <f t="shared" si="9"/>
        <v>7150</v>
      </c>
      <c r="K32" s="693">
        <f t="shared" si="9"/>
        <v>6473</v>
      </c>
      <c r="L32" s="693">
        <f t="shared" si="9"/>
        <v>3513</v>
      </c>
      <c r="M32" s="693">
        <f t="shared" si="9"/>
        <v>2492</v>
      </c>
      <c r="N32" s="695"/>
      <c r="O32" s="613"/>
      <c r="P32" s="613"/>
      <c r="Q32" s="667"/>
      <c r="R32" s="667"/>
      <c r="S32" s="667"/>
      <c r="T32" s="667"/>
      <c r="U32" s="667"/>
      <c r="V32" s="667"/>
      <c r="W32" s="667"/>
      <c r="X32" s="667"/>
      <c r="Y32" s="667"/>
      <c r="Z32" s="681"/>
      <c r="AA32" s="681"/>
      <c r="AB32" s="681"/>
      <c r="AC32" s="681"/>
      <c r="AD32" s="681"/>
      <c r="AE32" s="681"/>
      <c r="AF32" s="681"/>
      <c r="AG32" s="681"/>
      <c r="AH32" s="667"/>
      <c r="AI32" s="667"/>
      <c r="AJ32" s="667"/>
      <c r="AK32" s="667"/>
      <c r="AL32" s="667"/>
      <c r="AM32" s="667"/>
      <c r="AN32" s="667"/>
      <c r="AO32" s="667"/>
      <c r="AP32" s="667"/>
      <c r="AQ32" s="667"/>
      <c r="AR32" s="667"/>
      <c r="AS32" s="667"/>
      <c r="AT32" s="667"/>
      <c r="AU32" s="667"/>
      <c r="AV32" s="667"/>
      <c r="AW32" s="667"/>
      <c r="AX32" s="667"/>
      <c r="AY32" s="667"/>
      <c r="AZ32" s="667"/>
      <c r="BA32" s="667"/>
      <c r="BB32" s="667"/>
      <c r="BC32" s="667"/>
      <c r="BD32" s="667"/>
      <c r="BE32" s="667"/>
      <c r="BF32" s="667"/>
      <c r="BG32" s="667"/>
      <c r="BH32" s="667"/>
      <c r="BI32" s="667"/>
      <c r="BJ32" s="667"/>
      <c r="BK32" s="667"/>
      <c r="BL32" s="667"/>
      <c r="BM32" s="667"/>
      <c r="BN32" s="667"/>
      <c r="BO32" s="667"/>
      <c r="BP32" s="667"/>
      <c r="BQ32" s="667"/>
      <c r="BR32" s="667"/>
      <c r="BS32" s="667"/>
      <c r="BT32" s="667"/>
      <c r="BU32" s="667"/>
      <c r="BV32" s="667"/>
      <c r="BW32" s="667"/>
      <c r="BX32" s="667"/>
      <c r="BY32" s="667"/>
      <c r="BZ32" s="667"/>
      <c r="CA32" s="667"/>
      <c r="CB32" s="667"/>
      <c r="CC32" s="667"/>
      <c r="CD32" s="667"/>
      <c r="CE32" s="667"/>
      <c r="CF32" s="667"/>
      <c r="CG32" s="667"/>
      <c r="CH32" s="667"/>
      <c r="CI32" s="667"/>
      <c r="CJ32" s="667"/>
      <c r="CK32" s="667"/>
      <c r="CL32" s="667"/>
      <c r="CM32" s="667"/>
      <c r="CN32" s="667"/>
      <c r="CO32" s="667"/>
      <c r="CP32" s="667"/>
      <c r="CQ32" s="667"/>
      <c r="CR32" s="667"/>
      <c r="CS32" s="667"/>
      <c r="CT32" s="667"/>
      <c r="CU32" s="667"/>
      <c r="CV32" s="667"/>
      <c r="CW32" s="667"/>
      <c r="CX32" s="667"/>
      <c r="CY32" s="667"/>
      <c r="CZ32" s="667"/>
      <c r="DA32" s="667"/>
      <c r="DB32" s="667"/>
      <c r="DC32" s="667"/>
      <c r="DD32" s="667"/>
      <c r="DE32" s="667"/>
      <c r="DF32" s="667"/>
      <c r="DG32" s="667"/>
      <c r="DH32" s="667"/>
      <c r="DI32" s="667"/>
      <c r="DJ32" s="667"/>
      <c r="DK32" s="667"/>
      <c r="DL32" s="667"/>
      <c r="DM32" s="667"/>
      <c r="DN32" s="667"/>
      <c r="DO32" s="667"/>
      <c r="DP32" s="667"/>
      <c r="DQ32" s="667"/>
      <c r="DR32" s="667"/>
      <c r="DS32" s="667"/>
      <c r="DT32" s="667"/>
      <c r="DU32" s="667"/>
      <c r="DV32" s="667"/>
      <c r="DW32" s="667"/>
      <c r="DX32" s="667"/>
      <c r="DY32" s="667"/>
      <c r="DZ32" s="667"/>
      <c r="EA32" s="667"/>
      <c r="EB32" s="667"/>
      <c r="EC32" s="667"/>
      <c r="ED32" s="667"/>
      <c r="EE32" s="667"/>
      <c r="EF32" s="667"/>
      <c r="EG32" s="667"/>
      <c r="EH32" s="667"/>
      <c r="EI32" s="667"/>
      <c r="EJ32" s="667"/>
      <c r="EK32" s="667"/>
      <c r="EL32" s="667"/>
      <c r="EM32" s="667"/>
      <c r="EN32" s="667"/>
      <c r="EO32" s="667"/>
      <c r="EP32" s="667"/>
      <c r="EQ32" s="667"/>
      <c r="ER32" s="667"/>
      <c r="ES32" s="667"/>
      <c r="ET32" s="667"/>
      <c r="EU32" s="667"/>
      <c r="EV32" s="667"/>
    </row>
    <row r="33" spans="1:33">
      <c r="A33" s="699" t="s">
        <v>590</v>
      </c>
      <c r="B33" s="674">
        <v>6592</v>
      </c>
      <c r="C33" s="674">
        <v>5695</v>
      </c>
      <c r="D33" s="674">
        <v>5663</v>
      </c>
      <c r="E33" s="674">
        <v>5415</v>
      </c>
      <c r="F33" s="674">
        <v>2051</v>
      </c>
      <c r="G33" s="674">
        <v>1947</v>
      </c>
      <c r="H33" s="674">
        <v>1788</v>
      </c>
      <c r="I33" s="674">
        <v>1716</v>
      </c>
      <c r="J33" s="674">
        <v>1126</v>
      </c>
      <c r="K33" s="674">
        <v>1241</v>
      </c>
      <c r="L33" s="674">
        <v>605</v>
      </c>
      <c r="M33" s="674">
        <v>528</v>
      </c>
      <c r="N33" s="695"/>
      <c r="O33" s="613"/>
      <c r="P33" s="613"/>
      <c r="Q33" s="667" t="s">
        <v>818</v>
      </c>
      <c r="R33" s="667" t="s">
        <v>825</v>
      </c>
      <c r="Z33" s="678">
        <v>8614</v>
      </c>
      <c r="AA33" s="678">
        <v>9700</v>
      </c>
      <c r="AB33" s="678">
        <v>12205</v>
      </c>
      <c r="AC33" s="678">
        <v>12625</v>
      </c>
      <c r="AD33" s="678">
        <v>15547</v>
      </c>
      <c r="AE33" s="678">
        <v>14544</v>
      </c>
      <c r="AF33" s="678">
        <v>9587</v>
      </c>
      <c r="AG33" s="678">
        <v>6360</v>
      </c>
    </row>
    <row r="34" spans="1:33">
      <c r="A34" s="699" t="s">
        <v>826</v>
      </c>
      <c r="B34" s="674">
        <v>2890</v>
      </c>
      <c r="C34" s="674">
        <v>2880</v>
      </c>
      <c r="D34" s="674"/>
      <c r="E34" s="674"/>
      <c r="F34" s="674"/>
      <c r="G34" s="674"/>
      <c r="H34" s="674"/>
      <c r="I34" s="674"/>
      <c r="J34" s="674"/>
      <c r="K34" s="674"/>
      <c r="L34" s="674"/>
      <c r="M34" s="674"/>
      <c r="N34" s="695"/>
      <c r="O34" s="613"/>
      <c r="P34" s="613"/>
      <c r="Z34" s="678"/>
      <c r="AA34" s="678"/>
      <c r="AB34" s="678"/>
      <c r="AC34" s="678"/>
      <c r="AD34" s="678"/>
      <c r="AE34" s="678"/>
      <c r="AF34" s="678"/>
      <c r="AG34" s="678"/>
    </row>
    <row r="35" spans="1:33">
      <c r="A35" s="699" t="s">
        <v>827</v>
      </c>
      <c r="B35" s="674">
        <v>48568</v>
      </c>
      <c r="C35" s="674">
        <v>47937</v>
      </c>
      <c r="D35" s="674">
        <v>26318</v>
      </c>
      <c r="E35" s="674">
        <v>25134</v>
      </c>
      <c r="F35" s="674">
        <v>12851</v>
      </c>
      <c r="G35" s="674">
        <v>7314</v>
      </c>
      <c r="H35" s="674">
        <v>7263</v>
      </c>
      <c r="I35" s="674">
        <v>3849</v>
      </c>
      <c r="J35" s="674"/>
      <c r="K35" s="674">
        <v>3500</v>
      </c>
      <c r="L35" s="674">
        <v>1529</v>
      </c>
      <c r="M35" s="674"/>
      <c r="N35" s="695"/>
      <c r="O35" s="613"/>
      <c r="P35" s="613"/>
      <c r="Z35" s="678"/>
      <c r="AA35" s="678"/>
      <c r="AB35" s="678"/>
      <c r="AC35" s="678"/>
      <c r="AD35" s="678"/>
      <c r="AE35" s="678"/>
      <c r="AF35" s="678"/>
      <c r="AG35" s="678"/>
    </row>
    <row r="36" spans="1:33">
      <c r="A36" s="699" t="s">
        <v>828</v>
      </c>
      <c r="B36" s="674">
        <f t="shared" ref="B36:D36" si="10">B32-SUM(B33:B35)</f>
        <v>14404</v>
      </c>
      <c r="C36" s="674">
        <f t="shared" si="10"/>
        <v>15847</v>
      </c>
      <c r="D36" s="674">
        <f t="shared" si="10"/>
        <v>12431</v>
      </c>
      <c r="E36" s="674">
        <f>E32-SUM(E33:E35)</f>
        <v>8614</v>
      </c>
      <c r="F36" s="674">
        <f t="shared" ref="F36:M36" si="11">F32-SUM(F33:F35)</f>
        <v>5152</v>
      </c>
      <c r="G36" s="674">
        <f t="shared" si="11"/>
        <v>3139</v>
      </c>
      <c r="H36" s="674">
        <f t="shared" si="11"/>
        <v>2537</v>
      </c>
      <c r="I36" s="674">
        <f t="shared" si="11"/>
        <v>1467</v>
      </c>
      <c r="J36" s="674">
        <f t="shared" si="11"/>
        <v>6024</v>
      </c>
      <c r="K36" s="674">
        <f t="shared" si="11"/>
        <v>1732</v>
      </c>
      <c r="L36" s="674">
        <f t="shared" si="11"/>
        <v>1379</v>
      </c>
      <c r="M36" s="674">
        <f t="shared" si="11"/>
        <v>1964</v>
      </c>
      <c r="N36" s="695" t="s">
        <v>817</v>
      </c>
      <c r="O36" s="613" t="s">
        <v>590</v>
      </c>
      <c r="P36" s="613"/>
      <c r="Z36" s="678"/>
      <c r="AA36" s="678"/>
      <c r="AB36" s="678"/>
      <c r="AC36" s="678"/>
      <c r="AD36" s="678"/>
      <c r="AE36" s="678"/>
      <c r="AF36" s="678"/>
      <c r="AG36" s="678"/>
    </row>
    <row r="37" spans="1:33">
      <c r="A37" s="667" t="s">
        <v>591</v>
      </c>
      <c r="B37" s="684">
        <f>B31+B36</f>
        <v>15760</v>
      </c>
      <c r="C37" s="684">
        <f>C31+C36</f>
        <v>16967</v>
      </c>
      <c r="D37" s="684">
        <f t="shared" ref="D37:M37" si="12">D31+D36</f>
        <v>13422</v>
      </c>
      <c r="E37" s="684">
        <f t="shared" si="12"/>
        <v>9530</v>
      </c>
      <c r="F37" s="684">
        <f t="shared" si="12"/>
        <v>5781</v>
      </c>
      <c r="G37" s="684">
        <f t="shared" si="12"/>
        <v>3610</v>
      </c>
      <c r="H37" s="684">
        <f t="shared" si="12"/>
        <v>3128</v>
      </c>
      <c r="I37" s="684">
        <f t="shared" si="12"/>
        <v>1977</v>
      </c>
      <c r="J37" s="684">
        <f t="shared" si="12"/>
        <v>6638</v>
      </c>
      <c r="K37" s="684">
        <f t="shared" si="12"/>
        <v>2212</v>
      </c>
      <c r="L37" s="684">
        <f t="shared" si="12"/>
        <v>1654</v>
      </c>
      <c r="M37" s="684">
        <f t="shared" si="12"/>
        <v>2174</v>
      </c>
      <c r="N37" s="695" t="s">
        <v>817</v>
      </c>
      <c r="O37" s="613"/>
      <c r="P37" s="613"/>
      <c r="Z37" s="678"/>
      <c r="AA37" s="678"/>
      <c r="AB37" s="678"/>
      <c r="AC37" s="678"/>
      <c r="AD37" s="678"/>
      <c r="AE37" s="678"/>
      <c r="AF37" s="678"/>
      <c r="AG37" s="678"/>
    </row>
    <row r="38" spans="1:33">
      <c r="A38" s="672" t="s">
        <v>50</v>
      </c>
      <c r="B38" s="693">
        <v>98849</v>
      </c>
      <c r="C38" s="693">
        <v>95209</v>
      </c>
      <c r="D38" s="693">
        <v>66301</v>
      </c>
      <c r="E38" s="693">
        <v>55126</v>
      </c>
      <c r="F38" s="693">
        <v>30737</v>
      </c>
      <c r="G38" s="693">
        <v>21984</v>
      </c>
      <c r="H38" s="693">
        <v>17585</v>
      </c>
      <c r="I38" s="693">
        <v>12763</v>
      </c>
      <c r="J38" s="693">
        <v>10665</v>
      </c>
      <c r="K38" s="693">
        <v>9153</v>
      </c>
      <c r="L38" s="693">
        <v>5529</v>
      </c>
      <c r="M38" s="693">
        <v>4164</v>
      </c>
      <c r="N38" s="695" t="s">
        <v>817</v>
      </c>
      <c r="O38" s="613" t="s">
        <v>50</v>
      </c>
      <c r="P38" s="613"/>
      <c r="Q38" s="667" t="s">
        <v>818</v>
      </c>
      <c r="R38" s="667" t="s">
        <v>829</v>
      </c>
      <c r="Z38" s="678">
        <v>15322</v>
      </c>
      <c r="AA38" s="678">
        <v>16090</v>
      </c>
      <c r="AB38" s="678">
        <f>16577</f>
        <v>16577</v>
      </c>
      <c r="AC38" s="678">
        <v>17075</v>
      </c>
      <c r="AD38" s="678">
        <v>16461</v>
      </c>
      <c r="AE38" s="678">
        <v>14395</v>
      </c>
      <c r="AF38" s="678">
        <v>12539</v>
      </c>
      <c r="AG38" s="678">
        <v>12386</v>
      </c>
    </row>
    <row r="39" spans="1:33">
      <c r="B39" s="684"/>
      <c r="C39" s="684"/>
      <c r="D39" s="684"/>
      <c r="E39" s="684"/>
      <c r="F39" s="684"/>
      <c r="G39" s="684"/>
      <c r="H39" s="684"/>
      <c r="I39" s="684"/>
      <c r="J39" s="684"/>
      <c r="K39" s="684"/>
      <c r="L39" s="684"/>
      <c r="M39" s="684"/>
      <c r="N39" s="695" t="s">
        <v>817</v>
      </c>
      <c r="O39" s="613"/>
      <c r="P39" s="613"/>
      <c r="Z39" s="670">
        <f t="shared" ref="Z39:AG39" si="13">Z40-SUM(Z30:Z38)</f>
        <v>14512</v>
      </c>
      <c r="AA39" s="670">
        <f t="shared" si="13"/>
        <v>15585</v>
      </c>
      <c r="AB39" s="670">
        <f t="shared" si="13"/>
        <v>15786</v>
      </c>
      <c r="AC39" s="670">
        <f t="shared" si="13"/>
        <v>15616</v>
      </c>
      <c r="AD39" s="670">
        <f t="shared" si="13"/>
        <v>17947</v>
      </c>
      <c r="AE39" s="670">
        <f t="shared" si="13"/>
        <v>18419</v>
      </c>
      <c r="AF39" s="670">
        <f t="shared" si="13"/>
        <v>9453</v>
      </c>
      <c r="AG39" s="670">
        <f t="shared" si="13"/>
        <v>9263</v>
      </c>
    </row>
    <row r="40" spans="1:33">
      <c r="B40" s="684"/>
      <c r="C40" s="684"/>
      <c r="D40" s="684"/>
      <c r="E40" s="684"/>
      <c r="F40" s="684"/>
      <c r="G40" s="684"/>
      <c r="H40" s="684"/>
      <c r="I40" s="684"/>
      <c r="J40" s="684"/>
      <c r="K40" s="684"/>
      <c r="L40" s="684"/>
      <c r="M40" s="684"/>
      <c r="N40" s="695" t="s">
        <v>817</v>
      </c>
      <c r="O40" s="613"/>
      <c r="P40" s="613"/>
      <c r="Q40" s="667" t="s">
        <v>818</v>
      </c>
      <c r="R40" s="667" t="s">
        <v>830</v>
      </c>
      <c r="Z40" s="700">
        <v>74704</v>
      </c>
      <c r="AA40" s="700">
        <v>78342</v>
      </c>
      <c r="AB40" s="700">
        <v>84681</v>
      </c>
      <c r="AC40" s="700">
        <v>84896</v>
      </c>
      <c r="AD40" s="700">
        <v>89356</v>
      </c>
      <c r="AE40" s="700">
        <v>81446</v>
      </c>
      <c r="AF40" s="700">
        <v>64020</v>
      </c>
      <c r="AG40" s="700">
        <v>60038</v>
      </c>
    </row>
    <row r="41" spans="1:33">
      <c r="A41" s="692" t="s">
        <v>831</v>
      </c>
      <c r="B41" s="693"/>
      <c r="C41" s="693"/>
      <c r="D41" s="693"/>
      <c r="E41" s="693"/>
      <c r="F41" s="693"/>
      <c r="G41" s="693"/>
      <c r="H41" s="693"/>
      <c r="I41" s="693"/>
      <c r="J41" s="693"/>
      <c r="K41" s="693"/>
      <c r="L41" s="693"/>
      <c r="M41" s="693"/>
      <c r="N41" s="695" t="s">
        <v>817</v>
      </c>
      <c r="O41" s="613"/>
      <c r="P41" s="613"/>
      <c r="Z41" s="677"/>
      <c r="AA41" s="677"/>
      <c r="AB41" s="677"/>
      <c r="AC41" s="677"/>
      <c r="AD41" s="677"/>
      <c r="AE41" s="677"/>
      <c r="AF41" s="677"/>
      <c r="AG41" s="677"/>
    </row>
    <row r="42" spans="1:33">
      <c r="A42" s="672" t="s">
        <v>293</v>
      </c>
      <c r="B42" s="693">
        <v>25891</v>
      </c>
      <c r="C42" s="693">
        <v>21788</v>
      </c>
      <c r="D42" s="693">
        <v>17728</v>
      </c>
      <c r="E42" s="693">
        <v>14845</v>
      </c>
      <c r="F42" s="693">
        <v>11255</v>
      </c>
      <c r="G42" s="693">
        <v>10067</v>
      </c>
      <c r="H42" s="693">
        <v>7295</v>
      </c>
      <c r="I42" s="693">
        <v>5617</v>
      </c>
      <c r="J42" s="693">
        <v>4390</v>
      </c>
      <c r="K42" s="693">
        <v>3980</v>
      </c>
      <c r="L42" s="693">
        <v>2918</v>
      </c>
      <c r="M42" s="693">
        <v>2323</v>
      </c>
      <c r="N42" s="695" t="s">
        <v>817</v>
      </c>
      <c r="O42" s="613" t="s">
        <v>293</v>
      </c>
      <c r="P42" s="613"/>
      <c r="Z42" s="677"/>
      <c r="AA42" s="677"/>
      <c r="AB42" s="677"/>
      <c r="AC42" s="677"/>
      <c r="AD42" s="677"/>
      <c r="AE42" s="677"/>
      <c r="AF42" s="677"/>
      <c r="AG42" s="677"/>
    </row>
    <row r="43" spans="1:33">
      <c r="A43" s="694" t="s">
        <v>832</v>
      </c>
      <c r="B43" s="674">
        <v>0</v>
      </c>
      <c r="C43" s="674">
        <v>0</v>
      </c>
      <c r="D43" s="674">
        <v>0</v>
      </c>
      <c r="E43" s="674">
        <v>0</v>
      </c>
      <c r="F43" s="674">
        <v>165</v>
      </c>
      <c r="G43" s="674">
        <v>76</v>
      </c>
      <c r="H43" s="674">
        <v>112</v>
      </c>
      <c r="I43" s="674">
        <v>71</v>
      </c>
      <c r="J43" s="674">
        <v>96</v>
      </c>
      <c r="K43" s="674">
        <v>65</v>
      </c>
      <c r="L43" s="674">
        <v>0</v>
      </c>
      <c r="M43" s="674">
        <v>33</v>
      </c>
      <c r="N43" s="695"/>
      <c r="O43" s="613"/>
      <c r="P43" s="613"/>
      <c r="Z43" s="696"/>
      <c r="AA43" s="696"/>
      <c r="AB43" s="696"/>
      <c r="AC43" s="696"/>
      <c r="AD43" s="696"/>
      <c r="AE43" s="686"/>
      <c r="AF43" s="686"/>
      <c r="AG43" s="686"/>
    </row>
    <row r="44" spans="1:33" s="672" customFormat="1">
      <c r="A44" s="673" t="s">
        <v>593</v>
      </c>
      <c r="B44" s="674">
        <v>0</v>
      </c>
      <c r="C44" s="674">
        <v>0</v>
      </c>
      <c r="D44" s="674">
        <v>0</v>
      </c>
      <c r="E44" s="674">
        <v>0</v>
      </c>
      <c r="F44" s="674">
        <v>0</v>
      </c>
      <c r="G44" s="674">
        <v>0</v>
      </c>
      <c r="H44" s="674">
        <v>0</v>
      </c>
      <c r="I44" s="674">
        <v>0</v>
      </c>
      <c r="J44" s="674">
        <v>0</v>
      </c>
      <c r="K44" s="674">
        <v>0</v>
      </c>
      <c r="L44" s="674">
        <v>0</v>
      </c>
      <c r="M44" s="674">
        <v>0</v>
      </c>
      <c r="N44" s="695" t="s">
        <v>817</v>
      </c>
      <c r="O44" s="613" t="s">
        <v>833</v>
      </c>
      <c r="P44" s="613"/>
      <c r="Q44" s="667" t="s">
        <v>818</v>
      </c>
      <c r="R44" s="672" t="s">
        <v>834</v>
      </c>
      <c r="Z44" s="700">
        <v>26132</v>
      </c>
      <c r="AA44" s="700">
        <v>26242</v>
      </c>
      <c r="AB44" s="700">
        <v>27877</v>
      </c>
      <c r="AC44" s="700">
        <v>27297</v>
      </c>
      <c r="AD44" s="700">
        <v>29415</v>
      </c>
      <c r="AE44" s="700">
        <f>93+3895+8161+3386+2410+2691+298+1967+558+5102</f>
        <v>28561</v>
      </c>
      <c r="AF44" s="700">
        <f>204+3852+5856+2880+1670+1831+281+1521+495+3430</f>
        <v>22020</v>
      </c>
      <c r="AG44" s="700">
        <f>433+3650+2993+3351+797+1217+262+888+302+5399</f>
        <v>19292</v>
      </c>
    </row>
    <row r="45" spans="1:33" s="672" customFormat="1">
      <c r="A45" s="673" t="s">
        <v>594</v>
      </c>
      <c r="B45" s="674">
        <v>1439</v>
      </c>
      <c r="C45" s="674">
        <v>114</v>
      </c>
      <c r="D45" s="674">
        <v>35</v>
      </c>
      <c r="E45" s="674">
        <v>53</v>
      </c>
      <c r="F45" s="674">
        <v>216</v>
      </c>
      <c r="G45" s="674">
        <v>1025</v>
      </c>
      <c r="H45" s="674">
        <v>102</v>
      </c>
      <c r="I45" s="674">
        <v>15</v>
      </c>
      <c r="J45" s="674">
        <v>0</v>
      </c>
      <c r="K45" s="674">
        <v>572</v>
      </c>
      <c r="L45" s="674">
        <v>521</v>
      </c>
      <c r="M45" s="674">
        <v>496</v>
      </c>
      <c r="N45" s="695"/>
      <c r="O45" s="613"/>
      <c r="P45" s="613"/>
      <c r="Q45" s="667"/>
      <c r="Z45" s="700"/>
      <c r="AA45" s="700"/>
      <c r="AB45" s="700"/>
      <c r="AC45" s="700"/>
      <c r="AD45" s="700"/>
      <c r="AE45" s="700"/>
      <c r="AF45" s="700"/>
      <c r="AG45" s="700"/>
    </row>
    <row r="46" spans="1:33">
      <c r="A46" s="694" t="s">
        <v>595</v>
      </c>
      <c r="B46" s="674">
        <f t="shared" ref="B46" si="14">B42-SUM(B43:B45)</f>
        <v>24452</v>
      </c>
      <c r="C46" s="674">
        <f t="shared" ref="C46:M46" si="15">C42-SUM(C43:C45)</f>
        <v>21674</v>
      </c>
      <c r="D46" s="674">
        <f t="shared" si="15"/>
        <v>17693</v>
      </c>
      <c r="E46" s="674">
        <f t="shared" si="15"/>
        <v>14792</v>
      </c>
      <c r="F46" s="674">
        <f>F42-SUM(F43:F45)</f>
        <v>10874</v>
      </c>
      <c r="G46" s="674">
        <f t="shared" si="15"/>
        <v>8966</v>
      </c>
      <c r="H46" s="674">
        <f t="shared" si="15"/>
        <v>7081</v>
      </c>
      <c r="I46" s="674">
        <f t="shared" si="15"/>
        <v>5531</v>
      </c>
      <c r="J46" s="674">
        <f t="shared" si="15"/>
        <v>4294</v>
      </c>
      <c r="K46" s="674">
        <f t="shared" si="15"/>
        <v>3343</v>
      </c>
      <c r="L46" s="674">
        <f t="shared" si="15"/>
        <v>2397</v>
      </c>
      <c r="M46" s="674">
        <f t="shared" si="15"/>
        <v>1794</v>
      </c>
      <c r="N46" s="695" t="s">
        <v>817</v>
      </c>
      <c r="O46" s="613"/>
      <c r="P46" s="613"/>
      <c r="R46" s="667" t="s">
        <v>835</v>
      </c>
      <c r="Z46" s="681">
        <v>7303</v>
      </c>
      <c r="AA46" s="681">
        <v>6967</v>
      </c>
      <c r="AB46" s="681">
        <v>4708</v>
      </c>
      <c r="AC46" s="681">
        <v>3679</v>
      </c>
      <c r="AD46" s="681">
        <v>5287</v>
      </c>
      <c r="AE46" s="681">
        <v>5660</v>
      </c>
      <c r="AF46" s="681">
        <v>3925</v>
      </c>
      <c r="AG46" s="681">
        <v>5701</v>
      </c>
    </row>
    <row r="47" spans="1:33">
      <c r="A47" s="672" t="s">
        <v>596</v>
      </c>
      <c r="B47" s="693">
        <f t="shared" ref="B47:M47" si="16">B51-B42</f>
        <v>14599</v>
      </c>
      <c r="C47" s="693">
        <f t="shared" si="16"/>
        <v>15290</v>
      </c>
      <c r="D47" s="693">
        <f t="shared" si="16"/>
        <v>7080</v>
      </c>
      <c r="E47" s="693">
        <f t="shared" si="16"/>
        <v>6396</v>
      </c>
      <c r="F47" s="693">
        <f t="shared" si="16"/>
        <v>3877</v>
      </c>
      <c r="G47" s="693">
        <f t="shared" si="16"/>
        <v>1541</v>
      </c>
      <c r="H47" s="693">
        <f t="shared" si="16"/>
        <v>2790</v>
      </c>
      <c r="I47" s="693">
        <f t="shared" si="16"/>
        <v>2143</v>
      </c>
      <c r="J47" s="693">
        <f t="shared" si="16"/>
        <v>2300</v>
      </c>
      <c r="K47" s="693">
        <f t="shared" si="16"/>
        <v>2134</v>
      </c>
      <c r="L47" s="693">
        <f t="shared" si="16"/>
        <v>293</v>
      </c>
      <c r="M47" s="693">
        <f t="shared" si="16"/>
        <v>254</v>
      </c>
      <c r="N47" s="695" t="s">
        <v>817</v>
      </c>
      <c r="O47" s="613" t="s">
        <v>836</v>
      </c>
      <c r="P47" s="613"/>
      <c r="Z47" s="681"/>
      <c r="AA47" s="681"/>
      <c r="AB47" s="681"/>
      <c r="AC47" s="681"/>
      <c r="AD47" s="681"/>
      <c r="AE47" s="681"/>
      <c r="AF47" s="681"/>
      <c r="AG47" s="681"/>
    </row>
    <row r="48" spans="1:33">
      <c r="A48" s="673" t="s">
        <v>597</v>
      </c>
      <c r="B48" s="674">
        <v>9419</v>
      </c>
      <c r="C48" s="674">
        <v>10592</v>
      </c>
      <c r="D48" s="674">
        <v>2673</v>
      </c>
      <c r="E48" s="674">
        <v>2673</v>
      </c>
      <c r="F48" s="674">
        <v>3173</v>
      </c>
      <c r="G48" s="674">
        <v>695</v>
      </c>
      <c r="H48" s="674">
        <v>2008</v>
      </c>
      <c r="I48" s="674">
        <v>1286</v>
      </c>
      <c r="J48" s="674">
        <v>1371</v>
      </c>
      <c r="K48" s="674">
        <v>1302</v>
      </c>
      <c r="L48" s="674">
        <v>0</v>
      </c>
      <c r="M48" s="674">
        <v>0</v>
      </c>
      <c r="N48" s="695" t="s">
        <v>817</v>
      </c>
      <c r="O48" s="613" t="s">
        <v>837</v>
      </c>
      <c r="P48" s="613"/>
      <c r="Z48" s="670">
        <f t="shared" ref="Z48:AG48" si="17">Z44-Z46</f>
        <v>18829</v>
      </c>
      <c r="AA48" s="670">
        <f t="shared" si="17"/>
        <v>19275</v>
      </c>
      <c r="AB48" s="670">
        <f t="shared" si="17"/>
        <v>23169</v>
      </c>
      <c r="AC48" s="670">
        <f t="shared" si="17"/>
        <v>23618</v>
      </c>
      <c r="AD48" s="670">
        <f t="shared" si="17"/>
        <v>24128</v>
      </c>
      <c r="AE48" s="670">
        <f t="shared" si="17"/>
        <v>22901</v>
      </c>
      <c r="AF48" s="670">
        <f t="shared" si="17"/>
        <v>18095</v>
      </c>
      <c r="AG48" s="670">
        <f t="shared" si="17"/>
        <v>13591</v>
      </c>
    </row>
    <row r="49" spans="1:33" s="672" customFormat="1">
      <c r="A49" s="673" t="s">
        <v>598</v>
      </c>
      <c r="B49" s="674">
        <v>534</v>
      </c>
      <c r="C49" s="674">
        <v>271</v>
      </c>
      <c r="D49" s="674">
        <v>93</v>
      </c>
      <c r="E49" s="674">
        <v>332</v>
      </c>
      <c r="F49" s="674">
        <v>257</v>
      </c>
      <c r="G49" s="674">
        <v>0</v>
      </c>
      <c r="H49" s="674">
        <v>682</v>
      </c>
      <c r="I49" s="674">
        <v>747</v>
      </c>
      <c r="J49" s="674">
        <v>827</v>
      </c>
      <c r="K49" s="674">
        <v>634</v>
      </c>
      <c r="L49" s="674">
        <v>0</v>
      </c>
      <c r="M49" s="674">
        <v>0</v>
      </c>
      <c r="N49" s="695"/>
      <c r="O49" s="613"/>
      <c r="P49" s="613"/>
      <c r="Q49" s="667" t="s">
        <v>818</v>
      </c>
      <c r="R49" s="672" t="s">
        <v>838</v>
      </c>
      <c r="Z49" s="700">
        <f>61491-Z44</f>
        <v>35359</v>
      </c>
      <c r="AA49" s="700">
        <f>63457-AA44</f>
        <v>37215</v>
      </c>
      <c r="AB49" s="700">
        <f>67855-AB44</f>
        <v>39978</v>
      </c>
      <c r="AC49" s="700">
        <v>36721</v>
      </c>
      <c r="AD49" s="700">
        <v>41973</v>
      </c>
      <c r="AE49" s="700">
        <f>8415+16529+10956+3583</f>
        <v>39483</v>
      </c>
      <c r="AF49" s="700">
        <f>4505+15932+7584+2654</f>
        <v>30675</v>
      </c>
      <c r="AG49" s="700">
        <f>5652+16195+7420+2179</f>
        <v>31446</v>
      </c>
    </row>
    <row r="50" spans="1:33">
      <c r="A50" s="694" t="s">
        <v>599</v>
      </c>
      <c r="B50" s="674">
        <f>B47-SUM(B48:B49)</f>
        <v>4646</v>
      </c>
      <c r="C50" s="674">
        <f t="shared" ref="C50:M50" si="18">C47-SUM(C48:C49)</f>
        <v>4427</v>
      </c>
      <c r="D50" s="674">
        <f t="shared" si="18"/>
        <v>4314</v>
      </c>
      <c r="E50" s="674">
        <f t="shared" si="18"/>
        <v>3391</v>
      </c>
      <c r="F50" s="674">
        <f>F47-SUM(F48:F49)</f>
        <v>447</v>
      </c>
      <c r="G50" s="674">
        <f t="shared" si="18"/>
        <v>846</v>
      </c>
      <c r="H50" s="674">
        <f t="shared" si="18"/>
        <v>100</v>
      </c>
      <c r="I50" s="674">
        <f t="shared" si="18"/>
        <v>110</v>
      </c>
      <c r="J50" s="674">
        <f t="shared" si="18"/>
        <v>102</v>
      </c>
      <c r="K50" s="674">
        <f>K47-SUM(K48:K49)</f>
        <v>198</v>
      </c>
      <c r="L50" s="674">
        <f t="shared" si="18"/>
        <v>293</v>
      </c>
      <c r="M50" s="674">
        <f t="shared" si="18"/>
        <v>254</v>
      </c>
      <c r="N50" s="695" t="s">
        <v>817</v>
      </c>
      <c r="O50" s="613" t="s">
        <v>839</v>
      </c>
      <c r="P50" s="613"/>
      <c r="R50" s="667" t="s">
        <v>840</v>
      </c>
      <c r="Z50" s="678">
        <v>22818</v>
      </c>
      <c r="AA50" s="678">
        <v>25169</v>
      </c>
      <c r="AB50" s="678">
        <v>27784</v>
      </c>
      <c r="AC50" s="678">
        <v>26719</v>
      </c>
      <c r="AD50" s="678">
        <v>27752</v>
      </c>
      <c r="AE50" s="678">
        <v>24944</v>
      </c>
      <c r="AF50" s="678">
        <v>20437</v>
      </c>
      <c r="AG50" s="678">
        <v>21847</v>
      </c>
    </row>
    <row r="51" spans="1:33">
      <c r="A51" s="672" t="s">
        <v>56</v>
      </c>
      <c r="B51" s="693">
        <v>40490</v>
      </c>
      <c r="C51" s="693">
        <v>37078</v>
      </c>
      <c r="D51" s="693">
        <v>24808</v>
      </c>
      <c r="E51" s="693">
        <v>21241</v>
      </c>
      <c r="F51" s="693">
        <v>15132</v>
      </c>
      <c r="G51" s="693">
        <v>11608</v>
      </c>
      <c r="H51" s="693">
        <v>10085</v>
      </c>
      <c r="I51" s="693">
        <v>7760</v>
      </c>
      <c r="J51" s="693">
        <v>6690</v>
      </c>
      <c r="K51" s="693">
        <v>6114</v>
      </c>
      <c r="L51" s="693">
        <v>3211</v>
      </c>
      <c r="M51" s="693">
        <v>2577</v>
      </c>
      <c r="N51" s="695" t="s">
        <v>817</v>
      </c>
      <c r="O51" s="613" t="s">
        <v>56</v>
      </c>
      <c r="P51" s="613"/>
      <c r="Z51" s="678"/>
      <c r="AA51" s="678"/>
      <c r="AB51" s="678"/>
      <c r="AC51" s="678"/>
      <c r="AD51" s="678"/>
      <c r="AE51" s="678"/>
      <c r="AF51" s="678"/>
      <c r="AG51" s="678"/>
    </row>
    <row r="52" spans="1:33">
      <c r="B52" s="684"/>
      <c r="C52" s="684"/>
      <c r="D52" s="684"/>
      <c r="E52" s="684"/>
      <c r="F52" s="684"/>
      <c r="G52" s="684"/>
      <c r="H52" s="684"/>
      <c r="I52" s="684"/>
      <c r="J52" s="684"/>
      <c r="K52" s="684"/>
      <c r="L52" s="684"/>
      <c r="M52" s="684"/>
      <c r="N52" s="695" t="s">
        <v>817</v>
      </c>
      <c r="O52" s="613"/>
      <c r="P52" s="613"/>
      <c r="Z52" s="670">
        <f t="shared" ref="Z52:AG52" si="19">Z49-Z50</f>
        <v>12541</v>
      </c>
      <c r="AA52" s="670">
        <f t="shared" si="19"/>
        <v>12046</v>
      </c>
      <c r="AB52" s="670">
        <f t="shared" si="19"/>
        <v>12194</v>
      </c>
      <c r="AC52" s="670">
        <f t="shared" si="19"/>
        <v>10002</v>
      </c>
      <c r="AD52" s="670">
        <f t="shared" si="19"/>
        <v>14221</v>
      </c>
      <c r="AE52" s="670">
        <f t="shared" si="19"/>
        <v>14539</v>
      </c>
      <c r="AF52" s="670">
        <f t="shared" si="19"/>
        <v>10238</v>
      </c>
      <c r="AG52" s="670">
        <f t="shared" si="19"/>
        <v>9599</v>
      </c>
    </row>
    <row r="53" spans="1:33" s="672" customFormat="1">
      <c r="A53" s="667"/>
      <c r="B53" s="684"/>
      <c r="C53" s="684"/>
      <c r="D53" s="684"/>
      <c r="E53" s="684"/>
      <c r="F53" s="684"/>
      <c r="G53" s="684"/>
      <c r="H53" s="684"/>
      <c r="I53" s="684"/>
      <c r="J53" s="684"/>
      <c r="K53" s="684"/>
      <c r="L53" s="684"/>
      <c r="M53" s="684"/>
      <c r="N53" s="695" t="s">
        <v>817</v>
      </c>
      <c r="O53" s="613"/>
      <c r="P53" s="613"/>
      <c r="Z53" s="686">
        <f>+Z49+Z44</f>
        <v>61491</v>
      </c>
      <c r="AA53" s="686">
        <f>+AA49+AA44</f>
        <v>63457</v>
      </c>
      <c r="AB53" s="686">
        <f>+AB49+AB44</f>
        <v>67855</v>
      </c>
      <c r="AC53" s="686">
        <f>AC44+AC49</f>
        <v>64018</v>
      </c>
      <c r="AD53" s="686">
        <f>AD49+AD44</f>
        <v>71388</v>
      </c>
      <c r="AE53" s="686">
        <f>AE49+AE44</f>
        <v>68044</v>
      </c>
      <c r="AF53" s="686">
        <f>AF49+AF44</f>
        <v>52695</v>
      </c>
      <c r="AG53" s="686">
        <f>AG49+AG44</f>
        <v>50738</v>
      </c>
    </row>
    <row r="54" spans="1:33">
      <c r="A54" s="701" t="s">
        <v>601</v>
      </c>
      <c r="B54" s="702">
        <v>0</v>
      </c>
      <c r="C54" s="702">
        <v>0</v>
      </c>
      <c r="D54" s="702">
        <v>0</v>
      </c>
      <c r="E54" s="702">
        <v>0</v>
      </c>
      <c r="F54" s="702">
        <v>0</v>
      </c>
      <c r="G54" s="702">
        <v>0</v>
      </c>
      <c r="H54" s="702">
        <v>0</v>
      </c>
      <c r="I54" s="702">
        <v>0</v>
      </c>
      <c r="J54" s="702">
        <v>0</v>
      </c>
      <c r="K54" s="702">
        <v>0</v>
      </c>
      <c r="L54" s="702">
        <v>0</v>
      </c>
      <c r="M54" s="702">
        <v>0</v>
      </c>
      <c r="N54" s="695" t="s">
        <v>817</v>
      </c>
      <c r="O54" s="613" t="s">
        <v>601</v>
      </c>
      <c r="P54" s="613"/>
    </row>
    <row r="55" spans="1:33">
      <c r="B55" s="684"/>
      <c r="C55" s="684"/>
      <c r="D55" s="684"/>
      <c r="E55" s="684"/>
      <c r="F55" s="684"/>
      <c r="G55" s="684"/>
      <c r="H55" s="684"/>
      <c r="I55" s="684"/>
      <c r="J55" s="684"/>
      <c r="K55" s="684"/>
      <c r="L55" s="684"/>
      <c r="M55" s="684"/>
      <c r="N55" s="695" t="s">
        <v>817</v>
      </c>
      <c r="O55" s="613"/>
      <c r="P55" s="613"/>
    </row>
    <row r="56" spans="1:33" s="672" customFormat="1">
      <c r="A56" s="672" t="s">
        <v>602</v>
      </c>
      <c r="B56" s="693">
        <f>B38-B51-B54</f>
        <v>58359</v>
      </c>
      <c r="C56" s="693">
        <f t="shared" ref="C56:M56" si="20">C38-C51-C54</f>
        <v>58131</v>
      </c>
      <c r="D56" s="693">
        <f t="shared" si="20"/>
        <v>41493</v>
      </c>
      <c r="E56" s="693">
        <f>E38-E51-E54</f>
        <v>33885</v>
      </c>
      <c r="F56" s="693">
        <f t="shared" si="20"/>
        <v>15605</v>
      </c>
      <c r="G56" s="693">
        <f t="shared" si="20"/>
        <v>10376</v>
      </c>
      <c r="H56" s="693">
        <f t="shared" si="20"/>
        <v>7500</v>
      </c>
      <c r="I56" s="693">
        <f t="shared" si="20"/>
        <v>5003</v>
      </c>
      <c r="J56" s="693">
        <f>J38-J51-J54</f>
        <v>3975</v>
      </c>
      <c r="K56" s="693">
        <f>K38-K51-K54</f>
        <v>3039</v>
      </c>
      <c r="L56" s="693">
        <f t="shared" si="20"/>
        <v>2318</v>
      </c>
      <c r="M56" s="693">
        <f t="shared" si="20"/>
        <v>1587</v>
      </c>
      <c r="N56" s="695" t="s">
        <v>817</v>
      </c>
      <c r="O56" s="613"/>
      <c r="P56" s="613"/>
      <c r="Q56" s="667" t="s">
        <v>818</v>
      </c>
      <c r="R56" s="672" t="s">
        <v>841</v>
      </c>
    </row>
    <row r="57" spans="1:33">
      <c r="A57" s="672"/>
      <c r="B57" s="693"/>
      <c r="C57" s="693"/>
      <c r="D57" s="693"/>
      <c r="E57" s="693"/>
      <c r="F57" s="693"/>
      <c r="G57" s="693"/>
      <c r="H57" s="693"/>
      <c r="I57" s="693"/>
      <c r="J57" s="693"/>
      <c r="K57" s="693"/>
      <c r="L57" s="693"/>
      <c r="M57" s="693"/>
      <c r="N57" s="695"/>
      <c r="O57" s="613"/>
      <c r="P57" s="613"/>
    </row>
    <row r="58" spans="1:33">
      <c r="A58" s="668" t="s">
        <v>842</v>
      </c>
      <c r="B58" s="693"/>
      <c r="C58" s="693"/>
      <c r="D58" s="693"/>
      <c r="E58" s="693"/>
      <c r="F58" s="693"/>
      <c r="G58" s="693"/>
      <c r="H58" s="693"/>
      <c r="I58" s="693"/>
      <c r="J58" s="693"/>
      <c r="K58" s="693"/>
      <c r="L58" s="693"/>
      <c r="M58" s="693"/>
      <c r="N58" s="695"/>
      <c r="O58" s="613"/>
      <c r="P58" s="613"/>
    </row>
    <row r="59" spans="1:33">
      <c r="A59" s="672" t="s">
        <v>137</v>
      </c>
      <c r="B59" s="693">
        <v>7111</v>
      </c>
      <c r="C59" s="693">
        <v>6000</v>
      </c>
      <c r="D59" s="693">
        <v>4801</v>
      </c>
      <c r="E59" s="693">
        <v>4331</v>
      </c>
      <c r="F59" s="693">
        <v>3398</v>
      </c>
      <c r="G59" s="693">
        <v>2738</v>
      </c>
      <c r="H59" s="693">
        <v>2162</v>
      </c>
      <c r="I59" s="693">
        <v>1672.1</v>
      </c>
      <c r="J59" s="693">
        <v>1181.4000000000001</v>
      </c>
      <c r="K59" s="693">
        <v>875.5</v>
      </c>
      <c r="L59" s="693">
        <v>736.9</v>
      </c>
      <c r="M59" s="693">
        <v>591.5</v>
      </c>
      <c r="N59" s="695"/>
      <c r="O59" s="613"/>
      <c r="P59" s="613"/>
    </row>
    <row r="60" spans="1:33">
      <c r="A60" s="673" t="s">
        <v>74</v>
      </c>
      <c r="B60" s="674">
        <f t="shared" ref="B60:M60" si="21">B12</f>
        <v>208</v>
      </c>
      <c r="C60" s="674">
        <f t="shared" si="21"/>
        <v>1444</v>
      </c>
      <c r="D60" s="674">
        <f t="shared" si="21"/>
        <v>4072</v>
      </c>
      <c r="E60" s="674">
        <f t="shared" si="21"/>
        <v>1266</v>
      </c>
      <c r="F60" s="674">
        <f t="shared" si="21"/>
        <v>1110</v>
      </c>
      <c r="G60" s="674">
        <f t="shared" si="21"/>
        <v>360</v>
      </c>
      <c r="H60" s="674">
        <f t="shared" si="21"/>
        <v>323</v>
      </c>
      <c r="I60" s="674">
        <f t="shared" si="21"/>
        <v>-47.4</v>
      </c>
      <c r="J60" s="674">
        <f t="shared" si="21"/>
        <v>-262.7</v>
      </c>
      <c r="K60" s="674">
        <f t="shared" si="21"/>
        <v>-232.2</v>
      </c>
      <c r="L60" s="674">
        <f t="shared" si="21"/>
        <v>-270.39999999999998</v>
      </c>
      <c r="M60" s="674">
        <f t="shared" si="21"/>
        <v>-11.6</v>
      </c>
      <c r="N60" s="695"/>
      <c r="O60" s="613"/>
      <c r="P60" s="613"/>
    </row>
    <row r="61" spans="1:33">
      <c r="A61" s="694" t="s">
        <v>65</v>
      </c>
      <c r="B61" s="674">
        <v>3786</v>
      </c>
      <c r="C61" s="674">
        <v>3298</v>
      </c>
      <c r="D61" s="674">
        <v>2846</v>
      </c>
      <c r="E61" s="674">
        <v>2135</v>
      </c>
      <c r="F61" s="674">
        <v>962</v>
      </c>
      <c r="G61" s="674">
        <v>753</v>
      </c>
      <c r="H61" s="674">
        <v>632</v>
      </c>
      <c r="I61" s="674">
        <v>525.79999999999995</v>
      </c>
      <c r="J61" s="674">
        <v>448.3</v>
      </c>
      <c r="K61" s="674">
        <v>369.4</v>
      </c>
      <c r="L61" s="674">
        <v>216.8</v>
      </c>
      <c r="M61" s="674">
        <v>157.30000000000001</v>
      </c>
      <c r="N61" s="695"/>
      <c r="O61" s="613"/>
      <c r="P61" s="613"/>
    </row>
    <row r="62" spans="1:33">
      <c r="A62" s="694" t="s">
        <v>843</v>
      </c>
      <c r="B62" s="703">
        <v>-2069</v>
      </c>
      <c r="C62" s="674">
        <v>-1658</v>
      </c>
      <c r="D62" s="703">
        <v>-1192</v>
      </c>
      <c r="E62" s="674">
        <v>-330</v>
      </c>
      <c r="F62" s="703">
        <v>-172</v>
      </c>
      <c r="G62" s="674">
        <v>24</v>
      </c>
      <c r="H62" s="674">
        <v>-83</v>
      </c>
      <c r="I62" s="674">
        <v>312</v>
      </c>
      <c r="J62" s="674">
        <v>139.1</v>
      </c>
      <c r="K62" s="674">
        <v>-1.3</v>
      </c>
      <c r="L62" s="674">
        <v>247.2</v>
      </c>
      <c r="M62" s="674">
        <v>105</v>
      </c>
      <c r="N62" s="695"/>
      <c r="O62" s="613"/>
      <c r="P62" s="613"/>
    </row>
    <row r="63" spans="1:33">
      <c r="A63" s="694" t="s">
        <v>844</v>
      </c>
      <c r="B63" s="674">
        <f t="shared" ref="B63:C63" si="22">B59-B60-B61-B62</f>
        <v>5186</v>
      </c>
      <c r="C63" s="674">
        <f t="shared" si="22"/>
        <v>2916</v>
      </c>
      <c r="D63" s="674">
        <f>D59-D60-D61-D62</f>
        <v>-925</v>
      </c>
      <c r="E63" s="674">
        <f t="shared" ref="E63:M63" si="23">E59-E60-E61-E62</f>
        <v>1260</v>
      </c>
      <c r="F63" s="674">
        <f t="shared" si="23"/>
        <v>1498</v>
      </c>
      <c r="G63" s="674">
        <f t="shared" si="23"/>
        <v>1601</v>
      </c>
      <c r="H63" s="674">
        <f t="shared" si="23"/>
        <v>1290</v>
      </c>
      <c r="I63" s="674">
        <f t="shared" si="23"/>
        <v>881.7</v>
      </c>
      <c r="J63" s="674">
        <f t="shared" si="23"/>
        <v>856.70000000000016</v>
      </c>
      <c r="K63" s="674">
        <f t="shared" si="23"/>
        <v>739.6</v>
      </c>
      <c r="L63" s="674">
        <f t="shared" si="23"/>
        <v>543.29999999999995</v>
      </c>
      <c r="M63" s="674">
        <f t="shared" si="23"/>
        <v>340.8</v>
      </c>
      <c r="N63" s="695"/>
      <c r="O63" s="613"/>
      <c r="P63" s="613"/>
    </row>
    <row r="64" spans="1:33">
      <c r="A64" s="672" t="s">
        <v>138</v>
      </c>
      <c r="B64" s="693">
        <v>-1989</v>
      </c>
      <c r="C64" s="693">
        <v>-14536</v>
      </c>
      <c r="D64" s="693">
        <v>-3971</v>
      </c>
      <c r="E64" s="693">
        <v>-2980</v>
      </c>
      <c r="F64" s="693">
        <v>-5308</v>
      </c>
      <c r="G64" s="693">
        <v>-2011</v>
      </c>
      <c r="H64" s="693">
        <v>-2684</v>
      </c>
      <c r="I64" s="693">
        <v>-1487.9</v>
      </c>
      <c r="J64" s="693">
        <v>-698.4</v>
      </c>
      <c r="K64" s="693">
        <v>-2431.6</v>
      </c>
      <c r="L64" s="693">
        <v>-938.9</v>
      </c>
      <c r="M64" s="693">
        <v>-489.7</v>
      </c>
      <c r="N64" s="695"/>
      <c r="O64" s="613"/>
      <c r="P64" s="613"/>
    </row>
    <row r="65" spans="1:16">
      <c r="A65" s="694" t="s">
        <v>139</v>
      </c>
      <c r="B65" s="674">
        <v>-798</v>
      </c>
      <c r="C65" s="674">
        <v>-717</v>
      </c>
      <c r="D65" s="674">
        <v>-710</v>
      </c>
      <c r="E65" s="674">
        <v>-643</v>
      </c>
      <c r="F65" s="674">
        <v>-595</v>
      </c>
      <c r="G65" s="674">
        <v>-534</v>
      </c>
      <c r="H65" s="674">
        <v>-464</v>
      </c>
      <c r="I65" s="674">
        <v>-709.9</v>
      </c>
      <c r="J65" s="674">
        <v>-290.5</v>
      </c>
      <c r="K65" s="674">
        <v>-299.10000000000002</v>
      </c>
      <c r="L65" s="674">
        <v>-175.6</v>
      </c>
      <c r="M65" s="674">
        <v>-151.6</v>
      </c>
      <c r="N65" s="695"/>
      <c r="O65" s="613"/>
      <c r="P65" s="613"/>
    </row>
    <row r="66" spans="1:16">
      <c r="A66" s="694" t="s">
        <v>140</v>
      </c>
      <c r="B66" s="674">
        <v>-439</v>
      </c>
      <c r="C66" s="674">
        <v>-14876</v>
      </c>
      <c r="D66" s="674">
        <v>-1281</v>
      </c>
      <c r="E66" s="674">
        <v>-369</v>
      </c>
      <c r="F66" s="674">
        <v>-5115</v>
      </c>
      <c r="G66" s="674">
        <v>-25</v>
      </c>
      <c r="H66" s="674">
        <v>-3193</v>
      </c>
      <c r="I66" s="674">
        <v>-58.7</v>
      </c>
      <c r="J66" s="674">
        <v>0</v>
      </c>
      <c r="K66" s="674">
        <v>-2617.3000000000002</v>
      </c>
      <c r="L66" s="674">
        <v>-579.70000000000005</v>
      </c>
      <c r="M66" s="674">
        <v>-422.7</v>
      </c>
      <c r="N66" s="695"/>
      <c r="O66" s="613"/>
      <c r="P66" s="613"/>
    </row>
    <row r="67" spans="1:16">
      <c r="A67" s="694" t="s">
        <v>845</v>
      </c>
      <c r="B67" s="674">
        <f>B64-B65-B66</f>
        <v>-752</v>
      </c>
      <c r="C67" s="674">
        <f>C64-C65-C66</f>
        <v>1057</v>
      </c>
      <c r="D67" s="674">
        <f>D64-D65-D66</f>
        <v>-1980</v>
      </c>
      <c r="E67" s="674">
        <f>E64-E65-E66</f>
        <v>-1968</v>
      </c>
      <c r="F67" s="674">
        <f t="shared" ref="F67:M67" si="24">F64-F65-F66</f>
        <v>402</v>
      </c>
      <c r="G67" s="674">
        <f t="shared" si="24"/>
        <v>-1452</v>
      </c>
      <c r="H67" s="674">
        <f t="shared" si="24"/>
        <v>973</v>
      </c>
      <c r="I67" s="674">
        <f t="shared" si="24"/>
        <v>-719.30000000000007</v>
      </c>
      <c r="J67" s="674">
        <f t="shared" si="24"/>
        <v>-407.9</v>
      </c>
      <c r="K67" s="674">
        <f t="shared" si="24"/>
        <v>484.80000000000018</v>
      </c>
      <c r="L67" s="674">
        <f t="shared" si="24"/>
        <v>-183.59999999999991</v>
      </c>
      <c r="M67" s="674">
        <f t="shared" si="24"/>
        <v>84.599999999999966</v>
      </c>
      <c r="N67" s="695"/>
      <c r="O67" s="613"/>
      <c r="P67" s="613"/>
    </row>
    <row r="68" spans="1:16">
      <c r="A68" s="672" t="s">
        <v>141</v>
      </c>
      <c r="B68" s="693">
        <v>-3562</v>
      </c>
      <c r="C68" s="693">
        <v>7838</v>
      </c>
      <c r="D68" s="693">
        <v>1194</v>
      </c>
      <c r="E68" s="693">
        <v>164</v>
      </c>
      <c r="F68" s="693">
        <v>2010</v>
      </c>
      <c r="G68" s="693">
        <v>221</v>
      </c>
      <c r="H68" s="693">
        <v>998</v>
      </c>
      <c r="I68" s="693">
        <v>73.2</v>
      </c>
      <c r="J68" s="693">
        <v>-318.2</v>
      </c>
      <c r="K68" s="693">
        <v>1598.2</v>
      </c>
      <c r="L68" s="693">
        <v>334.5</v>
      </c>
      <c r="M68" s="693">
        <v>75.900000000000006</v>
      </c>
      <c r="N68" s="695"/>
      <c r="O68" s="613"/>
      <c r="P68" s="613"/>
    </row>
    <row r="69" spans="1:16">
      <c r="A69" s="694" t="s">
        <v>846</v>
      </c>
      <c r="B69" s="674">
        <v>0</v>
      </c>
      <c r="C69" s="674">
        <v>6549</v>
      </c>
      <c r="D69" s="674">
        <v>0</v>
      </c>
      <c r="E69" s="674">
        <v>0</v>
      </c>
      <c r="F69" s="674">
        <v>1306</v>
      </c>
      <c r="G69" s="674">
        <v>0</v>
      </c>
      <c r="H69" s="674">
        <v>597</v>
      </c>
      <c r="I69" s="674">
        <v>0</v>
      </c>
      <c r="J69" s="674">
        <v>297.3</v>
      </c>
      <c r="K69" s="674">
        <v>1132.2</v>
      </c>
      <c r="L69" s="674">
        <v>0</v>
      </c>
      <c r="M69" s="674">
        <v>0</v>
      </c>
      <c r="N69" s="695"/>
      <c r="O69" s="613"/>
      <c r="P69" s="613"/>
    </row>
    <row r="70" spans="1:16">
      <c r="A70" s="694" t="s">
        <v>847</v>
      </c>
      <c r="B70" s="674">
        <v>-423</v>
      </c>
      <c r="C70" s="674">
        <v>-1357</v>
      </c>
      <c r="D70" s="674">
        <v>-107</v>
      </c>
      <c r="E70" s="674">
        <v>-676</v>
      </c>
      <c r="F70" s="674">
        <v>-1660</v>
      </c>
      <c r="G70" s="674">
        <v>-429</v>
      </c>
      <c r="H70" s="674">
        <v>-648</v>
      </c>
      <c r="I70" s="674">
        <v>-382.3</v>
      </c>
      <c r="J70" s="674">
        <v>-924.5</v>
      </c>
      <c r="K70" s="674">
        <v>-62.1</v>
      </c>
      <c r="L70" s="674">
        <v>-31.8</v>
      </c>
      <c r="M70" s="674">
        <v>-30.5</v>
      </c>
      <c r="N70" s="695"/>
      <c r="O70" s="613"/>
      <c r="P70" s="613"/>
    </row>
    <row r="71" spans="1:16">
      <c r="A71" s="694" t="s">
        <v>848</v>
      </c>
      <c r="B71" s="674"/>
      <c r="C71" s="674"/>
      <c r="D71" s="674"/>
      <c r="E71" s="674"/>
      <c r="F71" s="674"/>
      <c r="G71" s="674"/>
      <c r="H71" s="674"/>
      <c r="I71" s="674"/>
      <c r="J71" s="674"/>
      <c r="K71" s="674"/>
      <c r="L71" s="674"/>
      <c r="M71" s="674"/>
      <c r="N71" s="695"/>
      <c r="O71" s="613"/>
      <c r="P71" s="613"/>
    </row>
    <row r="72" spans="1:16">
      <c r="A72" s="694" t="s">
        <v>849</v>
      </c>
      <c r="B72" s="674"/>
      <c r="C72" s="674"/>
      <c r="D72" s="674"/>
      <c r="E72" s="674"/>
      <c r="F72" s="674"/>
      <c r="G72" s="674"/>
      <c r="H72" s="674"/>
      <c r="I72" s="674"/>
      <c r="J72" s="674"/>
      <c r="K72" s="674"/>
      <c r="L72" s="674"/>
      <c r="M72" s="674"/>
      <c r="N72" s="695"/>
      <c r="O72" s="613"/>
      <c r="P72" s="613"/>
    </row>
    <row r="73" spans="1:16">
      <c r="A73" s="694" t="s">
        <v>142</v>
      </c>
      <c r="B73" s="674">
        <v>0</v>
      </c>
      <c r="C73" s="674">
        <v>0</v>
      </c>
      <c r="D73" s="674">
        <v>0</v>
      </c>
      <c r="E73" s="674">
        <v>0</v>
      </c>
      <c r="F73" s="674">
        <v>0</v>
      </c>
      <c r="G73" s="674">
        <v>0</v>
      </c>
      <c r="H73" s="675">
        <v>0</v>
      </c>
      <c r="I73" s="674">
        <v>0</v>
      </c>
      <c r="J73" s="675">
        <v>0</v>
      </c>
      <c r="K73" s="674">
        <v>0</v>
      </c>
      <c r="L73" s="674">
        <v>0</v>
      </c>
      <c r="M73" s="674">
        <v>0</v>
      </c>
      <c r="N73" s="689" t="s">
        <v>850</v>
      </c>
      <c r="O73" s="613" t="s">
        <v>851</v>
      </c>
      <c r="P73" s="613"/>
    </row>
    <row r="74" spans="1:16">
      <c r="A74" s="694" t="s">
        <v>584</v>
      </c>
      <c r="B74" s="674">
        <v>-4000</v>
      </c>
      <c r="C74" s="674">
        <v>0</v>
      </c>
      <c r="D74" s="674">
        <v>0</v>
      </c>
      <c r="E74" s="674">
        <v>0</v>
      </c>
      <c r="F74" s="674">
        <v>0</v>
      </c>
      <c r="G74" s="674">
        <v>0</v>
      </c>
      <c r="H74" s="675">
        <v>0</v>
      </c>
      <c r="I74" s="674">
        <v>0</v>
      </c>
      <c r="J74" s="675">
        <v>0</v>
      </c>
      <c r="K74" s="674">
        <v>0</v>
      </c>
      <c r="L74" s="674">
        <v>0</v>
      </c>
      <c r="M74" s="674">
        <v>0</v>
      </c>
      <c r="N74" s="689" t="s">
        <v>850</v>
      </c>
      <c r="O74" s="613" t="str">
        <f>+A74</f>
        <v>Share buyback</v>
      </c>
      <c r="P74" s="613"/>
    </row>
    <row r="75" spans="1:16">
      <c r="A75" s="694" t="s">
        <v>845</v>
      </c>
      <c r="B75" s="674">
        <f t="shared" ref="B75:M75" si="25">B68-B69-B70-B71-B72-B73-B74</f>
        <v>861</v>
      </c>
      <c r="C75" s="674">
        <f t="shared" si="25"/>
        <v>2646</v>
      </c>
      <c r="D75" s="674">
        <f t="shared" si="25"/>
        <v>1301</v>
      </c>
      <c r="E75" s="674">
        <f t="shared" si="25"/>
        <v>840</v>
      </c>
      <c r="F75" s="674">
        <f t="shared" si="25"/>
        <v>2364</v>
      </c>
      <c r="G75" s="674">
        <f t="shared" si="25"/>
        <v>650</v>
      </c>
      <c r="H75" s="674">
        <f t="shared" si="25"/>
        <v>1049</v>
      </c>
      <c r="I75" s="674">
        <f t="shared" si="25"/>
        <v>455.5</v>
      </c>
      <c r="J75" s="674">
        <f t="shared" si="25"/>
        <v>309</v>
      </c>
      <c r="K75" s="674">
        <f t="shared" si="25"/>
        <v>528.1</v>
      </c>
      <c r="L75" s="674">
        <f t="shared" si="25"/>
        <v>366.3</v>
      </c>
      <c r="M75" s="674">
        <f t="shared" si="25"/>
        <v>106.4</v>
      </c>
      <c r="N75" s="695"/>
      <c r="O75" s="613"/>
      <c r="P75" s="613"/>
    </row>
    <row r="76" spans="1:16">
      <c r="A76" s="672" t="s">
        <v>145</v>
      </c>
      <c r="B76" s="693">
        <v>-8</v>
      </c>
      <c r="C76" s="693">
        <v>-33</v>
      </c>
      <c r="D76" s="693">
        <v>26</v>
      </c>
      <c r="E76" s="693">
        <v>-39</v>
      </c>
      <c r="F76" s="693">
        <v>26</v>
      </c>
      <c r="G76" s="693">
        <v>-12</v>
      </c>
      <c r="H76" s="693">
        <v>-27</v>
      </c>
      <c r="I76" s="693">
        <v>-7.1</v>
      </c>
      <c r="J76" s="693">
        <v>-38.4</v>
      </c>
      <c r="K76" s="693">
        <v>-7.8</v>
      </c>
      <c r="L76" s="693">
        <v>7.4</v>
      </c>
      <c r="M76" s="693">
        <v>5.3</v>
      </c>
      <c r="N76" s="695"/>
      <c r="O76" s="613"/>
      <c r="P76" s="613"/>
    </row>
    <row r="77" spans="1:16">
      <c r="A77" s="672" t="s">
        <v>603</v>
      </c>
      <c r="B77" s="693">
        <f>B59+B64+B68+B76</f>
        <v>1552</v>
      </c>
      <c r="C77" s="693">
        <f t="shared" ref="C77:M77" si="26">C59+C64+C68+C76</f>
        <v>-731</v>
      </c>
      <c r="D77" s="693">
        <f t="shared" si="26"/>
        <v>2050</v>
      </c>
      <c r="E77" s="693">
        <f t="shared" si="26"/>
        <v>1476</v>
      </c>
      <c r="F77" s="693">
        <f t="shared" si="26"/>
        <v>126</v>
      </c>
      <c r="G77" s="693">
        <f t="shared" si="26"/>
        <v>936</v>
      </c>
      <c r="H77" s="693">
        <f t="shared" si="26"/>
        <v>449</v>
      </c>
      <c r="I77" s="693">
        <f t="shared" si="26"/>
        <v>250.29999999999981</v>
      </c>
      <c r="J77" s="693">
        <f t="shared" si="26"/>
        <v>126.40000000000012</v>
      </c>
      <c r="K77" s="693">
        <f t="shared" si="26"/>
        <v>34.300000000000139</v>
      </c>
      <c r="L77" s="693">
        <f t="shared" si="26"/>
        <v>139.9</v>
      </c>
      <c r="M77" s="693">
        <f t="shared" si="26"/>
        <v>183.00000000000003</v>
      </c>
      <c r="N77" s="695"/>
      <c r="O77" s="613"/>
      <c r="P77" s="613"/>
    </row>
    <row r="78" spans="1:16">
      <c r="M78" s="670"/>
      <c r="N78" s="613"/>
      <c r="O78" s="613" t="s">
        <v>852</v>
      </c>
      <c r="P78" s="613"/>
    </row>
    <row r="79" spans="1:16">
      <c r="A79" s="668" t="s">
        <v>853</v>
      </c>
      <c r="B79" s="668"/>
      <c r="C79" s="668"/>
      <c r="D79" s="668"/>
      <c r="E79" s="1210" t="s">
        <v>611</v>
      </c>
      <c r="F79" s="1210"/>
      <c r="G79" s="1210"/>
      <c r="H79" s="1210" t="s">
        <v>854</v>
      </c>
      <c r="I79" s="1210"/>
      <c r="J79" s="668" t="s">
        <v>613</v>
      </c>
      <c r="K79" s="668" t="s">
        <v>614</v>
      </c>
      <c r="L79" s="668" t="s">
        <v>615</v>
      </c>
      <c r="M79" s="686"/>
      <c r="N79" s="613"/>
      <c r="O79" s="613"/>
      <c r="P79" s="613"/>
    </row>
    <row r="80" spans="1:16">
      <c r="A80" s="673" t="s">
        <v>855</v>
      </c>
      <c r="B80" s="704" t="s">
        <v>856</v>
      </c>
      <c r="C80" s="704" t="s">
        <v>856</v>
      </c>
      <c r="D80" s="670"/>
      <c r="E80" s="1207"/>
      <c r="F80" s="1207"/>
      <c r="G80" s="1207"/>
      <c r="H80" s="1208"/>
      <c r="I80" s="1208"/>
      <c r="J80" s="706"/>
      <c r="K80" s="705"/>
      <c r="L80" s="705"/>
      <c r="M80" s="670"/>
      <c r="N80" s="704" t="s">
        <v>857</v>
      </c>
      <c r="O80" s="613"/>
      <c r="P80" s="613"/>
    </row>
    <row r="81" spans="1:16">
      <c r="A81" s="673" t="s">
        <v>858</v>
      </c>
      <c r="B81" s="704" t="s">
        <v>859</v>
      </c>
      <c r="C81" s="704" t="s">
        <v>859</v>
      </c>
      <c r="D81" s="670"/>
      <c r="E81" s="1207"/>
      <c r="F81" s="1207"/>
      <c r="G81" s="1207"/>
      <c r="H81" s="1208"/>
      <c r="I81" s="1208"/>
      <c r="J81" s="706"/>
      <c r="K81" s="705"/>
      <c r="L81" s="705"/>
      <c r="M81" s="670"/>
      <c r="N81" s="704" t="s">
        <v>857</v>
      </c>
      <c r="O81" s="613"/>
      <c r="P81" s="613"/>
    </row>
    <row r="82" spans="1:16">
      <c r="A82" s="673" t="s">
        <v>54</v>
      </c>
      <c r="B82" s="704" t="s">
        <v>859</v>
      </c>
      <c r="C82" s="704" t="s">
        <v>859</v>
      </c>
      <c r="D82" s="45"/>
      <c r="E82" s="1207"/>
      <c r="F82" s="1207"/>
      <c r="G82" s="1207"/>
      <c r="H82" s="1208"/>
      <c r="I82" s="1208"/>
      <c r="J82" s="706"/>
      <c r="K82" s="705"/>
      <c r="L82" s="705"/>
      <c r="M82" s="47"/>
      <c r="N82" s="704" t="s">
        <v>857</v>
      </c>
      <c r="O82" s="613"/>
      <c r="P82" s="613"/>
    </row>
    <row r="83" spans="1:16">
      <c r="A83" s="673" t="s">
        <v>58</v>
      </c>
      <c r="B83" s="704" t="s">
        <v>859</v>
      </c>
      <c r="C83" s="704" t="s">
        <v>859</v>
      </c>
      <c r="D83" s="46"/>
      <c r="E83" s="1207"/>
      <c r="F83" s="1207"/>
      <c r="G83" s="1207"/>
      <c r="H83" s="1208"/>
      <c r="I83" s="1208"/>
      <c r="J83" s="706"/>
      <c r="K83" s="705"/>
      <c r="L83" s="705"/>
      <c r="M83" s="47"/>
      <c r="N83" s="704" t="s">
        <v>857</v>
      </c>
      <c r="O83" s="613"/>
      <c r="P83" s="613"/>
    </row>
    <row r="84" spans="1:16">
      <c r="A84" s="673" t="s">
        <v>607</v>
      </c>
      <c r="B84" s="704" t="s">
        <v>856</v>
      </c>
      <c r="C84" s="704" t="s">
        <v>856</v>
      </c>
      <c r="D84" s="670"/>
      <c r="E84" s="1207"/>
      <c r="F84" s="1207"/>
      <c r="G84" s="1207"/>
      <c r="H84" s="1208"/>
      <c r="I84" s="1208"/>
      <c r="J84" s="706"/>
      <c r="K84" s="705"/>
      <c r="L84" s="705"/>
      <c r="M84" s="670"/>
      <c r="N84" s="704" t="s">
        <v>857</v>
      </c>
      <c r="O84" s="613"/>
      <c r="P84" s="613"/>
    </row>
    <row r="85" spans="1:16">
      <c r="A85" s="673" t="s">
        <v>860</v>
      </c>
      <c r="B85" s="704" t="s">
        <v>859</v>
      </c>
      <c r="C85" s="704" t="s">
        <v>859</v>
      </c>
      <c r="D85" s="670"/>
      <c r="E85" s="1207"/>
      <c r="F85" s="1207"/>
      <c r="G85" s="1207"/>
      <c r="H85" s="1208"/>
      <c r="I85" s="1208"/>
      <c r="J85" s="705"/>
      <c r="K85" s="705"/>
      <c r="L85" s="705"/>
      <c r="M85" s="670"/>
      <c r="N85" s="704" t="s">
        <v>857</v>
      </c>
      <c r="O85" s="613"/>
    </row>
    <row r="86" spans="1:16">
      <c r="A86" s="673" t="s">
        <v>609</v>
      </c>
      <c r="B86" s="704" t="s">
        <v>861</v>
      </c>
      <c r="C86" s="704" t="s">
        <v>861</v>
      </c>
      <c r="D86" s="670"/>
      <c r="E86" s="1207"/>
      <c r="F86" s="1207"/>
      <c r="G86" s="1207"/>
      <c r="H86" s="1208"/>
      <c r="I86" s="1208"/>
      <c r="J86" s="705"/>
      <c r="K86" s="705"/>
      <c r="L86" s="705"/>
      <c r="M86" s="670"/>
      <c r="N86" s="704" t="s">
        <v>857</v>
      </c>
    </row>
    <row r="87" spans="1:16">
      <c r="B87" s="668">
        <f>A87+1</f>
        <v>1</v>
      </c>
      <c r="C87" s="668">
        <f>B87+1</f>
        <v>2</v>
      </c>
      <c r="D87" s="668">
        <f>C87+1</f>
        <v>3</v>
      </c>
      <c r="E87" s="707"/>
      <c r="G87" s="707"/>
      <c r="H87" s="707"/>
      <c r="I87" s="707"/>
      <c r="J87" s="707"/>
      <c r="K87" s="707"/>
      <c r="L87" s="707"/>
      <c r="M87" s="707"/>
      <c r="N87" s="613"/>
    </row>
    <row r="88" spans="1:16">
      <c r="A88" s="673" t="s">
        <v>610</v>
      </c>
      <c r="E88" s="704" t="s">
        <v>861</v>
      </c>
      <c r="K88" s="667"/>
      <c r="L88" s="667"/>
      <c r="O88" s="613"/>
      <c r="P88" s="613"/>
    </row>
    <row r="89" spans="1:16">
      <c r="A89" s="673" t="s">
        <v>80</v>
      </c>
      <c r="B89" s="708"/>
      <c r="C89" s="708"/>
      <c r="D89" s="708"/>
      <c r="E89" s="704" t="s">
        <v>861</v>
      </c>
      <c r="K89" s="667"/>
      <c r="L89" s="667"/>
      <c r="O89" s="668"/>
    </row>
    <row r="90" spans="1:16">
      <c r="M90" s="613"/>
      <c r="N90" s="616"/>
      <c r="O90" s="668"/>
    </row>
    <row r="91" spans="1:16">
      <c r="J91" s="670"/>
      <c r="L91" s="613"/>
      <c r="M91" s="613"/>
      <c r="N91" s="613"/>
    </row>
    <row r="92" spans="1:16">
      <c r="J92" s="670"/>
      <c r="L92" s="613"/>
      <c r="M92" s="613"/>
      <c r="N92" s="613"/>
    </row>
    <row r="93" spans="1:16">
      <c r="J93" s="670"/>
      <c r="L93" s="613"/>
      <c r="M93" s="613"/>
      <c r="N93" s="613"/>
    </row>
    <row r="94" spans="1:16">
      <c r="J94" s="670"/>
      <c r="L94" s="613"/>
      <c r="M94" s="613"/>
      <c r="N94" s="613"/>
    </row>
    <row r="95" spans="1:16">
      <c r="J95" s="670"/>
      <c r="L95" s="613"/>
      <c r="M95" s="613"/>
      <c r="N95" s="613"/>
    </row>
    <row r="96" spans="1:16">
      <c r="J96" s="670"/>
      <c r="L96" s="613"/>
      <c r="M96" s="613"/>
      <c r="N96" s="613"/>
      <c r="O96" s="613"/>
    </row>
    <row r="97" spans="1:14">
      <c r="J97" s="670"/>
      <c r="L97" s="613"/>
      <c r="M97" s="613"/>
      <c r="N97" s="613"/>
    </row>
    <row r="98" spans="1:14">
      <c r="G98" s="613"/>
      <c r="M98" s="613"/>
      <c r="N98" s="613"/>
    </row>
    <row r="99" spans="1:14">
      <c r="A99" s="613"/>
      <c r="B99" s="613"/>
      <c r="C99" s="613"/>
      <c r="D99" s="613"/>
      <c r="E99" s="613"/>
      <c r="F99" s="613"/>
      <c r="G99" s="613"/>
    </row>
    <row r="100" spans="1:14">
      <c r="A100" s="613"/>
      <c r="B100" s="613"/>
      <c r="C100" s="613"/>
      <c r="D100" s="613"/>
      <c r="E100" s="613"/>
      <c r="F100" s="613"/>
      <c r="G100" s="613"/>
    </row>
  </sheetData>
  <mergeCells count="19">
    <mergeCell ref="G2:J2"/>
    <mergeCell ref="D4:M4"/>
    <mergeCell ref="R5:S5"/>
    <mergeCell ref="H79:I79"/>
    <mergeCell ref="E79:G79"/>
    <mergeCell ref="E85:G85"/>
    <mergeCell ref="E86:G86"/>
    <mergeCell ref="H80:I80"/>
    <mergeCell ref="H81:I81"/>
    <mergeCell ref="H82:I82"/>
    <mergeCell ref="H83:I83"/>
    <mergeCell ref="H84:I84"/>
    <mergeCell ref="H85:I85"/>
    <mergeCell ref="H86:I86"/>
    <mergeCell ref="E80:G80"/>
    <mergeCell ref="E81:G81"/>
    <mergeCell ref="E82:G82"/>
    <mergeCell ref="E83:G83"/>
    <mergeCell ref="E84:G84"/>
  </mergeCells>
  <pageMargins left="0.75" right="0.75" top="1" bottom="1" header="0" footer="0"/>
  <pageSetup orientation="portrait" horizontalDpi="4294967292"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14A6E-6EC8-8A45-9180-4928731545D0}">
  <dimension ref="A1:N104"/>
  <sheetViews>
    <sheetView topLeftCell="A8" zoomScale="141" workbookViewId="0">
      <pane ySplit="1" topLeftCell="A90" activePane="bottomLeft" state="frozen"/>
      <selection activeCell="A8" sqref="A8"/>
      <selection pane="bottomLeft" activeCell="F92" sqref="F92"/>
    </sheetView>
  </sheetViews>
  <sheetFormatPr baseColWidth="10" defaultColWidth="11.5" defaultRowHeight="16"/>
  <cols>
    <col min="1" max="1" width="33.1640625" style="763" bestFit="1" customWidth="1"/>
    <col min="2" max="2" width="15.6640625" style="760" customWidth="1"/>
    <col min="3" max="3" width="18.83203125" style="760" bestFit="1" customWidth="1"/>
    <col min="4" max="4" width="34.6640625" style="760" bestFit="1" customWidth="1"/>
    <col min="5" max="5" width="24.6640625" style="760" bestFit="1" customWidth="1"/>
    <col min="6" max="6" width="32.6640625" style="760" customWidth="1"/>
    <col min="7" max="7" width="12" style="760" customWidth="1"/>
    <col min="8" max="8" width="18.5" style="760" customWidth="1"/>
    <col min="9" max="9" width="23.83203125" style="760" customWidth="1"/>
    <col min="10" max="10" width="12.5" style="760" customWidth="1"/>
    <col min="11" max="256" width="11.5" style="760" bestFit="1" customWidth="1"/>
    <col min="257" max="257" width="33.1640625" style="760" bestFit="1" customWidth="1"/>
    <col min="258" max="258" width="15.6640625" style="760" customWidth="1"/>
    <col min="259" max="259" width="18.83203125" style="760" bestFit="1" customWidth="1"/>
    <col min="260" max="260" width="34.6640625" style="760" bestFit="1" customWidth="1"/>
    <col min="261" max="261" width="24.6640625" style="760" bestFit="1" customWidth="1"/>
    <col min="262" max="262" width="32.6640625" style="760" customWidth="1"/>
    <col min="263" max="263" width="12" style="760" customWidth="1"/>
    <col min="264" max="264" width="18.5" style="760" customWidth="1"/>
    <col min="265" max="265" width="23.83203125" style="760" customWidth="1"/>
    <col min="266" max="266" width="12.5" style="760" customWidth="1"/>
    <col min="267" max="512" width="11.5" style="760" bestFit="1" customWidth="1"/>
    <col min="513" max="513" width="33.1640625" style="760" bestFit="1" customWidth="1"/>
    <col min="514" max="514" width="15.6640625" style="760" customWidth="1"/>
    <col min="515" max="515" width="18.83203125" style="760" bestFit="1" customWidth="1"/>
    <col min="516" max="516" width="34.6640625" style="760" bestFit="1" customWidth="1"/>
    <col min="517" max="517" width="24.6640625" style="760" bestFit="1" customWidth="1"/>
    <col min="518" max="518" width="32.6640625" style="760" customWidth="1"/>
    <col min="519" max="519" width="12" style="760" customWidth="1"/>
    <col min="520" max="520" width="18.5" style="760" customWidth="1"/>
    <col min="521" max="521" width="23.83203125" style="760" customWidth="1"/>
    <col min="522" max="522" width="12.5" style="760" customWidth="1"/>
    <col min="523" max="768" width="11.5" style="760" bestFit="1" customWidth="1"/>
    <col min="769" max="769" width="33.1640625" style="760" bestFit="1" customWidth="1"/>
    <col min="770" max="770" width="15.6640625" style="760" customWidth="1"/>
    <col min="771" max="771" width="18.83203125" style="760" bestFit="1" customWidth="1"/>
    <col min="772" max="772" width="34.6640625" style="760" bestFit="1" customWidth="1"/>
    <col min="773" max="773" width="24.6640625" style="760" bestFit="1" customWidth="1"/>
    <col min="774" max="774" width="32.6640625" style="760" customWidth="1"/>
    <col min="775" max="775" width="12" style="760" customWidth="1"/>
    <col min="776" max="776" width="18.5" style="760" customWidth="1"/>
    <col min="777" max="777" width="23.83203125" style="760" customWidth="1"/>
    <col min="778" max="778" width="12.5" style="760" customWidth="1"/>
    <col min="779" max="1024" width="11.5" style="760" bestFit="1" customWidth="1"/>
    <col min="1025" max="1025" width="33.1640625" style="760" bestFit="1" customWidth="1"/>
    <col min="1026" max="1026" width="15.6640625" style="760" customWidth="1"/>
    <col min="1027" max="1027" width="18.83203125" style="760" bestFit="1" customWidth="1"/>
    <col min="1028" max="1028" width="34.6640625" style="760" bestFit="1" customWidth="1"/>
    <col min="1029" max="1029" width="24.6640625" style="760" bestFit="1" customWidth="1"/>
    <col min="1030" max="1030" width="32.6640625" style="760" customWidth="1"/>
    <col min="1031" max="1031" width="12" style="760" customWidth="1"/>
    <col min="1032" max="1032" width="18.5" style="760" customWidth="1"/>
    <col min="1033" max="1033" width="23.83203125" style="760" customWidth="1"/>
    <col min="1034" max="1034" width="12.5" style="760" customWidth="1"/>
    <col min="1035" max="1280" width="11.5" style="760" bestFit="1" customWidth="1"/>
    <col min="1281" max="1281" width="33.1640625" style="760" bestFit="1" customWidth="1"/>
    <col min="1282" max="1282" width="15.6640625" style="760" customWidth="1"/>
    <col min="1283" max="1283" width="18.83203125" style="760" bestFit="1" customWidth="1"/>
    <col min="1284" max="1284" width="34.6640625" style="760" bestFit="1" customWidth="1"/>
    <col min="1285" max="1285" width="24.6640625" style="760" bestFit="1" customWidth="1"/>
    <col min="1286" max="1286" width="32.6640625" style="760" customWidth="1"/>
    <col min="1287" max="1287" width="12" style="760" customWidth="1"/>
    <col min="1288" max="1288" width="18.5" style="760" customWidth="1"/>
    <col min="1289" max="1289" width="23.83203125" style="760" customWidth="1"/>
    <col min="1290" max="1290" width="12.5" style="760" customWidth="1"/>
    <col min="1291" max="1536" width="11.5" style="760" bestFit="1" customWidth="1"/>
    <col min="1537" max="1537" width="33.1640625" style="760" bestFit="1" customWidth="1"/>
    <col min="1538" max="1538" width="15.6640625" style="760" customWidth="1"/>
    <col min="1539" max="1539" width="18.83203125" style="760" bestFit="1" customWidth="1"/>
    <col min="1540" max="1540" width="34.6640625" style="760" bestFit="1" customWidth="1"/>
    <col min="1541" max="1541" width="24.6640625" style="760" bestFit="1" customWidth="1"/>
    <col min="1542" max="1542" width="32.6640625" style="760" customWidth="1"/>
    <col min="1543" max="1543" width="12" style="760" customWidth="1"/>
    <col min="1544" max="1544" width="18.5" style="760" customWidth="1"/>
    <col min="1545" max="1545" width="23.83203125" style="760" customWidth="1"/>
    <col min="1546" max="1546" width="12.5" style="760" customWidth="1"/>
    <col min="1547" max="1792" width="11.5" style="760" bestFit="1" customWidth="1"/>
    <col min="1793" max="1793" width="33.1640625" style="760" bestFit="1" customWidth="1"/>
    <col min="1794" max="1794" width="15.6640625" style="760" customWidth="1"/>
    <col min="1795" max="1795" width="18.83203125" style="760" bestFit="1" customWidth="1"/>
    <col min="1796" max="1796" width="34.6640625" style="760" bestFit="1" customWidth="1"/>
    <col min="1797" max="1797" width="24.6640625" style="760" bestFit="1" customWidth="1"/>
    <col min="1798" max="1798" width="32.6640625" style="760" customWidth="1"/>
    <col min="1799" max="1799" width="12" style="760" customWidth="1"/>
    <col min="1800" max="1800" width="18.5" style="760" customWidth="1"/>
    <col min="1801" max="1801" width="23.83203125" style="760" customWidth="1"/>
    <col min="1802" max="1802" width="12.5" style="760" customWidth="1"/>
    <col min="1803" max="2048" width="11.5" style="760" bestFit="1" customWidth="1"/>
    <col min="2049" max="2049" width="33.1640625" style="760" bestFit="1" customWidth="1"/>
    <col min="2050" max="2050" width="15.6640625" style="760" customWidth="1"/>
    <col min="2051" max="2051" width="18.83203125" style="760" bestFit="1" customWidth="1"/>
    <col min="2052" max="2052" width="34.6640625" style="760" bestFit="1" customWidth="1"/>
    <col min="2053" max="2053" width="24.6640625" style="760" bestFit="1" customWidth="1"/>
    <col min="2054" max="2054" width="32.6640625" style="760" customWidth="1"/>
    <col min="2055" max="2055" width="12" style="760" customWidth="1"/>
    <col min="2056" max="2056" width="18.5" style="760" customWidth="1"/>
    <col min="2057" max="2057" width="23.83203125" style="760" customWidth="1"/>
    <col min="2058" max="2058" width="12.5" style="760" customWidth="1"/>
    <col min="2059" max="2304" width="11.5" style="760" bestFit="1" customWidth="1"/>
    <col min="2305" max="2305" width="33.1640625" style="760" bestFit="1" customWidth="1"/>
    <col min="2306" max="2306" width="15.6640625" style="760" customWidth="1"/>
    <col min="2307" max="2307" width="18.83203125" style="760" bestFit="1" customWidth="1"/>
    <col min="2308" max="2308" width="34.6640625" style="760" bestFit="1" customWidth="1"/>
    <col min="2309" max="2309" width="24.6640625" style="760" bestFit="1" customWidth="1"/>
    <col min="2310" max="2310" width="32.6640625" style="760" customWidth="1"/>
    <col min="2311" max="2311" width="12" style="760" customWidth="1"/>
    <col min="2312" max="2312" width="18.5" style="760" customWidth="1"/>
    <col min="2313" max="2313" width="23.83203125" style="760" customWidth="1"/>
    <col min="2314" max="2314" width="12.5" style="760" customWidth="1"/>
    <col min="2315" max="2560" width="11.5" style="760" bestFit="1" customWidth="1"/>
    <col min="2561" max="2561" width="33.1640625" style="760" bestFit="1" customWidth="1"/>
    <col min="2562" max="2562" width="15.6640625" style="760" customWidth="1"/>
    <col min="2563" max="2563" width="18.83203125" style="760" bestFit="1" customWidth="1"/>
    <col min="2564" max="2564" width="34.6640625" style="760" bestFit="1" customWidth="1"/>
    <col min="2565" max="2565" width="24.6640625" style="760" bestFit="1" customWidth="1"/>
    <col min="2566" max="2566" width="32.6640625" style="760" customWidth="1"/>
    <col min="2567" max="2567" width="12" style="760" customWidth="1"/>
    <col min="2568" max="2568" width="18.5" style="760" customWidth="1"/>
    <col min="2569" max="2569" width="23.83203125" style="760" customWidth="1"/>
    <col min="2570" max="2570" width="12.5" style="760" customWidth="1"/>
    <col min="2571" max="2816" width="11.5" style="760" bestFit="1" customWidth="1"/>
    <col min="2817" max="2817" width="33.1640625" style="760" bestFit="1" customWidth="1"/>
    <col min="2818" max="2818" width="15.6640625" style="760" customWidth="1"/>
    <col min="2819" max="2819" width="18.83203125" style="760" bestFit="1" customWidth="1"/>
    <col min="2820" max="2820" width="34.6640625" style="760" bestFit="1" customWidth="1"/>
    <col min="2821" max="2821" width="24.6640625" style="760" bestFit="1" customWidth="1"/>
    <col min="2822" max="2822" width="32.6640625" style="760" customWidth="1"/>
    <col min="2823" max="2823" width="12" style="760" customWidth="1"/>
    <col min="2824" max="2824" width="18.5" style="760" customWidth="1"/>
    <col min="2825" max="2825" width="23.83203125" style="760" customWidth="1"/>
    <col min="2826" max="2826" width="12.5" style="760" customWidth="1"/>
    <col min="2827" max="3072" width="11.5" style="760" bestFit="1" customWidth="1"/>
    <col min="3073" max="3073" width="33.1640625" style="760" bestFit="1" customWidth="1"/>
    <col min="3074" max="3074" width="15.6640625" style="760" customWidth="1"/>
    <col min="3075" max="3075" width="18.83203125" style="760" bestFit="1" customWidth="1"/>
    <col min="3076" max="3076" width="34.6640625" style="760" bestFit="1" customWidth="1"/>
    <col min="3077" max="3077" width="24.6640625" style="760" bestFit="1" customWidth="1"/>
    <col min="3078" max="3078" width="32.6640625" style="760" customWidth="1"/>
    <col min="3079" max="3079" width="12" style="760" customWidth="1"/>
    <col min="3080" max="3080" width="18.5" style="760" customWidth="1"/>
    <col min="3081" max="3081" width="23.83203125" style="760" customWidth="1"/>
    <col min="3082" max="3082" width="12.5" style="760" customWidth="1"/>
    <col min="3083" max="3328" width="11.5" style="760" bestFit="1" customWidth="1"/>
    <col min="3329" max="3329" width="33.1640625" style="760" bestFit="1" customWidth="1"/>
    <col min="3330" max="3330" width="15.6640625" style="760" customWidth="1"/>
    <col min="3331" max="3331" width="18.83203125" style="760" bestFit="1" customWidth="1"/>
    <col min="3332" max="3332" width="34.6640625" style="760" bestFit="1" customWidth="1"/>
    <col min="3333" max="3333" width="24.6640625" style="760" bestFit="1" customWidth="1"/>
    <col min="3334" max="3334" width="32.6640625" style="760" customWidth="1"/>
    <col min="3335" max="3335" width="12" style="760" customWidth="1"/>
    <col min="3336" max="3336" width="18.5" style="760" customWidth="1"/>
    <col min="3337" max="3337" width="23.83203125" style="760" customWidth="1"/>
    <col min="3338" max="3338" width="12.5" style="760" customWidth="1"/>
    <col min="3339" max="3584" width="11.5" style="760" bestFit="1" customWidth="1"/>
    <col min="3585" max="3585" width="33.1640625" style="760" bestFit="1" customWidth="1"/>
    <col min="3586" max="3586" width="15.6640625" style="760" customWidth="1"/>
    <col min="3587" max="3587" width="18.83203125" style="760" bestFit="1" customWidth="1"/>
    <col min="3588" max="3588" width="34.6640625" style="760" bestFit="1" customWidth="1"/>
    <col min="3589" max="3589" width="24.6640625" style="760" bestFit="1" customWidth="1"/>
    <col min="3590" max="3590" width="32.6640625" style="760" customWidth="1"/>
    <col min="3591" max="3591" width="12" style="760" customWidth="1"/>
    <col min="3592" max="3592" width="18.5" style="760" customWidth="1"/>
    <col min="3593" max="3593" width="23.83203125" style="760" customWidth="1"/>
    <col min="3594" max="3594" width="12.5" style="760" customWidth="1"/>
    <col min="3595" max="3840" width="11.5" style="760" bestFit="1" customWidth="1"/>
    <col min="3841" max="3841" width="33.1640625" style="760" bestFit="1" customWidth="1"/>
    <col min="3842" max="3842" width="15.6640625" style="760" customWidth="1"/>
    <col min="3843" max="3843" width="18.83203125" style="760" bestFit="1" customWidth="1"/>
    <col min="3844" max="3844" width="34.6640625" style="760" bestFit="1" customWidth="1"/>
    <col min="3845" max="3845" width="24.6640625" style="760" bestFit="1" customWidth="1"/>
    <col min="3846" max="3846" width="32.6640625" style="760" customWidth="1"/>
    <col min="3847" max="3847" width="12" style="760" customWidth="1"/>
    <col min="3848" max="3848" width="18.5" style="760" customWidth="1"/>
    <col min="3849" max="3849" width="23.83203125" style="760" customWidth="1"/>
    <col min="3850" max="3850" width="12.5" style="760" customWidth="1"/>
    <col min="3851" max="4096" width="11.5" style="760" bestFit="1" customWidth="1"/>
    <col min="4097" max="4097" width="33.1640625" style="760" bestFit="1" customWidth="1"/>
    <col min="4098" max="4098" width="15.6640625" style="760" customWidth="1"/>
    <col min="4099" max="4099" width="18.83203125" style="760" bestFit="1" customWidth="1"/>
    <col min="4100" max="4100" width="34.6640625" style="760" bestFit="1" customWidth="1"/>
    <col min="4101" max="4101" width="24.6640625" style="760" bestFit="1" customWidth="1"/>
    <col min="4102" max="4102" width="32.6640625" style="760" customWidth="1"/>
    <col min="4103" max="4103" width="12" style="760" customWidth="1"/>
    <col min="4104" max="4104" width="18.5" style="760" customWidth="1"/>
    <col min="4105" max="4105" width="23.83203125" style="760" customWidth="1"/>
    <col min="4106" max="4106" width="12.5" style="760" customWidth="1"/>
    <col min="4107" max="4352" width="11.5" style="760" bestFit="1" customWidth="1"/>
    <col min="4353" max="4353" width="33.1640625" style="760" bestFit="1" customWidth="1"/>
    <col min="4354" max="4354" width="15.6640625" style="760" customWidth="1"/>
    <col min="4355" max="4355" width="18.83203125" style="760" bestFit="1" customWidth="1"/>
    <col min="4356" max="4356" width="34.6640625" style="760" bestFit="1" customWidth="1"/>
    <col min="4357" max="4357" width="24.6640625" style="760" bestFit="1" customWidth="1"/>
    <col min="4358" max="4358" width="32.6640625" style="760" customWidth="1"/>
    <col min="4359" max="4359" width="12" style="760" customWidth="1"/>
    <col min="4360" max="4360" width="18.5" style="760" customWidth="1"/>
    <col min="4361" max="4361" width="23.83203125" style="760" customWidth="1"/>
    <col min="4362" max="4362" width="12.5" style="760" customWidth="1"/>
    <col min="4363" max="4608" width="11.5" style="760" bestFit="1" customWidth="1"/>
    <col min="4609" max="4609" width="33.1640625" style="760" bestFit="1" customWidth="1"/>
    <col min="4610" max="4610" width="15.6640625" style="760" customWidth="1"/>
    <col min="4611" max="4611" width="18.83203125" style="760" bestFit="1" customWidth="1"/>
    <col min="4612" max="4612" width="34.6640625" style="760" bestFit="1" customWidth="1"/>
    <col min="4613" max="4613" width="24.6640625" style="760" bestFit="1" customWidth="1"/>
    <col min="4614" max="4614" width="32.6640625" style="760" customWidth="1"/>
    <col min="4615" max="4615" width="12" style="760" customWidth="1"/>
    <col min="4616" max="4616" width="18.5" style="760" customWidth="1"/>
    <col min="4617" max="4617" width="23.83203125" style="760" customWidth="1"/>
    <col min="4618" max="4618" width="12.5" style="760" customWidth="1"/>
    <col min="4619" max="4864" width="11.5" style="760" bestFit="1" customWidth="1"/>
    <col min="4865" max="4865" width="33.1640625" style="760" bestFit="1" customWidth="1"/>
    <col min="4866" max="4866" width="15.6640625" style="760" customWidth="1"/>
    <col min="4867" max="4867" width="18.83203125" style="760" bestFit="1" customWidth="1"/>
    <col min="4868" max="4868" width="34.6640625" style="760" bestFit="1" customWidth="1"/>
    <col min="4869" max="4869" width="24.6640625" style="760" bestFit="1" customWidth="1"/>
    <col min="4870" max="4870" width="32.6640625" style="760" customWidth="1"/>
    <col min="4871" max="4871" width="12" style="760" customWidth="1"/>
    <col min="4872" max="4872" width="18.5" style="760" customWidth="1"/>
    <col min="4873" max="4873" width="23.83203125" style="760" customWidth="1"/>
    <col min="4874" max="4874" width="12.5" style="760" customWidth="1"/>
    <col min="4875" max="5120" width="11.5" style="760" bestFit="1" customWidth="1"/>
    <col min="5121" max="5121" width="33.1640625" style="760" bestFit="1" customWidth="1"/>
    <col min="5122" max="5122" width="15.6640625" style="760" customWidth="1"/>
    <col min="5123" max="5123" width="18.83203125" style="760" bestFit="1" customWidth="1"/>
    <col min="5124" max="5124" width="34.6640625" style="760" bestFit="1" customWidth="1"/>
    <col min="5125" max="5125" width="24.6640625" style="760" bestFit="1" customWidth="1"/>
    <col min="5126" max="5126" width="32.6640625" style="760" customWidth="1"/>
    <col min="5127" max="5127" width="12" style="760" customWidth="1"/>
    <col min="5128" max="5128" width="18.5" style="760" customWidth="1"/>
    <col min="5129" max="5129" width="23.83203125" style="760" customWidth="1"/>
    <col min="5130" max="5130" width="12.5" style="760" customWidth="1"/>
    <col min="5131" max="5376" width="11.5" style="760" bestFit="1" customWidth="1"/>
    <col min="5377" max="5377" width="33.1640625" style="760" bestFit="1" customWidth="1"/>
    <col min="5378" max="5378" width="15.6640625" style="760" customWidth="1"/>
    <col min="5379" max="5379" width="18.83203125" style="760" bestFit="1" customWidth="1"/>
    <col min="5380" max="5380" width="34.6640625" style="760" bestFit="1" customWidth="1"/>
    <col min="5381" max="5381" width="24.6640625" style="760" bestFit="1" customWidth="1"/>
    <col min="5382" max="5382" width="32.6640625" style="760" customWidth="1"/>
    <col min="5383" max="5383" width="12" style="760" customWidth="1"/>
    <col min="5384" max="5384" width="18.5" style="760" customWidth="1"/>
    <col min="5385" max="5385" width="23.83203125" style="760" customWidth="1"/>
    <col min="5386" max="5386" width="12.5" style="760" customWidth="1"/>
    <col min="5387" max="5632" width="11.5" style="760" bestFit="1" customWidth="1"/>
    <col min="5633" max="5633" width="33.1640625" style="760" bestFit="1" customWidth="1"/>
    <col min="5634" max="5634" width="15.6640625" style="760" customWidth="1"/>
    <col min="5635" max="5635" width="18.83203125" style="760" bestFit="1" customWidth="1"/>
    <col min="5636" max="5636" width="34.6640625" style="760" bestFit="1" customWidth="1"/>
    <col min="5637" max="5637" width="24.6640625" style="760" bestFit="1" customWidth="1"/>
    <col min="5638" max="5638" width="32.6640625" style="760" customWidth="1"/>
    <col min="5639" max="5639" width="12" style="760" customWidth="1"/>
    <col min="5640" max="5640" width="18.5" style="760" customWidth="1"/>
    <col min="5641" max="5641" width="23.83203125" style="760" customWidth="1"/>
    <col min="5642" max="5642" width="12.5" style="760" customWidth="1"/>
    <col min="5643" max="5888" width="11.5" style="760" bestFit="1" customWidth="1"/>
    <col min="5889" max="5889" width="33.1640625" style="760" bestFit="1" customWidth="1"/>
    <col min="5890" max="5890" width="15.6640625" style="760" customWidth="1"/>
    <col min="5891" max="5891" width="18.83203125" style="760" bestFit="1" customWidth="1"/>
    <col min="5892" max="5892" width="34.6640625" style="760" bestFit="1" customWidth="1"/>
    <col min="5893" max="5893" width="24.6640625" style="760" bestFit="1" customWidth="1"/>
    <col min="5894" max="5894" width="32.6640625" style="760" customWidth="1"/>
    <col min="5895" max="5895" width="12" style="760" customWidth="1"/>
    <col min="5896" max="5896" width="18.5" style="760" customWidth="1"/>
    <col min="5897" max="5897" width="23.83203125" style="760" customWidth="1"/>
    <col min="5898" max="5898" width="12.5" style="760" customWidth="1"/>
    <col min="5899" max="6144" width="11.5" style="760" bestFit="1" customWidth="1"/>
    <col min="6145" max="6145" width="33.1640625" style="760" bestFit="1" customWidth="1"/>
    <col min="6146" max="6146" width="15.6640625" style="760" customWidth="1"/>
    <col min="6147" max="6147" width="18.83203125" style="760" bestFit="1" customWidth="1"/>
    <col min="6148" max="6148" width="34.6640625" style="760" bestFit="1" customWidth="1"/>
    <col min="6149" max="6149" width="24.6640625" style="760" bestFit="1" customWidth="1"/>
    <col min="6150" max="6150" width="32.6640625" style="760" customWidth="1"/>
    <col min="6151" max="6151" width="12" style="760" customWidth="1"/>
    <col min="6152" max="6152" width="18.5" style="760" customWidth="1"/>
    <col min="6153" max="6153" width="23.83203125" style="760" customWidth="1"/>
    <col min="6154" max="6154" width="12.5" style="760" customWidth="1"/>
    <col min="6155" max="6400" width="11.5" style="760" bestFit="1" customWidth="1"/>
    <col min="6401" max="6401" width="33.1640625" style="760" bestFit="1" customWidth="1"/>
    <col min="6402" max="6402" width="15.6640625" style="760" customWidth="1"/>
    <col min="6403" max="6403" width="18.83203125" style="760" bestFit="1" customWidth="1"/>
    <col min="6404" max="6404" width="34.6640625" style="760" bestFit="1" customWidth="1"/>
    <col min="6405" max="6405" width="24.6640625" style="760" bestFit="1" customWidth="1"/>
    <col min="6406" max="6406" width="32.6640625" style="760" customWidth="1"/>
    <col min="6407" max="6407" width="12" style="760" customWidth="1"/>
    <col min="6408" max="6408" width="18.5" style="760" customWidth="1"/>
    <col min="6409" max="6409" width="23.83203125" style="760" customWidth="1"/>
    <col min="6410" max="6410" width="12.5" style="760" customWidth="1"/>
    <col min="6411" max="6656" width="11.5" style="760" bestFit="1" customWidth="1"/>
    <col min="6657" max="6657" width="33.1640625" style="760" bestFit="1" customWidth="1"/>
    <col min="6658" max="6658" width="15.6640625" style="760" customWidth="1"/>
    <col min="6659" max="6659" width="18.83203125" style="760" bestFit="1" customWidth="1"/>
    <col min="6660" max="6660" width="34.6640625" style="760" bestFit="1" customWidth="1"/>
    <col min="6661" max="6661" width="24.6640625" style="760" bestFit="1" customWidth="1"/>
    <col min="6662" max="6662" width="32.6640625" style="760" customWidth="1"/>
    <col min="6663" max="6663" width="12" style="760" customWidth="1"/>
    <col min="6664" max="6664" width="18.5" style="760" customWidth="1"/>
    <col min="6665" max="6665" width="23.83203125" style="760" customWidth="1"/>
    <col min="6666" max="6666" width="12.5" style="760" customWidth="1"/>
    <col min="6667" max="6912" width="11.5" style="760" bestFit="1" customWidth="1"/>
    <col min="6913" max="6913" width="33.1640625" style="760" bestFit="1" customWidth="1"/>
    <col min="6914" max="6914" width="15.6640625" style="760" customWidth="1"/>
    <col min="6915" max="6915" width="18.83203125" style="760" bestFit="1" customWidth="1"/>
    <col min="6916" max="6916" width="34.6640625" style="760" bestFit="1" customWidth="1"/>
    <col min="6917" max="6917" width="24.6640625" style="760" bestFit="1" customWidth="1"/>
    <col min="6918" max="6918" width="32.6640625" style="760" customWidth="1"/>
    <col min="6919" max="6919" width="12" style="760" customWidth="1"/>
    <col min="6920" max="6920" width="18.5" style="760" customWidth="1"/>
    <col min="6921" max="6921" width="23.83203125" style="760" customWidth="1"/>
    <col min="6922" max="6922" width="12.5" style="760" customWidth="1"/>
    <col min="6923" max="7168" width="11.5" style="760" bestFit="1" customWidth="1"/>
    <col min="7169" max="7169" width="33.1640625" style="760" bestFit="1" customWidth="1"/>
    <col min="7170" max="7170" width="15.6640625" style="760" customWidth="1"/>
    <col min="7171" max="7171" width="18.83203125" style="760" bestFit="1" customWidth="1"/>
    <col min="7172" max="7172" width="34.6640625" style="760" bestFit="1" customWidth="1"/>
    <col min="7173" max="7173" width="24.6640625" style="760" bestFit="1" customWidth="1"/>
    <col min="7174" max="7174" width="32.6640625" style="760" customWidth="1"/>
    <col min="7175" max="7175" width="12" style="760" customWidth="1"/>
    <col min="7176" max="7176" width="18.5" style="760" customWidth="1"/>
    <col min="7177" max="7177" width="23.83203125" style="760" customWidth="1"/>
    <col min="7178" max="7178" width="12.5" style="760" customWidth="1"/>
    <col min="7179" max="7424" width="11.5" style="760" bestFit="1" customWidth="1"/>
    <col min="7425" max="7425" width="33.1640625" style="760" bestFit="1" customWidth="1"/>
    <col min="7426" max="7426" width="15.6640625" style="760" customWidth="1"/>
    <col min="7427" max="7427" width="18.83203125" style="760" bestFit="1" customWidth="1"/>
    <col min="7428" max="7428" width="34.6640625" style="760" bestFit="1" customWidth="1"/>
    <col min="7429" max="7429" width="24.6640625" style="760" bestFit="1" customWidth="1"/>
    <col min="7430" max="7430" width="32.6640625" style="760" customWidth="1"/>
    <col min="7431" max="7431" width="12" style="760" customWidth="1"/>
    <col min="7432" max="7432" width="18.5" style="760" customWidth="1"/>
    <col min="7433" max="7433" width="23.83203125" style="760" customWidth="1"/>
    <col min="7434" max="7434" width="12.5" style="760" customWidth="1"/>
    <col min="7435" max="7680" width="11.5" style="760" bestFit="1" customWidth="1"/>
    <col min="7681" max="7681" width="33.1640625" style="760" bestFit="1" customWidth="1"/>
    <col min="7682" max="7682" width="15.6640625" style="760" customWidth="1"/>
    <col min="7683" max="7683" width="18.83203125" style="760" bestFit="1" customWidth="1"/>
    <col min="7684" max="7684" width="34.6640625" style="760" bestFit="1" customWidth="1"/>
    <col min="7685" max="7685" width="24.6640625" style="760" bestFit="1" customWidth="1"/>
    <col min="7686" max="7686" width="32.6640625" style="760" customWidth="1"/>
    <col min="7687" max="7687" width="12" style="760" customWidth="1"/>
    <col min="7688" max="7688" width="18.5" style="760" customWidth="1"/>
    <col min="7689" max="7689" width="23.83203125" style="760" customWidth="1"/>
    <col min="7690" max="7690" width="12.5" style="760" customWidth="1"/>
    <col min="7691" max="7936" width="11.5" style="760" bestFit="1" customWidth="1"/>
    <col min="7937" max="7937" width="33.1640625" style="760" bestFit="1" customWidth="1"/>
    <col min="7938" max="7938" width="15.6640625" style="760" customWidth="1"/>
    <col min="7939" max="7939" width="18.83203125" style="760" bestFit="1" customWidth="1"/>
    <col min="7940" max="7940" width="34.6640625" style="760" bestFit="1" customWidth="1"/>
    <col min="7941" max="7941" width="24.6640625" style="760" bestFit="1" customWidth="1"/>
    <col min="7942" max="7942" width="32.6640625" style="760" customWidth="1"/>
    <col min="7943" max="7943" width="12" style="760" customWidth="1"/>
    <col min="7944" max="7944" width="18.5" style="760" customWidth="1"/>
    <col min="7945" max="7945" width="23.83203125" style="760" customWidth="1"/>
    <col min="7946" max="7946" width="12.5" style="760" customWidth="1"/>
    <col min="7947" max="8192" width="11.5" style="760" bestFit="1" customWidth="1"/>
    <col min="8193" max="8193" width="33.1640625" style="760" bestFit="1" customWidth="1"/>
    <col min="8194" max="8194" width="15.6640625" style="760" customWidth="1"/>
    <col min="8195" max="8195" width="18.83203125" style="760" bestFit="1" customWidth="1"/>
    <col min="8196" max="8196" width="34.6640625" style="760" bestFit="1" customWidth="1"/>
    <col min="8197" max="8197" width="24.6640625" style="760" bestFit="1" customWidth="1"/>
    <col min="8198" max="8198" width="32.6640625" style="760" customWidth="1"/>
    <col min="8199" max="8199" width="12" style="760" customWidth="1"/>
    <col min="8200" max="8200" width="18.5" style="760" customWidth="1"/>
    <col min="8201" max="8201" width="23.83203125" style="760" customWidth="1"/>
    <col min="8202" max="8202" width="12.5" style="760" customWidth="1"/>
    <col min="8203" max="8448" width="11.5" style="760" bestFit="1" customWidth="1"/>
    <col min="8449" max="8449" width="33.1640625" style="760" bestFit="1" customWidth="1"/>
    <col min="8450" max="8450" width="15.6640625" style="760" customWidth="1"/>
    <col min="8451" max="8451" width="18.83203125" style="760" bestFit="1" customWidth="1"/>
    <col min="8452" max="8452" width="34.6640625" style="760" bestFit="1" customWidth="1"/>
    <col min="8453" max="8453" width="24.6640625" style="760" bestFit="1" customWidth="1"/>
    <col min="8454" max="8454" width="32.6640625" style="760" customWidth="1"/>
    <col min="8455" max="8455" width="12" style="760" customWidth="1"/>
    <col min="8456" max="8456" width="18.5" style="760" customWidth="1"/>
    <col min="8457" max="8457" width="23.83203125" style="760" customWidth="1"/>
    <col min="8458" max="8458" width="12.5" style="760" customWidth="1"/>
    <col min="8459" max="8704" width="11.5" style="760" bestFit="1" customWidth="1"/>
    <col min="8705" max="8705" width="33.1640625" style="760" bestFit="1" customWidth="1"/>
    <col min="8706" max="8706" width="15.6640625" style="760" customWidth="1"/>
    <col min="8707" max="8707" width="18.83203125" style="760" bestFit="1" customWidth="1"/>
    <col min="8708" max="8708" width="34.6640625" style="760" bestFit="1" customWidth="1"/>
    <col min="8709" max="8709" width="24.6640625" style="760" bestFit="1" customWidth="1"/>
    <col min="8710" max="8710" width="32.6640625" style="760" customWidth="1"/>
    <col min="8711" max="8711" width="12" style="760" customWidth="1"/>
    <col min="8712" max="8712" width="18.5" style="760" customWidth="1"/>
    <col min="8713" max="8713" width="23.83203125" style="760" customWidth="1"/>
    <col min="8714" max="8714" width="12.5" style="760" customWidth="1"/>
    <col min="8715" max="8960" width="11.5" style="760" bestFit="1" customWidth="1"/>
    <col min="8961" max="8961" width="33.1640625" style="760" bestFit="1" customWidth="1"/>
    <col min="8962" max="8962" width="15.6640625" style="760" customWidth="1"/>
    <col min="8963" max="8963" width="18.83203125" style="760" bestFit="1" customWidth="1"/>
    <col min="8964" max="8964" width="34.6640625" style="760" bestFit="1" customWidth="1"/>
    <col min="8965" max="8965" width="24.6640625" style="760" bestFit="1" customWidth="1"/>
    <col min="8966" max="8966" width="32.6640625" style="760" customWidth="1"/>
    <col min="8967" max="8967" width="12" style="760" customWidth="1"/>
    <col min="8968" max="8968" width="18.5" style="760" customWidth="1"/>
    <col min="8969" max="8969" width="23.83203125" style="760" customWidth="1"/>
    <col min="8970" max="8970" width="12.5" style="760" customWidth="1"/>
    <col min="8971" max="9216" width="11.5" style="760" bestFit="1" customWidth="1"/>
    <col min="9217" max="9217" width="33.1640625" style="760" bestFit="1" customWidth="1"/>
    <col min="9218" max="9218" width="15.6640625" style="760" customWidth="1"/>
    <col min="9219" max="9219" width="18.83203125" style="760" bestFit="1" customWidth="1"/>
    <col min="9220" max="9220" width="34.6640625" style="760" bestFit="1" customWidth="1"/>
    <col min="9221" max="9221" width="24.6640625" style="760" bestFit="1" customWidth="1"/>
    <col min="9222" max="9222" width="32.6640625" style="760" customWidth="1"/>
    <col min="9223" max="9223" width="12" style="760" customWidth="1"/>
    <col min="9224" max="9224" width="18.5" style="760" customWidth="1"/>
    <col min="9225" max="9225" width="23.83203125" style="760" customWidth="1"/>
    <col min="9226" max="9226" width="12.5" style="760" customWidth="1"/>
    <col min="9227" max="9472" width="11.5" style="760" bestFit="1" customWidth="1"/>
    <col min="9473" max="9473" width="33.1640625" style="760" bestFit="1" customWidth="1"/>
    <col min="9474" max="9474" width="15.6640625" style="760" customWidth="1"/>
    <col min="9475" max="9475" width="18.83203125" style="760" bestFit="1" customWidth="1"/>
    <col min="9476" max="9476" width="34.6640625" style="760" bestFit="1" customWidth="1"/>
    <col min="9477" max="9477" width="24.6640625" style="760" bestFit="1" customWidth="1"/>
    <col min="9478" max="9478" width="32.6640625" style="760" customWidth="1"/>
    <col min="9479" max="9479" width="12" style="760" customWidth="1"/>
    <col min="9480" max="9480" width="18.5" style="760" customWidth="1"/>
    <col min="9481" max="9481" width="23.83203125" style="760" customWidth="1"/>
    <col min="9482" max="9482" width="12.5" style="760" customWidth="1"/>
    <col min="9483" max="9728" width="11.5" style="760" bestFit="1" customWidth="1"/>
    <col min="9729" max="9729" width="33.1640625" style="760" bestFit="1" customWidth="1"/>
    <col min="9730" max="9730" width="15.6640625" style="760" customWidth="1"/>
    <col min="9731" max="9731" width="18.83203125" style="760" bestFit="1" customWidth="1"/>
    <col min="9732" max="9732" width="34.6640625" style="760" bestFit="1" customWidth="1"/>
    <col min="9733" max="9733" width="24.6640625" style="760" bestFit="1" customWidth="1"/>
    <col min="9734" max="9734" width="32.6640625" style="760" customWidth="1"/>
    <col min="9735" max="9735" width="12" style="760" customWidth="1"/>
    <col min="9736" max="9736" width="18.5" style="760" customWidth="1"/>
    <col min="9737" max="9737" width="23.83203125" style="760" customWidth="1"/>
    <col min="9738" max="9738" width="12.5" style="760" customWidth="1"/>
    <col min="9739" max="9984" width="11.5" style="760" bestFit="1" customWidth="1"/>
    <col min="9985" max="9985" width="33.1640625" style="760" bestFit="1" customWidth="1"/>
    <col min="9986" max="9986" width="15.6640625" style="760" customWidth="1"/>
    <col min="9987" max="9987" width="18.83203125" style="760" bestFit="1" customWidth="1"/>
    <col min="9988" max="9988" width="34.6640625" style="760" bestFit="1" customWidth="1"/>
    <col min="9989" max="9989" width="24.6640625" style="760" bestFit="1" customWidth="1"/>
    <col min="9990" max="9990" width="32.6640625" style="760" customWidth="1"/>
    <col min="9991" max="9991" width="12" style="760" customWidth="1"/>
    <col min="9992" max="9992" width="18.5" style="760" customWidth="1"/>
    <col min="9993" max="9993" width="23.83203125" style="760" customWidth="1"/>
    <col min="9994" max="9994" width="12.5" style="760" customWidth="1"/>
    <col min="9995" max="10240" width="11.5" style="760" bestFit="1" customWidth="1"/>
    <col min="10241" max="10241" width="33.1640625" style="760" bestFit="1" customWidth="1"/>
    <col min="10242" max="10242" width="15.6640625" style="760" customWidth="1"/>
    <col min="10243" max="10243" width="18.83203125" style="760" bestFit="1" customWidth="1"/>
    <col min="10244" max="10244" width="34.6640625" style="760" bestFit="1" customWidth="1"/>
    <col min="10245" max="10245" width="24.6640625" style="760" bestFit="1" customWidth="1"/>
    <col min="10246" max="10246" width="32.6640625" style="760" customWidth="1"/>
    <col min="10247" max="10247" width="12" style="760" customWidth="1"/>
    <col min="10248" max="10248" width="18.5" style="760" customWidth="1"/>
    <col min="10249" max="10249" width="23.83203125" style="760" customWidth="1"/>
    <col min="10250" max="10250" width="12.5" style="760" customWidth="1"/>
    <col min="10251" max="10496" width="11.5" style="760" bestFit="1" customWidth="1"/>
    <col min="10497" max="10497" width="33.1640625" style="760" bestFit="1" customWidth="1"/>
    <col min="10498" max="10498" width="15.6640625" style="760" customWidth="1"/>
    <col min="10499" max="10499" width="18.83203125" style="760" bestFit="1" customWidth="1"/>
    <col min="10500" max="10500" width="34.6640625" style="760" bestFit="1" customWidth="1"/>
    <col min="10501" max="10501" width="24.6640625" style="760" bestFit="1" customWidth="1"/>
    <col min="10502" max="10502" width="32.6640625" style="760" customWidth="1"/>
    <col min="10503" max="10503" width="12" style="760" customWidth="1"/>
    <col min="10504" max="10504" width="18.5" style="760" customWidth="1"/>
    <col min="10505" max="10505" width="23.83203125" style="760" customWidth="1"/>
    <col min="10506" max="10506" width="12.5" style="760" customWidth="1"/>
    <col min="10507" max="10752" width="11.5" style="760" bestFit="1" customWidth="1"/>
    <col min="10753" max="10753" width="33.1640625" style="760" bestFit="1" customWidth="1"/>
    <col min="10754" max="10754" width="15.6640625" style="760" customWidth="1"/>
    <col min="10755" max="10755" width="18.83203125" style="760" bestFit="1" customWidth="1"/>
    <col min="10756" max="10756" width="34.6640625" style="760" bestFit="1" customWidth="1"/>
    <col min="10757" max="10757" width="24.6640625" style="760" bestFit="1" customWidth="1"/>
    <col min="10758" max="10758" width="32.6640625" style="760" customWidth="1"/>
    <col min="10759" max="10759" width="12" style="760" customWidth="1"/>
    <col min="10760" max="10760" width="18.5" style="760" customWidth="1"/>
    <col min="10761" max="10761" width="23.83203125" style="760" customWidth="1"/>
    <col min="10762" max="10762" width="12.5" style="760" customWidth="1"/>
    <col min="10763" max="11008" width="11.5" style="760" bestFit="1" customWidth="1"/>
    <col min="11009" max="11009" width="33.1640625" style="760" bestFit="1" customWidth="1"/>
    <col min="11010" max="11010" width="15.6640625" style="760" customWidth="1"/>
    <col min="11011" max="11011" width="18.83203125" style="760" bestFit="1" customWidth="1"/>
    <col min="11012" max="11012" width="34.6640625" style="760" bestFit="1" customWidth="1"/>
    <col min="11013" max="11013" width="24.6640625" style="760" bestFit="1" customWidth="1"/>
    <col min="11014" max="11014" width="32.6640625" style="760" customWidth="1"/>
    <col min="11015" max="11015" width="12" style="760" customWidth="1"/>
    <col min="11016" max="11016" width="18.5" style="760" customWidth="1"/>
    <col min="11017" max="11017" width="23.83203125" style="760" customWidth="1"/>
    <col min="11018" max="11018" width="12.5" style="760" customWidth="1"/>
    <col min="11019" max="11264" width="11.5" style="760" bestFit="1" customWidth="1"/>
    <col min="11265" max="11265" width="33.1640625" style="760" bestFit="1" customWidth="1"/>
    <col min="11266" max="11266" width="15.6640625" style="760" customWidth="1"/>
    <col min="11267" max="11267" width="18.83203125" style="760" bestFit="1" customWidth="1"/>
    <col min="11268" max="11268" width="34.6640625" style="760" bestFit="1" customWidth="1"/>
    <col min="11269" max="11269" width="24.6640625" style="760" bestFit="1" customWidth="1"/>
    <col min="11270" max="11270" width="32.6640625" style="760" customWidth="1"/>
    <col min="11271" max="11271" width="12" style="760" customWidth="1"/>
    <col min="11272" max="11272" width="18.5" style="760" customWidth="1"/>
    <col min="11273" max="11273" width="23.83203125" style="760" customWidth="1"/>
    <col min="11274" max="11274" width="12.5" style="760" customWidth="1"/>
    <col min="11275" max="11520" width="11.5" style="760" bestFit="1" customWidth="1"/>
    <col min="11521" max="11521" width="33.1640625" style="760" bestFit="1" customWidth="1"/>
    <col min="11522" max="11522" width="15.6640625" style="760" customWidth="1"/>
    <col min="11523" max="11523" width="18.83203125" style="760" bestFit="1" customWidth="1"/>
    <col min="11524" max="11524" width="34.6640625" style="760" bestFit="1" customWidth="1"/>
    <col min="11525" max="11525" width="24.6640625" style="760" bestFit="1" customWidth="1"/>
    <col min="11526" max="11526" width="32.6640625" style="760" customWidth="1"/>
    <col min="11527" max="11527" width="12" style="760" customWidth="1"/>
    <col min="11528" max="11528" width="18.5" style="760" customWidth="1"/>
    <col min="11529" max="11529" width="23.83203125" style="760" customWidth="1"/>
    <col min="11530" max="11530" width="12.5" style="760" customWidth="1"/>
    <col min="11531" max="11776" width="11.5" style="760" bestFit="1" customWidth="1"/>
    <col min="11777" max="11777" width="33.1640625" style="760" bestFit="1" customWidth="1"/>
    <col min="11778" max="11778" width="15.6640625" style="760" customWidth="1"/>
    <col min="11779" max="11779" width="18.83203125" style="760" bestFit="1" customWidth="1"/>
    <col min="11780" max="11780" width="34.6640625" style="760" bestFit="1" customWidth="1"/>
    <col min="11781" max="11781" width="24.6640625" style="760" bestFit="1" customWidth="1"/>
    <col min="11782" max="11782" width="32.6640625" style="760" customWidth="1"/>
    <col min="11783" max="11783" width="12" style="760" customWidth="1"/>
    <col min="11784" max="11784" width="18.5" style="760" customWidth="1"/>
    <col min="11785" max="11785" width="23.83203125" style="760" customWidth="1"/>
    <col min="11786" max="11786" width="12.5" style="760" customWidth="1"/>
    <col min="11787" max="12032" width="11.5" style="760" bestFit="1" customWidth="1"/>
    <col min="12033" max="12033" width="33.1640625" style="760" bestFit="1" customWidth="1"/>
    <col min="12034" max="12034" width="15.6640625" style="760" customWidth="1"/>
    <col min="12035" max="12035" width="18.83203125" style="760" bestFit="1" customWidth="1"/>
    <col min="12036" max="12036" width="34.6640625" style="760" bestFit="1" customWidth="1"/>
    <col min="12037" max="12037" width="24.6640625" style="760" bestFit="1" customWidth="1"/>
    <col min="12038" max="12038" width="32.6640625" style="760" customWidth="1"/>
    <col min="12039" max="12039" width="12" style="760" customWidth="1"/>
    <col min="12040" max="12040" width="18.5" style="760" customWidth="1"/>
    <col min="12041" max="12041" width="23.83203125" style="760" customWidth="1"/>
    <col min="12042" max="12042" width="12.5" style="760" customWidth="1"/>
    <col min="12043" max="12288" width="11.5" style="760" bestFit="1" customWidth="1"/>
    <col min="12289" max="12289" width="33.1640625" style="760" bestFit="1" customWidth="1"/>
    <col min="12290" max="12290" width="15.6640625" style="760" customWidth="1"/>
    <col min="12291" max="12291" width="18.83203125" style="760" bestFit="1" customWidth="1"/>
    <col min="12292" max="12292" width="34.6640625" style="760" bestFit="1" customWidth="1"/>
    <col min="12293" max="12293" width="24.6640625" style="760" bestFit="1" customWidth="1"/>
    <col min="12294" max="12294" width="32.6640625" style="760" customWidth="1"/>
    <col min="12295" max="12295" width="12" style="760" customWidth="1"/>
    <col min="12296" max="12296" width="18.5" style="760" customWidth="1"/>
    <col min="12297" max="12297" width="23.83203125" style="760" customWidth="1"/>
    <col min="12298" max="12298" width="12.5" style="760" customWidth="1"/>
    <col min="12299" max="12544" width="11.5" style="760" bestFit="1" customWidth="1"/>
    <col min="12545" max="12545" width="33.1640625" style="760" bestFit="1" customWidth="1"/>
    <col min="12546" max="12546" width="15.6640625" style="760" customWidth="1"/>
    <col min="12547" max="12547" width="18.83203125" style="760" bestFit="1" customWidth="1"/>
    <col min="12548" max="12548" width="34.6640625" style="760" bestFit="1" customWidth="1"/>
    <col min="12549" max="12549" width="24.6640625" style="760" bestFit="1" customWidth="1"/>
    <col min="12550" max="12550" width="32.6640625" style="760" customWidth="1"/>
    <col min="12551" max="12551" width="12" style="760" customWidth="1"/>
    <col min="12552" max="12552" width="18.5" style="760" customWidth="1"/>
    <col min="12553" max="12553" width="23.83203125" style="760" customWidth="1"/>
    <col min="12554" max="12554" width="12.5" style="760" customWidth="1"/>
    <col min="12555" max="12800" width="11.5" style="760" bestFit="1" customWidth="1"/>
    <col min="12801" max="12801" width="33.1640625" style="760" bestFit="1" customWidth="1"/>
    <col min="12802" max="12802" width="15.6640625" style="760" customWidth="1"/>
    <col min="12803" max="12803" width="18.83203125" style="760" bestFit="1" customWidth="1"/>
    <col min="12804" max="12804" width="34.6640625" style="760" bestFit="1" customWidth="1"/>
    <col min="12805" max="12805" width="24.6640625" style="760" bestFit="1" customWidth="1"/>
    <col min="12806" max="12806" width="32.6640625" style="760" customWidth="1"/>
    <col min="12807" max="12807" width="12" style="760" customWidth="1"/>
    <col min="12808" max="12808" width="18.5" style="760" customWidth="1"/>
    <col min="12809" max="12809" width="23.83203125" style="760" customWidth="1"/>
    <col min="12810" max="12810" width="12.5" style="760" customWidth="1"/>
    <col min="12811" max="13056" width="11.5" style="760" bestFit="1" customWidth="1"/>
    <col min="13057" max="13057" width="33.1640625" style="760" bestFit="1" customWidth="1"/>
    <col min="13058" max="13058" width="15.6640625" style="760" customWidth="1"/>
    <col min="13059" max="13059" width="18.83203125" style="760" bestFit="1" customWidth="1"/>
    <col min="13060" max="13060" width="34.6640625" style="760" bestFit="1" customWidth="1"/>
    <col min="13061" max="13061" width="24.6640625" style="760" bestFit="1" customWidth="1"/>
    <col min="13062" max="13062" width="32.6640625" style="760" customWidth="1"/>
    <col min="13063" max="13063" width="12" style="760" customWidth="1"/>
    <col min="13064" max="13064" width="18.5" style="760" customWidth="1"/>
    <col min="13065" max="13065" width="23.83203125" style="760" customWidth="1"/>
    <col min="13066" max="13066" width="12.5" style="760" customWidth="1"/>
    <col min="13067" max="13312" width="11.5" style="760" bestFit="1" customWidth="1"/>
    <col min="13313" max="13313" width="33.1640625" style="760" bestFit="1" customWidth="1"/>
    <col min="13314" max="13314" width="15.6640625" style="760" customWidth="1"/>
    <col min="13315" max="13315" width="18.83203125" style="760" bestFit="1" customWidth="1"/>
    <col min="13316" max="13316" width="34.6640625" style="760" bestFit="1" customWidth="1"/>
    <col min="13317" max="13317" width="24.6640625" style="760" bestFit="1" customWidth="1"/>
    <col min="13318" max="13318" width="32.6640625" style="760" customWidth="1"/>
    <col min="13319" max="13319" width="12" style="760" customWidth="1"/>
    <col min="13320" max="13320" width="18.5" style="760" customWidth="1"/>
    <col min="13321" max="13321" width="23.83203125" style="760" customWidth="1"/>
    <col min="13322" max="13322" width="12.5" style="760" customWidth="1"/>
    <col min="13323" max="13568" width="11.5" style="760" bestFit="1" customWidth="1"/>
    <col min="13569" max="13569" width="33.1640625" style="760" bestFit="1" customWidth="1"/>
    <col min="13570" max="13570" width="15.6640625" style="760" customWidth="1"/>
    <col min="13571" max="13571" width="18.83203125" style="760" bestFit="1" customWidth="1"/>
    <col min="13572" max="13572" width="34.6640625" style="760" bestFit="1" customWidth="1"/>
    <col min="13573" max="13573" width="24.6640625" style="760" bestFit="1" customWidth="1"/>
    <col min="13574" max="13574" width="32.6640625" style="760" customWidth="1"/>
    <col min="13575" max="13575" width="12" style="760" customWidth="1"/>
    <col min="13576" max="13576" width="18.5" style="760" customWidth="1"/>
    <col min="13577" max="13577" width="23.83203125" style="760" customWidth="1"/>
    <col min="13578" max="13578" width="12.5" style="760" customWidth="1"/>
    <col min="13579" max="13824" width="11.5" style="760" bestFit="1" customWidth="1"/>
    <col min="13825" max="13825" width="33.1640625" style="760" bestFit="1" customWidth="1"/>
    <col min="13826" max="13826" width="15.6640625" style="760" customWidth="1"/>
    <col min="13827" max="13827" width="18.83203125" style="760" bestFit="1" customWidth="1"/>
    <col min="13828" max="13828" width="34.6640625" style="760" bestFit="1" customWidth="1"/>
    <col min="13829" max="13829" width="24.6640625" style="760" bestFit="1" customWidth="1"/>
    <col min="13830" max="13830" width="32.6640625" style="760" customWidth="1"/>
    <col min="13831" max="13831" width="12" style="760" customWidth="1"/>
    <col min="13832" max="13832" width="18.5" style="760" customWidth="1"/>
    <col min="13833" max="13833" width="23.83203125" style="760" customWidth="1"/>
    <col min="13834" max="13834" width="12.5" style="760" customWidth="1"/>
    <col min="13835" max="14080" width="11.5" style="760" bestFit="1" customWidth="1"/>
    <col min="14081" max="14081" width="33.1640625" style="760" bestFit="1" customWidth="1"/>
    <col min="14082" max="14082" width="15.6640625" style="760" customWidth="1"/>
    <col min="14083" max="14083" width="18.83203125" style="760" bestFit="1" customWidth="1"/>
    <col min="14084" max="14084" width="34.6640625" style="760" bestFit="1" customWidth="1"/>
    <col min="14085" max="14085" width="24.6640625" style="760" bestFit="1" customWidth="1"/>
    <col min="14086" max="14086" width="32.6640625" style="760" customWidth="1"/>
    <col min="14087" max="14087" width="12" style="760" customWidth="1"/>
    <col min="14088" max="14088" width="18.5" style="760" customWidth="1"/>
    <col min="14089" max="14089" width="23.83203125" style="760" customWidth="1"/>
    <col min="14090" max="14090" width="12.5" style="760" customWidth="1"/>
    <col min="14091" max="14336" width="11.5" style="760" bestFit="1" customWidth="1"/>
    <col min="14337" max="14337" width="33.1640625" style="760" bestFit="1" customWidth="1"/>
    <col min="14338" max="14338" width="15.6640625" style="760" customWidth="1"/>
    <col min="14339" max="14339" width="18.83203125" style="760" bestFit="1" customWidth="1"/>
    <col min="14340" max="14340" width="34.6640625" style="760" bestFit="1" customWidth="1"/>
    <col min="14341" max="14341" width="24.6640625" style="760" bestFit="1" customWidth="1"/>
    <col min="14342" max="14342" width="32.6640625" style="760" customWidth="1"/>
    <col min="14343" max="14343" width="12" style="760" customWidth="1"/>
    <col min="14344" max="14344" width="18.5" style="760" customWidth="1"/>
    <col min="14345" max="14345" width="23.83203125" style="760" customWidth="1"/>
    <col min="14346" max="14346" width="12.5" style="760" customWidth="1"/>
    <col min="14347" max="14592" width="11.5" style="760" bestFit="1" customWidth="1"/>
    <col min="14593" max="14593" width="33.1640625" style="760" bestFit="1" customWidth="1"/>
    <col min="14594" max="14594" width="15.6640625" style="760" customWidth="1"/>
    <col min="14595" max="14595" width="18.83203125" style="760" bestFit="1" customWidth="1"/>
    <col min="14596" max="14596" width="34.6640625" style="760" bestFit="1" customWidth="1"/>
    <col min="14597" max="14597" width="24.6640625" style="760" bestFit="1" customWidth="1"/>
    <col min="14598" max="14598" width="32.6640625" style="760" customWidth="1"/>
    <col min="14599" max="14599" width="12" style="760" customWidth="1"/>
    <col min="14600" max="14600" width="18.5" style="760" customWidth="1"/>
    <col min="14601" max="14601" width="23.83203125" style="760" customWidth="1"/>
    <col min="14602" max="14602" width="12.5" style="760" customWidth="1"/>
    <col min="14603" max="14848" width="11.5" style="760" bestFit="1" customWidth="1"/>
    <col min="14849" max="14849" width="33.1640625" style="760" bestFit="1" customWidth="1"/>
    <col min="14850" max="14850" width="15.6640625" style="760" customWidth="1"/>
    <col min="14851" max="14851" width="18.83203125" style="760" bestFit="1" customWidth="1"/>
    <col min="14852" max="14852" width="34.6640625" style="760" bestFit="1" customWidth="1"/>
    <col min="14853" max="14853" width="24.6640625" style="760" bestFit="1" customWidth="1"/>
    <col min="14854" max="14854" width="32.6640625" style="760" customWidth="1"/>
    <col min="14855" max="14855" width="12" style="760" customWidth="1"/>
    <col min="14856" max="14856" width="18.5" style="760" customWidth="1"/>
    <col min="14857" max="14857" width="23.83203125" style="760" customWidth="1"/>
    <col min="14858" max="14858" width="12.5" style="760" customWidth="1"/>
    <col min="14859" max="15104" width="11.5" style="760" bestFit="1" customWidth="1"/>
    <col min="15105" max="15105" width="33.1640625" style="760" bestFit="1" customWidth="1"/>
    <col min="15106" max="15106" width="15.6640625" style="760" customWidth="1"/>
    <col min="15107" max="15107" width="18.83203125" style="760" bestFit="1" customWidth="1"/>
    <col min="15108" max="15108" width="34.6640625" style="760" bestFit="1" customWidth="1"/>
    <col min="15109" max="15109" width="24.6640625" style="760" bestFit="1" customWidth="1"/>
    <col min="15110" max="15110" width="32.6640625" style="760" customWidth="1"/>
    <col min="15111" max="15111" width="12" style="760" customWidth="1"/>
    <col min="15112" max="15112" width="18.5" style="760" customWidth="1"/>
    <col min="15113" max="15113" width="23.83203125" style="760" customWidth="1"/>
    <col min="15114" max="15114" width="12.5" style="760" customWidth="1"/>
    <col min="15115" max="15360" width="11.5" style="760" bestFit="1" customWidth="1"/>
    <col min="15361" max="15361" width="33.1640625" style="760" bestFit="1" customWidth="1"/>
    <col min="15362" max="15362" width="15.6640625" style="760" customWidth="1"/>
    <col min="15363" max="15363" width="18.83203125" style="760" bestFit="1" customWidth="1"/>
    <col min="15364" max="15364" width="34.6640625" style="760" bestFit="1" customWidth="1"/>
    <col min="15365" max="15365" width="24.6640625" style="760" bestFit="1" customWidth="1"/>
    <col min="15366" max="15366" width="32.6640625" style="760" customWidth="1"/>
    <col min="15367" max="15367" width="12" style="760" customWidth="1"/>
    <col min="15368" max="15368" width="18.5" style="760" customWidth="1"/>
    <col min="15369" max="15369" width="23.83203125" style="760" customWidth="1"/>
    <col min="15370" max="15370" width="12.5" style="760" customWidth="1"/>
    <col min="15371" max="15616" width="11.5" style="760" bestFit="1" customWidth="1"/>
    <col min="15617" max="15617" width="33.1640625" style="760" bestFit="1" customWidth="1"/>
    <col min="15618" max="15618" width="15.6640625" style="760" customWidth="1"/>
    <col min="15619" max="15619" width="18.83203125" style="760" bestFit="1" customWidth="1"/>
    <col min="15620" max="15620" width="34.6640625" style="760" bestFit="1" customWidth="1"/>
    <col min="15621" max="15621" width="24.6640625" style="760" bestFit="1" customWidth="1"/>
    <col min="15622" max="15622" width="32.6640625" style="760" customWidth="1"/>
    <col min="15623" max="15623" width="12" style="760" customWidth="1"/>
    <col min="15624" max="15624" width="18.5" style="760" customWidth="1"/>
    <col min="15625" max="15625" width="23.83203125" style="760" customWidth="1"/>
    <col min="15626" max="15626" width="12.5" style="760" customWidth="1"/>
    <col min="15627" max="15872" width="11.5" style="760" bestFit="1" customWidth="1"/>
    <col min="15873" max="15873" width="33.1640625" style="760" bestFit="1" customWidth="1"/>
    <col min="15874" max="15874" width="15.6640625" style="760" customWidth="1"/>
    <col min="15875" max="15875" width="18.83203125" style="760" bestFit="1" customWidth="1"/>
    <col min="15876" max="15876" width="34.6640625" style="760" bestFit="1" customWidth="1"/>
    <col min="15877" max="15877" width="24.6640625" style="760" bestFit="1" customWidth="1"/>
    <col min="15878" max="15878" width="32.6640625" style="760" customWidth="1"/>
    <col min="15879" max="15879" width="12" style="760" customWidth="1"/>
    <col min="15880" max="15880" width="18.5" style="760" customWidth="1"/>
    <col min="15881" max="15881" width="23.83203125" style="760" customWidth="1"/>
    <col min="15882" max="15882" width="12.5" style="760" customWidth="1"/>
    <col min="15883" max="16128" width="11.5" style="760" bestFit="1" customWidth="1"/>
    <col min="16129" max="16129" width="33.1640625" style="760" bestFit="1" customWidth="1"/>
    <col min="16130" max="16130" width="15.6640625" style="760" customWidth="1"/>
    <col min="16131" max="16131" width="18.83203125" style="760" bestFit="1" customWidth="1"/>
    <col min="16132" max="16132" width="34.6640625" style="760" bestFit="1" customWidth="1"/>
    <col min="16133" max="16133" width="24.6640625" style="760" bestFit="1" customWidth="1"/>
    <col min="16134" max="16134" width="32.6640625" style="760" customWidth="1"/>
    <col min="16135" max="16135" width="12" style="760" customWidth="1"/>
    <col min="16136" max="16136" width="18.5" style="760" customWidth="1"/>
    <col min="16137" max="16137" width="23.83203125" style="760" customWidth="1"/>
    <col min="16138" max="16138" width="12.5" style="760" customWidth="1"/>
    <col min="16139" max="16383" width="11.5" style="760" bestFit="1" customWidth="1"/>
    <col min="16384" max="16384" width="11.5" style="760"/>
  </cols>
  <sheetData>
    <row r="1" spans="1:14">
      <c r="A1" s="764" t="s">
        <v>862</v>
      </c>
      <c r="B1" s="1214">
        <v>44931</v>
      </c>
      <c r="C1" s="1215"/>
      <c r="D1" s="1215"/>
      <c r="E1" s="1215"/>
      <c r="F1" s="1215"/>
      <c r="G1" s="1215"/>
      <c r="H1" s="1216" t="s">
        <v>863</v>
      </c>
      <c r="I1" s="1217"/>
    </row>
    <row r="2" spans="1:14">
      <c r="A2" s="765" t="s">
        <v>864</v>
      </c>
      <c r="B2" s="1222" t="s">
        <v>865</v>
      </c>
      <c r="C2" s="1223"/>
      <c r="D2" s="1223"/>
      <c r="E2" s="1223"/>
      <c r="F2" s="1223"/>
      <c r="G2" s="1223"/>
      <c r="H2" s="1218"/>
      <c r="I2" s="1219"/>
    </row>
    <row r="3" spans="1:14">
      <c r="A3" s="765" t="s">
        <v>866</v>
      </c>
      <c r="B3" s="1224" t="s">
        <v>867</v>
      </c>
      <c r="C3" s="1225"/>
      <c r="D3" s="1225"/>
      <c r="E3" s="1226"/>
      <c r="F3" s="1224" t="s">
        <v>868</v>
      </c>
      <c r="G3" s="1225"/>
      <c r="H3" s="1218"/>
      <c r="I3" s="1219"/>
      <c r="J3" s="766"/>
    </row>
    <row r="4" spans="1:14">
      <c r="A4" s="765" t="s">
        <v>869</v>
      </c>
      <c r="B4" s="1227" t="s">
        <v>870</v>
      </c>
      <c r="C4" s="1228"/>
      <c r="D4" s="1228"/>
      <c r="E4" s="1228"/>
      <c r="F4" s="1228"/>
      <c r="G4" s="1228"/>
      <c r="H4" s="1218"/>
      <c r="I4" s="1219"/>
    </row>
    <row r="5" spans="1:14">
      <c r="A5" s="765" t="s">
        <v>871</v>
      </c>
      <c r="B5" s="1229" t="s">
        <v>872</v>
      </c>
      <c r="C5" s="1230"/>
      <c r="D5" s="1230"/>
      <c r="E5" s="1230"/>
      <c r="F5" s="1230"/>
      <c r="G5" s="1230"/>
      <c r="H5" s="1218"/>
      <c r="I5" s="1219"/>
    </row>
    <row r="6" spans="1:14" s="761" customFormat="1" ht="17" thickBot="1">
      <c r="A6" s="765" t="s">
        <v>873</v>
      </c>
      <c r="B6" s="1222" t="s">
        <v>874</v>
      </c>
      <c r="C6" s="1223"/>
      <c r="D6" s="1223"/>
      <c r="E6" s="1223"/>
      <c r="F6" s="1223"/>
      <c r="G6" s="1223"/>
      <c r="H6" s="1220"/>
      <c r="I6" s="1221"/>
    </row>
    <row r="7" spans="1:14">
      <c r="A7" s="767" t="s">
        <v>875</v>
      </c>
      <c r="B7" s="1211" t="s">
        <v>876</v>
      </c>
      <c r="C7" s="1212"/>
      <c r="D7" s="1212"/>
      <c r="E7" s="1212"/>
      <c r="F7" s="1212"/>
      <c r="G7" s="1213"/>
    </row>
    <row r="8" spans="1:14" s="762" customFormat="1" ht="42">
      <c r="A8" s="768" t="s">
        <v>517</v>
      </c>
      <c r="B8" s="769" t="s">
        <v>518</v>
      </c>
      <c r="C8" s="770" t="s">
        <v>519</v>
      </c>
      <c r="D8" s="770" t="s">
        <v>520</v>
      </c>
      <c r="E8" s="769" t="s">
        <v>521</v>
      </c>
      <c r="F8" s="771" t="s">
        <v>522</v>
      </c>
      <c r="G8" s="771" t="s">
        <v>877</v>
      </c>
      <c r="H8" s="771" t="s">
        <v>878</v>
      </c>
      <c r="I8" s="771" t="s">
        <v>879</v>
      </c>
      <c r="J8" s="771" t="s">
        <v>880</v>
      </c>
      <c r="K8" s="771" t="s">
        <v>881</v>
      </c>
      <c r="L8" s="771" t="s">
        <v>882</v>
      </c>
      <c r="M8" s="771" t="s">
        <v>883</v>
      </c>
      <c r="N8" s="772" t="s">
        <v>884</v>
      </c>
    </row>
    <row r="9" spans="1:14" hidden="1">
      <c r="A9" s="773" t="s">
        <v>648</v>
      </c>
      <c r="B9" s="774">
        <v>58</v>
      </c>
      <c r="C9" s="775">
        <v>1053.1300000000001</v>
      </c>
      <c r="D9" s="775">
        <v>1557.1160000000004</v>
      </c>
      <c r="E9" s="831">
        <v>0.67633368355344103</v>
      </c>
      <c r="F9" s="832">
        <v>2363.3980000000001</v>
      </c>
      <c r="G9" s="831">
        <v>1.5178047107601484</v>
      </c>
      <c r="H9" s="775">
        <v>2099.3209999999999</v>
      </c>
      <c r="I9" s="775">
        <v>701.91599999999926</v>
      </c>
      <c r="J9" s="775">
        <v>1441.347999999999</v>
      </c>
      <c r="K9" s="831">
        <v>2.9908436337111595</v>
      </c>
      <c r="L9" s="831">
        <v>1.4564983612562694</v>
      </c>
      <c r="M9" s="831">
        <v>1.3482110517135522</v>
      </c>
      <c r="N9" s="776">
        <v>9.3488853578428122E-2</v>
      </c>
    </row>
    <row r="10" spans="1:14" hidden="1">
      <c r="A10" s="773" t="s">
        <v>885</v>
      </c>
      <c r="B10" s="774">
        <v>77</v>
      </c>
      <c r="C10" s="775">
        <v>10261.133999999996</v>
      </c>
      <c r="D10" s="775">
        <v>14514.276000000003</v>
      </c>
      <c r="E10" s="831">
        <v>0.70696836686859155</v>
      </c>
      <c r="F10" s="832">
        <v>27906.122999999992</v>
      </c>
      <c r="G10" s="831">
        <v>1.9226672415489403</v>
      </c>
      <c r="H10" s="775">
        <v>26339.715999999993</v>
      </c>
      <c r="I10" s="775">
        <v>11777.548000000003</v>
      </c>
      <c r="J10" s="775">
        <v>7574.2989999999954</v>
      </c>
      <c r="K10" s="831">
        <v>2.236434612705462</v>
      </c>
      <c r="L10" s="831">
        <v>3.4775120443489236</v>
      </c>
      <c r="M10" s="831">
        <v>1.8147454271918204</v>
      </c>
      <c r="N10" s="776">
        <v>3.7667223768941376E-2</v>
      </c>
    </row>
    <row r="11" spans="1:14" hidden="1">
      <c r="A11" s="773" t="s">
        <v>886</v>
      </c>
      <c r="B11" s="774">
        <v>21</v>
      </c>
      <c r="C11" s="775">
        <v>0</v>
      </c>
      <c r="D11" s="775">
        <v>-3270.3099999999995</v>
      </c>
      <c r="E11" s="831">
        <v>0</v>
      </c>
      <c r="F11" s="832">
        <v>402.29300000000001</v>
      </c>
      <c r="G11" s="831" t="s">
        <v>887</v>
      </c>
      <c r="H11" s="775">
        <v>-143.95900000000006</v>
      </c>
      <c r="I11" s="775">
        <v>-7598.894999999995</v>
      </c>
      <c r="J11" s="775">
        <v>-21052.221999999994</v>
      </c>
      <c r="K11" s="831" t="s">
        <v>887</v>
      </c>
      <c r="L11" s="831" t="s">
        <v>887</v>
      </c>
      <c r="M11" s="831">
        <v>4.4019985872898924E-2</v>
      </c>
      <c r="N11" s="776">
        <v>0.14899071469326405</v>
      </c>
    </row>
    <row r="12" spans="1:14" hidden="1">
      <c r="A12" s="773" t="s">
        <v>888</v>
      </c>
      <c r="B12" s="774">
        <v>39</v>
      </c>
      <c r="C12" s="775">
        <v>1985.6799999999998</v>
      </c>
      <c r="D12" s="775">
        <v>3655.799</v>
      </c>
      <c r="E12" s="831">
        <v>0.54315896470238101</v>
      </c>
      <c r="F12" s="832">
        <v>8007.9700000000012</v>
      </c>
      <c r="G12" s="831">
        <v>2.1904842142579506</v>
      </c>
      <c r="H12" s="775">
        <v>7841.4590000000007</v>
      </c>
      <c r="I12" s="775">
        <v>-2499.1609999999996</v>
      </c>
      <c r="J12" s="775">
        <v>-1233.1489999999994</v>
      </c>
      <c r="K12" s="831" t="s">
        <v>887</v>
      </c>
      <c r="L12" s="831" t="s">
        <v>887</v>
      </c>
      <c r="M12" s="831">
        <v>2.144937125919669</v>
      </c>
      <c r="N12" s="776">
        <v>6.0170317847693479E-2</v>
      </c>
    </row>
    <row r="13" spans="1:14" hidden="1">
      <c r="A13" s="773" t="s">
        <v>889</v>
      </c>
      <c r="B13" s="774">
        <v>31</v>
      </c>
      <c r="C13" s="775">
        <v>2124.5000000000005</v>
      </c>
      <c r="D13" s="775">
        <v>20137.8</v>
      </c>
      <c r="E13" s="831">
        <v>0.10549811796720597</v>
      </c>
      <c r="F13" s="832">
        <v>4627.0460000000003</v>
      </c>
      <c r="G13" s="831">
        <v>0.22976919027897785</v>
      </c>
      <c r="H13" s="775">
        <v>-7894.9660000000003</v>
      </c>
      <c r="I13" s="775">
        <v>2434.3090000000084</v>
      </c>
      <c r="J13" s="775">
        <v>-3779.6929999999993</v>
      </c>
      <c r="K13" s="831">
        <v>-3.2432061829455394</v>
      </c>
      <c r="L13" s="831" t="s">
        <v>887</v>
      </c>
      <c r="M13" s="831">
        <v>-0.39204709551192291</v>
      </c>
      <c r="N13" s="776">
        <v>8.6707773582228378E-2</v>
      </c>
    </row>
    <row r="14" spans="1:14" hidden="1">
      <c r="A14" s="773" t="s">
        <v>890</v>
      </c>
      <c r="B14" s="774">
        <v>37</v>
      </c>
      <c r="C14" s="775">
        <v>694.39799999999991</v>
      </c>
      <c r="D14" s="775">
        <v>1869.7009999999993</v>
      </c>
      <c r="E14" s="831">
        <v>0.37139521238957468</v>
      </c>
      <c r="F14" s="832">
        <v>1616.7359999999999</v>
      </c>
      <c r="G14" s="831">
        <v>0.86470296587529261</v>
      </c>
      <c r="H14" s="775">
        <v>1567.8719999999998</v>
      </c>
      <c r="I14" s="775">
        <v>-1796.6990000000023</v>
      </c>
      <c r="J14" s="775">
        <v>-246.25200000000586</v>
      </c>
      <c r="K14" s="831" t="s">
        <v>887</v>
      </c>
      <c r="L14" s="831" t="s">
        <v>887</v>
      </c>
      <c r="M14" s="831">
        <v>0.83856830584141551</v>
      </c>
      <c r="N14" s="776">
        <v>7.1275726876243464E-2</v>
      </c>
    </row>
    <row r="15" spans="1:14" hidden="1">
      <c r="A15" s="773" t="s">
        <v>891</v>
      </c>
      <c r="B15" s="774">
        <v>7</v>
      </c>
      <c r="C15" s="775">
        <v>29107.115999999998</v>
      </c>
      <c r="D15" s="775">
        <v>102625.92</v>
      </c>
      <c r="E15" s="831">
        <v>0.2836234354829657</v>
      </c>
      <c r="F15" s="832">
        <v>40359</v>
      </c>
      <c r="G15" s="831">
        <v>0.39326322239060074</v>
      </c>
      <c r="H15" s="775">
        <v>40338</v>
      </c>
      <c r="I15" s="775">
        <v>141352.91999999998</v>
      </c>
      <c r="J15" s="775">
        <v>280520.92</v>
      </c>
      <c r="K15" s="831">
        <v>0.28537082926903812</v>
      </c>
      <c r="L15" s="831">
        <v>0.14379676210957815</v>
      </c>
      <c r="M15" s="831">
        <v>0.39305859572318574</v>
      </c>
      <c r="N15" s="776">
        <v>0.44301926004171199</v>
      </c>
    </row>
    <row r="16" spans="1:14" hidden="1">
      <c r="A16" s="773" t="s">
        <v>892</v>
      </c>
      <c r="B16" s="774">
        <v>557</v>
      </c>
      <c r="C16" s="775">
        <v>19659.992319999994</v>
      </c>
      <c r="D16" s="775">
        <v>67543.369999999937</v>
      </c>
      <c r="E16" s="831">
        <v>0.29107212625014139</v>
      </c>
      <c r="F16" s="832">
        <v>36122.305999999982</v>
      </c>
      <c r="G16" s="831">
        <v>0.53480165410757585</v>
      </c>
      <c r="H16" s="775">
        <v>32945.142999999982</v>
      </c>
      <c r="I16" s="775">
        <v>58434.707999999941</v>
      </c>
      <c r="J16" s="775">
        <v>192772.17699999997</v>
      </c>
      <c r="K16" s="831">
        <v>0.56379408963590638</v>
      </c>
      <c r="L16" s="831">
        <v>0.17090196060814308</v>
      </c>
      <c r="M16" s="831">
        <v>0.48776279596354183</v>
      </c>
      <c r="N16" s="776">
        <v>0.1765640030797172</v>
      </c>
    </row>
    <row r="17" spans="1:14" hidden="1">
      <c r="A17" s="773" t="s">
        <v>893</v>
      </c>
      <c r="B17" s="774">
        <v>23</v>
      </c>
      <c r="C17" s="775">
        <v>1270.5999999999999</v>
      </c>
      <c r="D17" s="775">
        <v>1608.2900000000002</v>
      </c>
      <c r="E17" s="831">
        <v>0.79003164852109986</v>
      </c>
      <c r="F17" s="832">
        <v>2848.614</v>
      </c>
      <c r="G17" s="831">
        <v>1.7712066853614707</v>
      </c>
      <c r="H17" s="775">
        <v>2592.3069999999998</v>
      </c>
      <c r="I17" s="775">
        <v>-195.70500000000055</v>
      </c>
      <c r="J17" s="775">
        <v>-105.86599999999999</v>
      </c>
      <c r="K17" s="831" t="s">
        <v>887</v>
      </c>
      <c r="L17" s="831" t="s">
        <v>887</v>
      </c>
      <c r="M17" s="831">
        <v>1.6118405262732465</v>
      </c>
      <c r="N17" s="776">
        <v>1.8550558673249666E-2</v>
      </c>
    </row>
    <row r="18" spans="1:14" hidden="1">
      <c r="A18" s="773" t="s">
        <v>894</v>
      </c>
      <c r="B18" s="774">
        <v>31</v>
      </c>
      <c r="C18" s="775">
        <v>12915.352000000001</v>
      </c>
      <c r="D18" s="775">
        <v>22852.321000000004</v>
      </c>
      <c r="E18" s="831">
        <v>0.56516587527367568</v>
      </c>
      <c r="F18" s="832">
        <v>16206.483</v>
      </c>
      <c r="G18" s="831">
        <v>0.70918323788642723</v>
      </c>
      <c r="H18" s="775">
        <v>15024.785</v>
      </c>
      <c r="I18" s="775">
        <v>21780.180000000008</v>
      </c>
      <c r="J18" s="775">
        <v>25887.173000000013</v>
      </c>
      <c r="K18" s="831">
        <v>0.68983750363862906</v>
      </c>
      <c r="L18" s="831">
        <v>0.58039497012671071</v>
      </c>
      <c r="M18" s="831">
        <v>0.65747304179737354</v>
      </c>
      <c r="N18" s="776">
        <v>2.655230937298967E-2</v>
      </c>
    </row>
    <row r="19" spans="1:14" hidden="1">
      <c r="A19" s="773" t="s">
        <v>643</v>
      </c>
      <c r="B19" s="774">
        <v>26</v>
      </c>
      <c r="C19" s="775">
        <v>1266.3099999999997</v>
      </c>
      <c r="D19" s="775">
        <v>8817.2500000000036</v>
      </c>
      <c r="E19" s="831">
        <v>0.14361734100768372</v>
      </c>
      <c r="F19" s="832">
        <v>3476.6859999999988</v>
      </c>
      <c r="G19" s="831">
        <v>0.39430502707760329</v>
      </c>
      <c r="H19" s="775">
        <v>3464.8299999999986</v>
      </c>
      <c r="I19" s="775">
        <v>-5822.6019999999953</v>
      </c>
      <c r="J19" s="775">
        <v>-7578.3809999999994</v>
      </c>
      <c r="K19" s="831" t="s">
        <v>887</v>
      </c>
      <c r="L19" s="831" t="s">
        <v>887</v>
      </c>
      <c r="M19" s="831">
        <v>0.39296039014431905</v>
      </c>
      <c r="N19" s="776">
        <v>0.10393630501139743</v>
      </c>
    </row>
    <row r="20" spans="1:14" hidden="1">
      <c r="A20" s="773" t="s">
        <v>895</v>
      </c>
      <c r="B20" s="774">
        <v>30</v>
      </c>
      <c r="C20" s="775">
        <v>11022.991</v>
      </c>
      <c r="D20" s="775">
        <v>38423.511000000013</v>
      </c>
      <c r="E20" s="831">
        <v>0.2868814096660765</v>
      </c>
      <c r="F20" s="832">
        <v>24277.15</v>
      </c>
      <c r="G20" s="831">
        <v>0.63183059975961053</v>
      </c>
      <c r="H20" s="775">
        <v>23872.690000000002</v>
      </c>
      <c r="I20" s="775">
        <v>100348.33000000002</v>
      </c>
      <c r="J20" s="775">
        <v>171525.17299999998</v>
      </c>
      <c r="K20" s="831">
        <v>0.23789822909858091</v>
      </c>
      <c r="L20" s="831">
        <v>0.13917892973062329</v>
      </c>
      <c r="M20" s="831">
        <v>0.62130423219262798</v>
      </c>
      <c r="N20" s="776">
        <v>0.30759698309671335</v>
      </c>
    </row>
    <row r="21" spans="1:14" hidden="1">
      <c r="A21" s="773" t="s">
        <v>896</v>
      </c>
      <c r="B21" s="774">
        <v>45</v>
      </c>
      <c r="C21" s="775">
        <v>1861.5349999999992</v>
      </c>
      <c r="D21" s="775">
        <v>14370.389000000005</v>
      </c>
      <c r="E21" s="831">
        <v>0.12953963876691149</v>
      </c>
      <c r="F21" s="832">
        <v>11996.662999999999</v>
      </c>
      <c r="G21" s="831">
        <v>0.83481825022273193</v>
      </c>
      <c r="H21" s="775">
        <v>11720.667999999998</v>
      </c>
      <c r="I21" s="775">
        <v>9419.2190000000082</v>
      </c>
      <c r="J21" s="775">
        <v>13041.201000000001</v>
      </c>
      <c r="K21" s="831">
        <v>1.2443354380018117</v>
      </c>
      <c r="L21" s="831">
        <v>0.8987414579378078</v>
      </c>
      <c r="M21" s="831">
        <v>0.8156124374921232</v>
      </c>
      <c r="N21" s="776">
        <v>4.4413028827024706E-2</v>
      </c>
    </row>
    <row r="22" spans="1:14" hidden="1">
      <c r="A22" s="773" t="s">
        <v>897</v>
      </c>
      <c r="B22" s="774">
        <v>164</v>
      </c>
      <c r="C22" s="775">
        <v>3112.873</v>
      </c>
      <c r="D22" s="775">
        <v>11028.555999999986</v>
      </c>
      <c r="E22" s="831">
        <v>0.28225571869971045</v>
      </c>
      <c r="F22" s="832">
        <v>12512.879999999997</v>
      </c>
      <c r="G22" s="831">
        <v>1.1345891520159133</v>
      </c>
      <c r="H22" s="775">
        <v>8943.9909999999982</v>
      </c>
      <c r="I22" s="775">
        <v>11231.013999999992</v>
      </c>
      <c r="J22" s="775">
        <v>16410.593999999997</v>
      </c>
      <c r="K22" s="831">
        <v>0.79636540387181465</v>
      </c>
      <c r="L22" s="831">
        <v>0.5450132396182612</v>
      </c>
      <c r="M22" s="831">
        <v>0.81098477443465944</v>
      </c>
      <c r="N22" s="776">
        <v>4.8045201312521844E-2</v>
      </c>
    </row>
    <row r="23" spans="1:14" hidden="1">
      <c r="A23" s="773" t="s">
        <v>898</v>
      </c>
      <c r="B23" s="774">
        <v>10</v>
      </c>
      <c r="C23" s="775">
        <v>5128.3999999999996</v>
      </c>
      <c r="D23" s="775">
        <v>17653.3</v>
      </c>
      <c r="E23" s="831">
        <v>0.29050659083570779</v>
      </c>
      <c r="F23" s="832">
        <v>36881.299999999996</v>
      </c>
      <c r="G23" s="831">
        <v>2.0892014524196609</v>
      </c>
      <c r="H23" s="775">
        <v>36832.999999999993</v>
      </c>
      <c r="I23" s="775">
        <v>18830.079999999994</v>
      </c>
      <c r="J23" s="775">
        <v>28294.379999999994</v>
      </c>
      <c r="K23" s="831">
        <v>1.9560724118006936</v>
      </c>
      <c r="L23" s="831">
        <v>1.3017779502501912</v>
      </c>
      <c r="M23" s="831">
        <v>2.0864654200631039</v>
      </c>
      <c r="N23" s="776">
        <v>1.4652309221875827E-2</v>
      </c>
    </row>
    <row r="24" spans="1:14" hidden="1">
      <c r="A24" s="773" t="s">
        <v>899</v>
      </c>
      <c r="B24" s="774">
        <v>38</v>
      </c>
      <c r="C24" s="775">
        <v>4333.8000000000011</v>
      </c>
      <c r="D24" s="775">
        <v>15819.509999999998</v>
      </c>
      <c r="E24" s="831">
        <v>0.27395285947542003</v>
      </c>
      <c r="F24" s="832">
        <v>9664.3940000000002</v>
      </c>
      <c r="G24" s="831">
        <v>0.6109161408918482</v>
      </c>
      <c r="H24" s="775">
        <v>9181.996000000001</v>
      </c>
      <c r="I24" s="775">
        <v>9847.0449999999964</v>
      </c>
      <c r="J24" s="775">
        <v>6877.9069999999965</v>
      </c>
      <c r="K24" s="831">
        <v>0.93246207364747535</v>
      </c>
      <c r="L24" s="831">
        <v>1.3349985686052466</v>
      </c>
      <c r="M24" s="831">
        <v>0.58042227603762708</v>
      </c>
      <c r="N24" s="776">
        <v>4.5382199797510112E-2</v>
      </c>
    </row>
    <row r="25" spans="1:14" hidden="1">
      <c r="A25" s="773" t="s">
        <v>900</v>
      </c>
      <c r="B25" s="774">
        <v>4</v>
      </c>
      <c r="C25" s="775">
        <v>330</v>
      </c>
      <c r="D25" s="775">
        <v>2259.2399999999998</v>
      </c>
      <c r="E25" s="831">
        <v>0.14606681893025975</v>
      </c>
      <c r="F25" s="832">
        <v>1751.1</v>
      </c>
      <c r="G25" s="831">
        <v>0.77508365645084187</v>
      </c>
      <c r="H25" s="775">
        <v>1683.1</v>
      </c>
      <c r="I25" s="775">
        <v>1824.0719999999999</v>
      </c>
      <c r="J25" s="775">
        <v>1901.9080000000001</v>
      </c>
      <c r="K25" s="831">
        <v>0.92271576999153537</v>
      </c>
      <c r="L25" s="831">
        <v>0.88495342571775282</v>
      </c>
      <c r="M25" s="831">
        <v>0.74498503921672776</v>
      </c>
      <c r="N25" s="776">
        <v>9.8248914040228272E-2</v>
      </c>
    </row>
    <row r="26" spans="1:14" hidden="1">
      <c r="A26" s="773" t="s">
        <v>901</v>
      </c>
      <c r="B26" s="774">
        <v>76</v>
      </c>
      <c r="C26" s="775">
        <v>7557.405999999999</v>
      </c>
      <c r="D26" s="775">
        <v>18677.567000000006</v>
      </c>
      <c r="E26" s="831">
        <v>0.40462475653279661</v>
      </c>
      <c r="F26" s="832">
        <v>20111.846999999994</v>
      </c>
      <c r="G26" s="831">
        <v>1.076791586398806</v>
      </c>
      <c r="H26" s="775">
        <v>19090.449999999993</v>
      </c>
      <c r="I26" s="775">
        <v>5618.0560000000078</v>
      </c>
      <c r="J26" s="775">
        <v>25052.168000000023</v>
      </c>
      <c r="K26" s="831">
        <v>3.3980526360007746</v>
      </c>
      <c r="L26" s="831">
        <v>0.76202786122143107</v>
      </c>
      <c r="M26" s="831">
        <v>1.0221058235261578</v>
      </c>
      <c r="N26" s="776">
        <v>4.9966819284392533E-2</v>
      </c>
    </row>
    <row r="27" spans="1:14" hidden="1">
      <c r="A27" s="773" t="s">
        <v>902</v>
      </c>
      <c r="B27" s="774">
        <v>19</v>
      </c>
      <c r="C27" s="775">
        <v>513.95500000000004</v>
      </c>
      <c r="D27" s="775">
        <v>2515.23</v>
      </c>
      <c r="E27" s="831">
        <v>0.20433717791215913</v>
      </c>
      <c r="F27" s="832">
        <v>573.17100000000005</v>
      </c>
      <c r="G27" s="831">
        <v>0.22788015410121543</v>
      </c>
      <c r="H27" s="775">
        <v>-345.24999999999989</v>
      </c>
      <c r="I27" s="775">
        <v>2307.1929999999998</v>
      </c>
      <c r="J27" s="775">
        <v>1255.0989999999997</v>
      </c>
      <c r="K27" s="831">
        <v>-0.14964071059508238</v>
      </c>
      <c r="L27" s="831">
        <v>-0.275077902221259</v>
      </c>
      <c r="M27" s="831">
        <v>-0.13726378899742764</v>
      </c>
      <c r="N27" s="776">
        <v>0.12601748160559528</v>
      </c>
    </row>
    <row r="28" spans="1:14" hidden="1">
      <c r="A28" s="773" t="s">
        <v>903</v>
      </c>
      <c r="B28" s="774">
        <v>80</v>
      </c>
      <c r="C28" s="775">
        <v>7172.6609999999982</v>
      </c>
      <c r="D28" s="775">
        <v>7664.5090000000037</v>
      </c>
      <c r="E28" s="831">
        <v>0.93582785276917213</v>
      </c>
      <c r="F28" s="832">
        <v>13409.186999999998</v>
      </c>
      <c r="G28" s="831">
        <v>1.7495167661751054</v>
      </c>
      <c r="H28" s="775">
        <v>12895.073999999999</v>
      </c>
      <c r="I28" s="775">
        <v>7927.0280000000075</v>
      </c>
      <c r="J28" s="775">
        <v>13115.963000000025</v>
      </c>
      <c r="K28" s="831">
        <v>1.6267223983566081</v>
      </c>
      <c r="L28" s="831">
        <v>0.98315876615388242</v>
      </c>
      <c r="M28" s="831">
        <v>1.6824396709560903</v>
      </c>
      <c r="N28" s="776">
        <v>5.2114354259030375E-2</v>
      </c>
    </row>
    <row r="29" spans="1:14" hidden="1">
      <c r="A29" s="773" t="s">
        <v>904</v>
      </c>
      <c r="B29" s="774">
        <v>42</v>
      </c>
      <c r="C29" s="775">
        <v>18124.950000000004</v>
      </c>
      <c r="D29" s="775">
        <v>106948.53700000004</v>
      </c>
      <c r="E29" s="831">
        <v>0.16947356652480433</v>
      </c>
      <c r="F29" s="832">
        <v>124125.576</v>
      </c>
      <c r="G29" s="831">
        <v>1.1606103223272699</v>
      </c>
      <c r="H29" s="775">
        <v>123564.499</v>
      </c>
      <c r="I29" s="775">
        <v>107732.42000000004</v>
      </c>
      <c r="J29" s="775">
        <v>105646.15400000004</v>
      </c>
      <c r="K29" s="831">
        <v>1.1469574247009391</v>
      </c>
      <c r="L29" s="831">
        <v>1.1696071680943534</v>
      </c>
      <c r="M29" s="831">
        <v>1.1553640888046925</v>
      </c>
      <c r="N29" s="776">
        <v>1.7944827521250071E-2</v>
      </c>
    </row>
    <row r="30" spans="1:14" hidden="1">
      <c r="A30" s="773" t="s">
        <v>905</v>
      </c>
      <c r="B30" s="774">
        <v>49</v>
      </c>
      <c r="C30" s="775">
        <v>4538.9599999999982</v>
      </c>
      <c r="D30" s="775">
        <v>14115.59</v>
      </c>
      <c r="E30" s="831">
        <v>0.32155652013128733</v>
      </c>
      <c r="F30" s="832">
        <v>12688.434999999998</v>
      </c>
      <c r="G30" s="831">
        <v>0.89889512234345126</v>
      </c>
      <c r="H30" s="775">
        <v>12082.062999999998</v>
      </c>
      <c r="I30" s="775">
        <v>4323.0430000000024</v>
      </c>
      <c r="J30" s="775">
        <v>10297.30599999999</v>
      </c>
      <c r="K30" s="831">
        <v>2.794805186994437</v>
      </c>
      <c r="L30" s="831">
        <v>1.1733227117850058</v>
      </c>
      <c r="M30" s="831">
        <v>0.85593751306179888</v>
      </c>
      <c r="N30" s="776">
        <v>4.153892916080696E-2</v>
      </c>
    </row>
    <row r="31" spans="1:14" hidden="1">
      <c r="A31" s="773" t="s">
        <v>906</v>
      </c>
      <c r="B31" s="774">
        <v>23</v>
      </c>
      <c r="C31" s="775">
        <v>6865.3540000000012</v>
      </c>
      <c r="D31" s="775">
        <v>4556.3100000000004</v>
      </c>
      <c r="E31" s="831">
        <v>1.5067793894620867</v>
      </c>
      <c r="F31" s="832">
        <v>25049.29</v>
      </c>
      <c r="G31" s="831">
        <v>5.4977141590453673</v>
      </c>
      <c r="H31" s="775">
        <v>23473.133000000002</v>
      </c>
      <c r="I31" s="775">
        <v>-8333.0159999999942</v>
      </c>
      <c r="J31" s="775">
        <v>-28355.903999999995</v>
      </c>
      <c r="K31" s="831" t="s">
        <v>887</v>
      </c>
      <c r="L31" s="831" t="s">
        <v>887</v>
      </c>
      <c r="M31" s="831">
        <v>5.1517857652354646</v>
      </c>
      <c r="N31" s="776">
        <v>4.6739475865868324E-2</v>
      </c>
    </row>
    <row r="32" spans="1:14" hidden="1">
      <c r="A32" s="773" t="s">
        <v>907</v>
      </c>
      <c r="B32" s="774">
        <v>598</v>
      </c>
      <c r="C32" s="775">
        <v>17685</v>
      </c>
      <c r="D32" s="775">
        <v>1336.6159999999957</v>
      </c>
      <c r="E32" s="831">
        <v>5.6919254543125089E-4</v>
      </c>
      <c r="F32" s="832">
        <v>37299.359000000011</v>
      </c>
      <c r="G32" s="831">
        <v>27.905815133142301</v>
      </c>
      <c r="H32" s="775">
        <v>13735.232000000018</v>
      </c>
      <c r="I32" s="775">
        <v>6456.4889999999214</v>
      </c>
      <c r="J32" s="775">
        <v>513.2669999999016</v>
      </c>
      <c r="K32" s="831">
        <v>2.1273531171508515</v>
      </c>
      <c r="L32" s="831">
        <v>26.760403454737304</v>
      </c>
      <c r="M32" s="831">
        <v>10.276124182263315</v>
      </c>
      <c r="N32" s="776">
        <v>7.1437251488811804E-2</v>
      </c>
    </row>
    <row r="33" spans="1:14" hidden="1">
      <c r="A33" s="773" t="s">
        <v>908</v>
      </c>
      <c r="B33" s="774">
        <v>281</v>
      </c>
      <c r="C33" s="775">
        <v>37183.449999999997</v>
      </c>
      <c r="D33" s="775">
        <v>72397.570000000051</v>
      </c>
      <c r="E33" s="831">
        <v>0.51360080179486645</v>
      </c>
      <c r="F33" s="832">
        <v>57540.930000000008</v>
      </c>
      <c r="G33" s="831">
        <v>0.79479090251233531</v>
      </c>
      <c r="H33" s="775">
        <v>50169.941000000006</v>
      </c>
      <c r="I33" s="775">
        <v>75076.595000000045</v>
      </c>
      <c r="J33" s="775">
        <v>72293.140000000058</v>
      </c>
      <c r="K33" s="831">
        <v>0.66825008512972617</v>
      </c>
      <c r="L33" s="831">
        <v>0.6939792765952616</v>
      </c>
      <c r="M33" s="831">
        <v>0.69297824498805649</v>
      </c>
      <c r="N33" s="776">
        <v>2.5649637421181277E-2</v>
      </c>
    </row>
    <row r="34" spans="1:14" hidden="1">
      <c r="A34" s="773" t="s">
        <v>909</v>
      </c>
      <c r="B34" s="774">
        <v>33</v>
      </c>
      <c r="C34" s="775">
        <v>90</v>
      </c>
      <c r="D34" s="775">
        <v>516.07699999999988</v>
      </c>
      <c r="E34" s="831">
        <v>0.17439258095206728</v>
      </c>
      <c r="F34" s="832">
        <v>2641.9349999999995</v>
      </c>
      <c r="G34" s="831">
        <v>5.1192651484177754</v>
      </c>
      <c r="H34" s="775">
        <v>2104.6249999999995</v>
      </c>
      <c r="I34" s="775">
        <v>407.23199999999997</v>
      </c>
      <c r="J34" s="775">
        <v>-685.19100000000117</v>
      </c>
      <c r="K34" s="831">
        <v>5.1681228390696203</v>
      </c>
      <c r="L34" s="831" t="s">
        <v>887</v>
      </c>
      <c r="M34" s="831">
        <v>4.0781220631804942</v>
      </c>
      <c r="N34" s="776">
        <v>9.9048605897792408E-2</v>
      </c>
    </row>
    <row r="35" spans="1:14" hidden="1">
      <c r="A35" s="773" t="s">
        <v>910</v>
      </c>
      <c r="B35" s="774">
        <v>110</v>
      </c>
      <c r="C35" s="775">
        <v>2409.1900000000005</v>
      </c>
      <c r="D35" s="775">
        <v>6991.1729999999916</v>
      </c>
      <c r="E35" s="831">
        <v>0.34460454633292631</v>
      </c>
      <c r="F35" s="832">
        <v>6707.2340000000004</v>
      </c>
      <c r="G35" s="831">
        <v>0.95938607155051214</v>
      </c>
      <c r="H35" s="775">
        <v>3687.4279999999994</v>
      </c>
      <c r="I35" s="775">
        <v>-116.23100000001068</v>
      </c>
      <c r="J35" s="775">
        <v>10494.277999999986</v>
      </c>
      <c r="K35" s="831" t="s">
        <v>887</v>
      </c>
      <c r="L35" s="831">
        <v>0.35137510174592329</v>
      </c>
      <c r="M35" s="831">
        <v>0.52744053108112243</v>
      </c>
      <c r="N35" s="776">
        <v>5.0721749418674862E-2</v>
      </c>
    </row>
    <row r="36" spans="1:14" hidden="1">
      <c r="A36" s="773" t="s">
        <v>911</v>
      </c>
      <c r="B36" s="774">
        <v>16</v>
      </c>
      <c r="C36" s="775">
        <v>0</v>
      </c>
      <c r="D36" s="775">
        <v>39.38900000000001</v>
      </c>
      <c r="E36" s="831">
        <v>0</v>
      </c>
      <c r="F36" s="832">
        <v>298.971</v>
      </c>
      <c r="G36" s="831">
        <v>7.5902155424103155</v>
      </c>
      <c r="H36" s="775">
        <v>230.06300000000002</v>
      </c>
      <c r="I36" s="775">
        <v>-353.9140000000001</v>
      </c>
      <c r="J36" s="775">
        <v>-344.21299999999997</v>
      </c>
      <c r="K36" s="831" t="s">
        <v>887</v>
      </c>
      <c r="L36" s="831" t="s">
        <v>887</v>
      </c>
      <c r="M36" s="831">
        <v>5.8407931148290118</v>
      </c>
      <c r="N36" s="776">
        <v>0.15076516748919444</v>
      </c>
    </row>
    <row r="37" spans="1:14" hidden="1">
      <c r="A37" s="773" t="s">
        <v>912</v>
      </c>
      <c r="B37" s="774">
        <v>138</v>
      </c>
      <c r="C37" s="775">
        <v>916.42800000000011</v>
      </c>
      <c r="D37" s="775">
        <v>8638.3120000000072</v>
      </c>
      <c r="E37" s="831">
        <v>0.10608878216021826</v>
      </c>
      <c r="F37" s="832">
        <v>7675.7719999999999</v>
      </c>
      <c r="G37" s="831">
        <v>0.88857313790008896</v>
      </c>
      <c r="H37" s="775">
        <v>4921.2440000000006</v>
      </c>
      <c r="I37" s="775">
        <v>486.36700000000928</v>
      </c>
      <c r="J37" s="775">
        <v>7877.6560000000172</v>
      </c>
      <c r="K37" s="831">
        <v>10.118375629925358</v>
      </c>
      <c r="L37" s="831">
        <v>0.62470917745075305</v>
      </c>
      <c r="M37" s="831">
        <v>0.56969972837285765</v>
      </c>
      <c r="N37" s="776">
        <v>5.6857387672521964E-2</v>
      </c>
    </row>
    <row r="38" spans="1:14" hidden="1">
      <c r="A38" s="773" t="s">
        <v>913</v>
      </c>
      <c r="B38" s="774">
        <v>43</v>
      </c>
      <c r="C38" s="775">
        <v>432.09999999999997</v>
      </c>
      <c r="D38" s="775">
        <v>2558.9629999999997</v>
      </c>
      <c r="E38" s="831">
        <v>0.16885746296448992</v>
      </c>
      <c r="F38" s="832">
        <v>2907.779</v>
      </c>
      <c r="G38" s="831">
        <v>1.1363114667933847</v>
      </c>
      <c r="H38" s="775">
        <v>2727.694</v>
      </c>
      <c r="I38" s="775">
        <v>-1888.0099999999993</v>
      </c>
      <c r="J38" s="775">
        <v>3697.7970000000023</v>
      </c>
      <c r="K38" s="831" t="s">
        <v>887</v>
      </c>
      <c r="L38" s="831">
        <v>0.73765379765303452</v>
      </c>
      <c r="M38" s="831">
        <v>1.0659372566152774</v>
      </c>
      <c r="N38" s="776">
        <v>4.9237983688661585E-2</v>
      </c>
    </row>
    <row r="39" spans="1:14" hidden="1">
      <c r="A39" s="773" t="s">
        <v>914</v>
      </c>
      <c r="B39" s="774">
        <v>110</v>
      </c>
      <c r="C39" s="775">
        <v>959.83999999999992</v>
      </c>
      <c r="D39" s="775">
        <v>1903.6689999999994</v>
      </c>
      <c r="E39" s="831">
        <v>0.50420530039623501</v>
      </c>
      <c r="F39" s="832">
        <v>3381.1719999999996</v>
      </c>
      <c r="G39" s="831">
        <v>1.7761344015162304</v>
      </c>
      <c r="H39" s="775">
        <v>2560.0719999999997</v>
      </c>
      <c r="I39" s="775">
        <v>5417.9789999999957</v>
      </c>
      <c r="J39" s="775">
        <v>-1283.6759999999995</v>
      </c>
      <c r="K39" s="831">
        <v>0.47251419763716351</v>
      </c>
      <c r="L39" s="831" t="s">
        <v>887</v>
      </c>
      <c r="M39" s="831">
        <v>1.3448094180238268</v>
      </c>
      <c r="N39" s="776">
        <v>6.9023482536863676E-2</v>
      </c>
    </row>
    <row r="40" spans="1:14" hidden="1">
      <c r="A40" s="773" t="s">
        <v>915</v>
      </c>
      <c r="B40" s="774">
        <v>62</v>
      </c>
      <c r="C40" s="775">
        <v>2146.6999999999998</v>
      </c>
      <c r="D40" s="775">
        <v>4640.6050000000014</v>
      </c>
      <c r="E40" s="831">
        <v>0.46259054584477655</v>
      </c>
      <c r="F40" s="832">
        <v>4481.5159999999987</v>
      </c>
      <c r="G40" s="831">
        <v>0.96571804753905954</v>
      </c>
      <c r="H40" s="775">
        <v>3975.3119999999985</v>
      </c>
      <c r="I40" s="775">
        <v>3314.6110000000049</v>
      </c>
      <c r="J40" s="775">
        <v>8304.5399999999972</v>
      </c>
      <c r="K40" s="831">
        <v>1.1993298761151738</v>
      </c>
      <c r="L40" s="831">
        <v>0.47869141457564174</v>
      </c>
      <c r="M40" s="831">
        <v>0.85663658079065064</v>
      </c>
      <c r="N40" s="776">
        <v>8.1137078092717446E-3</v>
      </c>
    </row>
    <row r="41" spans="1:14" hidden="1">
      <c r="A41" s="773" t="s">
        <v>916</v>
      </c>
      <c r="B41" s="774">
        <v>39</v>
      </c>
      <c r="C41" s="775">
        <v>3015.71</v>
      </c>
      <c r="D41" s="775">
        <v>14341.238999999998</v>
      </c>
      <c r="E41" s="831">
        <v>0.21028238912969796</v>
      </c>
      <c r="F41" s="832">
        <v>8457.15</v>
      </c>
      <c r="G41" s="831">
        <v>0.58970846242782793</v>
      </c>
      <c r="H41" s="775">
        <v>8068.0169999999998</v>
      </c>
      <c r="I41" s="775">
        <v>-4214.1320000000014</v>
      </c>
      <c r="J41" s="775">
        <v>4957.7920000000086</v>
      </c>
      <c r="K41" s="831" t="s">
        <v>887</v>
      </c>
      <c r="L41" s="831">
        <v>1.6273407597575666</v>
      </c>
      <c r="M41" s="831">
        <v>0.56257461436909328</v>
      </c>
      <c r="N41" s="776">
        <v>2.3316489175641959E-2</v>
      </c>
    </row>
    <row r="42" spans="1:14" hidden="1">
      <c r="A42" s="773" t="s">
        <v>917</v>
      </c>
      <c r="B42" s="774">
        <v>223</v>
      </c>
      <c r="C42" s="775">
        <v>13017.300200000005</v>
      </c>
      <c r="D42" s="775">
        <v>95373.685999999987</v>
      </c>
      <c r="E42" s="831">
        <v>0.13648733467216531</v>
      </c>
      <c r="F42" s="832">
        <v>62501.149000000012</v>
      </c>
      <c r="G42" s="831">
        <v>0.65532907053629053</v>
      </c>
      <c r="H42" s="775">
        <v>60726.687000000013</v>
      </c>
      <c r="I42" s="775">
        <v>86528.702999999994</v>
      </c>
      <c r="J42" s="775">
        <v>-162222.92099999962</v>
      </c>
      <c r="K42" s="831">
        <v>0.70180974514318117</v>
      </c>
      <c r="L42" s="831" t="s">
        <v>887</v>
      </c>
      <c r="M42" s="831">
        <v>0.63672370804668299</v>
      </c>
      <c r="N42" s="776">
        <v>2.23635951229793E-2</v>
      </c>
    </row>
    <row r="43" spans="1:14" hidden="1">
      <c r="A43" s="773" t="s">
        <v>918</v>
      </c>
      <c r="B43" s="774">
        <v>92</v>
      </c>
      <c r="C43" s="775">
        <v>10574.619999999995</v>
      </c>
      <c r="D43" s="775">
        <v>19663.081000000017</v>
      </c>
      <c r="E43" s="831">
        <v>0.53779059344768942</v>
      </c>
      <c r="F43" s="832">
        <v>17404.519999999997</v>
      </c>
      <c r="G43" s="831">
        <v>0.88513697319356932</v>
      </c>
      <c r="H43" s="775">
        <v>15571.875999999997</v>
      </c>
      <c r="I43" s="775">
        <v>11098.263000000017</v>
      </c>
      <c r="J43" s="775">
        <v>9624.50900000002</v>
      </c>
      <c r="K43" s="831">
        <v>1.4030912765357941</v>
      </c>
      <c r="L43" s="831">
        <v>1.6179397826943653</v>
      </c>
      <c r="M43" s="831">
        <v>0.79193469222854662</v>
      </c>
      <c r="N43" s="776">
        <v>1.87364939663376E-2</v>
      </c>
    </row>
    <row r="44" spans="1:14" hidden="1">
      <c r="A44" s="773" t="s">
        <v>919</v>
      </c>
      <c r="B44" s="774">
        <v>14</v>
      </c>
      <c r="C44" s="775">
        <v>1021.6</v>
      </c>
      <c r="D44" s="775">
        <v>2343.4140000000002</v>
      </c>
      <c r="E44" s="831">
        <v>0.43594516376534403</v>
      </c>
      <c r="F44" s="832">
        <v>1909.99</v>
      </c>
      <c r="G44" s="831">
        <v>0.81504591164856055</v>
      </c>
      <c r="H44" s="775">
        <v>1699.521</v>
      </c>
      <c r="I44" s="775">
        <v>-1201.2810000000004</v>
      </c>
      <c r="J44" s="775">
        <v>-540.28299999999945</v>
      </c>
      <c r="K44" s="831" t="s">
        <v>887</v>
      </c>
      <c r="L44" s="831" t="s">
        <v>887</v>
      </c>
      <c r="M44" s="831">
        <v>0.72523292939275763</v>
      </c>
      <c r="N44" s="776">
        <v>1.2964298755208017E-2</v>
      </c>
    </row>
    <row r="45" spans="1:14" hidden="1">
      <c r="A45" s="773" t="s">
        <v>920</v>
      </c>
      <c r="B45" s="774">
        <v>32</v>
      </c>
      <c r="C45" s="775">
        <v>796.42499999999995</v>
      </c>
      <c r="D45" s="775">
        <v>1170.874</v>
      </c>
      <c r="E45" s="831">
        <v>0.68019701522110831</v>
      </c>
      <c r="F45" s="832">
        <v>4007.0700000000006</v>
      </c>
      <c r="G45" s="831">
        <v>3.4222896742091811</v>
      </c>
      <c r="H45" s="775">
        <v>3857.9070000000006</v>
      </c>
      <c r="I45" s="775">
        <v>-1718.2510000000007</v>
      </c>
      <c r="J45" s="775">
        <v>507.54600000000573</v>
      </c>
      <c r="K45" s="831" t="s">
        <v>887</v>
      </c>
      <c r="L45" s="831">
        <v>7.6010982255794683</v>
      </c>
      <c r="M45" s="831">
        <v>3.2948950954586067</v>
      </c>
      <c r="N45" s="776">
        <v>5.9473625852007939E-2</v>
      </c>
    </row>
    <row r="46" spans="1:14" hidden="1">
      <c r="A46" s="773" t="s">
        <v>921</v>
      </c>
      <c r="B46" s="774">
        <v>19</v>
      </c>
      <c r="C46" s="775">
        <v>657.02200000000005</v>
      </c>
      <c r="D46" s="775">
        <v>1155.759</v>
      </c>
      <c r="E46" s="831">
        <v>0.56847664608279069</v>
      </c>
      <c r="F46" s="832">
        <v>208.39100000000002</v>
      </c>
      <c r="G46" s="831">
        <v>0.18030662101701134</v>
      </c>
      <c r="H46" s="775">
        <v>196.86500000000001</v>
      </c>
      <c r="I46" s="775">
        <v>-392.33000000000027</v>
      </c>
      <c r="J46" s="775">
        <v>2042.746000000001</v>
      </c>
      <c r="K46" s="831" t="s">
        <v>887</v>
      </c>
      <c r="L46" s="831">
        <v>9.6372725732910461E-2</v>
      </c>
      <c r="M46" s="831">
        <v>0.17033395370488139</v>
      </c>
      <c r="N46" s="776">
        <v>4.379247523402989E-2</v>
      </c>
    </row>
    <row r="47" spans="1:14" hidden="1">
      <c r="A47" s="773" t="s">
        <v>922</v>
      </c>
      <c r="B47" s="774">
        <v>254</v>
      </c>
      <c r="C47" s="775">
        <v>6570.3100000000013</v>
      </c>
      <c r="D47" s="775">
        <v>14242.59499999999</v>
      </c>
      <c r="E47" s="831">
        <v>0.4613141074361804</v>
      </c>
      <c r="F47" s="832">
        <v>18381.617999999995</v>
      </c>
      <c r="G47" s="831">
        <v>1.2906087689778447</v>
      </c>
      <c r="H47" s="775">
        <v>14559.378999999995</v>
      </c>
      <c r="I47" s="775">
        <v>8342.2579999999871</v>
      </c>
      <c r="J47" s="775">
        <v>21726.145999999997</v>
      </c>
      <c r="K47" s="831">
        <v>1.7452563802270342</v>
      </c>
      <c r="L47" s="831">
        <v>0.67013169293808472</v>
      </c>
      <c r="M47" s="831">
        <v>1.0222420141835111</v>
      </c>
      <c r="N47" s="776">
        <v>3.1994527781721203E-2</v>
      </c>
    </row>
    <row r="48" spans="1:14" hidden="1">
      <c r="A48" s="773" t="s">
        <v>923</v>
      </c>
      <c r="B48" s="774">
        <v>131</v>
      </c>
      <c r="C48" s="775">
        <v>13557.735000000002</v>
      </c>
      <c r="D48" s="775">
        <v>41031.688999999991</v>
      </c>
      <c r="E48" s="831">
        <v>0.33042108015587673</v>
      </c>
      <c r="F48" s="832">
        <v>49102.030000000013</v>
      </c>
      <c r="G48" s="831">
        <v>1.1966855666116991</v>
      </c>
      <c r="H48" s="775">
        <v>44679.361000000019</v>
      </c>
      <c r="I48" s="775">
        <v>39997.549000000006</v>
      </c>
      <c r="J48" s="775">
        <v>35170.619999999988</v>
      </c>
      <c r="K48" s="831">
        <v>1.117052472390246</v>
      </c>
      <c r="L48" s="831">
        <v>1.2703603462207955</v>
      </c>
      <c r="M48" s="831">
        <v>1.0888988995797864</v>
      </c>
      <c r="N48" s="776">
        <v>8.0849129295955585E-2</v>
      </c>
    </row>
    <row r="49" spans="1:14" hidden="1">
      <c r="A49" s="773" t="s">
        <v>924</v>
      </c>
      <c r="B49" s="774">
        <v>138</v>
      </c>
      <c r="C49" s="775">
        <v>1581.92</v>
      </c>
      <c r="D49" s="775">
        <v>-529.77900000000216</v>
      </c>
      <c r="E49" s="831">
        <v>4.3282833182668018E-4</v>
      </c>
      <c r="F49" s="832">
        <v>10197.432000000004</v>
      </c>
      <c r="G49" s="831" t="s">
        <v>887</v>
      </c>
      <c r="H49" s="775">
        <v>8491.1030000000046</v>
      </c>
      <c r="I49" s="775">
        <v>-3101.0589999999938</v>
      </c>
      <c r="J49" s="775">
        <v>4235.2150000000256</v>
      </c>
      <c r="K49" s="831" t="s">
        <v>887</v>
      </c>
      <c r="L49" s="831">
        <v>2.004881216183819</v>
      </c>
      <c r="M49" s="831">
        <v>-16.027632276855009</v>
      </c>
      <c r="N49" s="776">
        <v>2.9861395459020352E-2</v>
      </c>
    </row>
    <row r="50" spans="1:14" hidden="1">
      <c r="A50" s="773" t="s">
        <v>689</v>
      </c>
      <c r="B50" s="774">
        <v>32</v>
      </c>
      <c r="C50" s="775">
        <v>1361.39</v>
      </c>
      <c r="D50" s="775">
        <v>24986.040000000005</v>
      </c>
      <c r="E50" s="831">
        <v>5.4486024996357962E-2</v>
      </c>
      <c r="F50" s="832">
        <v>8113.8299999999981</v>
      </c>
      <c r="G50" s="831">
        <v>0.32473453176253608</v>
      </c>
      <c r="H50" s="775">
        <v>7894.7529999999979</v>
      </c>
      <c r="I50" s="775">
        <v>9262.75</v>
      </c>
      <c r="J50" s="775">
        <v>10501.207000000002</v>
      </c>
      <c r="K50" s="831">
        <v>0.8523120023751044</v>
      </c>
      <c r="L50" s="831">
        <v>0.75179481749097954</v>
      </c>
      <c r="M50" s="831">
        <v>0.31596655572471655</v>
      </c>
      <c r="N50" s="776">
        <v>9.3127543900187543E-2</v>
      </c>
    </row>
    <row r="51" spans="1:14" hidden="1">
      <c r="A51" s="773" t="s">
        <v>925</v>
      </c>
      <c r="B51" s="774">
        <v>34</v>
      </c>
      <c r="C51" s="775">
        <v>948.99999999999989</v>
      </c>
      <c r="D51" s="775">
        <v>6999.9600000000009</v>
      </c>
      <c r="E51" s="831">
        <v>0.13557220326973293</v>
      </c>
      <c r="F51" s="832">
        <v>9977.2139999999999</v>
      </c>
      <c r="G51" s="831">
        <v>1.4253244304253165</v>
      </c>
      <c r="H51" s="775">
        <v>9476.7870000000003</v>
      </c>
      <c r="I51" s="775">
        <v>2703.8850000000007</v>
      </c>
      <c r="J51" s="775">
        <v>9327.1079999999947</v>
      </c>
      <c r="K51" s="831">
        <v>3.5048779811271551</v>
      </c>
      <c r="L51" s="831">
        <v>1.0160477395565706</v>
      </c>
      <c r="M51" s="831">
        <v>1.3538344504825741</v>
      </c>
      <c r="N51" s="776">
        <v>1.8538212587318761E-2</v>
      </c>
    </row>
    <row r="52" spans="1:14" hidden="1">
      <c r="A52" s="773" t="s">
        <v>926</v>
      </c>
      <c r="B52" s="774">
        <v>69</v>
      </c>
      <c r="C52" s="775">
        <v>793.83299999999997</v>
      </c>
      <c r="D52" s="775">
        <v>1606.1259999999988</v>
      </c>
      <c r="E52" s="831">
        <v>0.49425325285811983</v>
      </c>
      <c r="F52" s="832">
        <v>17201.466999999993</v>
      </c>
      <c r="G52" s="831">
        <v>10.70991130210208</v>
      </c>
      <c r="H52" s="775">
        <v>15579.422999999993</v>
      </c>
      <c r="I52" s="775">
        <v>4108.8379999999988</v>
      </c>
      <c r="J52" s="775">
        <v>1538.0040000000081</v>
      </c>
      <c r="K52" s="831">
        <v>3.7916858732322858</v>
      </c>
      <c r="L52" s="831">
        <v>10.12963750419369</v>
      </c>
      <c r="M52" s="831">
        <v>9.7000004980929297</v>
      </c>
      <c r="N52" s="776">
        <v>8.2200350685883675E-2</v>
      </c>
    </row>
    <row r="53" spans="1:14" hidden="1">
      <c r="A53" s="773" t="s">
        <v>710</v>
      </c>
      <c r="B53" s="774">
        <v>127</v>
      </c>
      <c r="C53" s="775">
        <v>14431.342000000001</v>
      </c>
      <c r="D53" s="775">
        <v>22657.091999999982</v>
      </c>
      <c r="E53" s="831">
        <v>0.63694590638551551</v>
      </c>
      <c r="F53" s="832">
        <v>22391.329000000009</v>
      </c>
      <c r="G53" s="831">
        <v>0.9882702069621303</v>
      </c>
      <c r="H53" s="775">
        <v>19606.336000000007</v>
      </c>
      <c r="I53" s="775">
        <v>17895.417999999987</v>
      </c>
      <c r="J53" s="775">
        <v>24106.837999999996</v>
      </c>
      <c r="K53" s="831">
        <v>1.0956064842967077</v>
      </c>
      <c r="L53" s="831">
        <v>0.81331014876360019</v>
      </c>
      <c r="M53" s="831">
        <v>0.86535094618497477</v>
      </c>
      <c r="N53" s="776">
        <v>2.2054657954777637E-2</v>
      </c>
    </row>
    <row r="54" spans="1:14" hidden="1">
      <c r="A54" s="773" t="s">
        <v>927</v>
      </c>
      <c r="B54" s="774">
        <v>73</v>
      </c>
      <c r="C54" s="775">
        <v>10475.088</v>
      </c>
      <c r="D54" s="775">
        <v>37313.930000000008</v>
      </c>
      <c r="E54" s="831">
        <v>0.28072861797189408</v>
      </c>
      <c r="F54" s="832">
        <v>48778.195999999967</v>
      </c>
      <c r="G54" s="831">
        <v>1.3072382351577536</v>
      </c>
      <c r="H54" s="775">
        <v>46377.007999999965</v>
      </c>
      <c r="I54" s="775">
        <v>41679.417000000001</v>
      </c>
      <c r="J54" s="775">
        <v>56500.603000000032</v>
      </c>
      <c r="K54" s="831">
        <v>1.1127076945438072</v>
      </c>
      <c r="L54" s="831">
        <v>0.82082323970949367</v>
      </c>
      <c r="M54" s="831">
        <v>1.2428872541702243</v>
      </c>
      <c r="N54" s="776">
        <v>4.0524175559670791E-2</v>
      </c>
    </row>
    <row r="55" spans="1:14" hidden="1">
      <c r="A55" s="773" t="s">
        <v>928</v>
      </c>
      <c r="B55" s="774">
        <v>21</v>
      </c>
      <c r="C55" s="775">
        <v>3403.4079999999999</v>
      </c>
      <c r="D55" s="775">
        <v>20197.720000000005</v>
      </c>
      <c r="E55" s="831">
        <v>0.16850456388146776</v>
      </c>
      <c r="F55" s="832">
        <v>13786.245999999999</v>
      </c>
      <c r="G55" s="831">
        <v>0.6825644676725886</v>
      </c>
      <c r="H55" s="775">
        <v>13417.337</v>
      </c>
      <c r="I55" s="775">
        <v>11622.087000000005</v>
      </c>
      <c r="J55" s="775">
        <v>16243.714000000005</v>
      </c>
      <c r="K55" s="831">
        <v>1.1544688144220563</v>
      </c>
      <c r="L55" s="831">
        <v>0.82600179983469268</v>
      </c>
      <c r="M55" s="831">
        <v>0.66429958430951597</v>
      </c>
      <c r="N55" s="776">
        <v>2.6949929115194532E-2</v>
      </c>
    </row>
    <row r="56" spans="1:14" hidden="1">
      <c r="A56" s="773" t="s">
        <v>929</v>
      </c>
      <c r="B56" s="774">
        <v>27</v>
      </c>
      <c r="C56" s="775">
        <v>5853.4510000000009</v>
      </c>
      <c r="D56" s="775">
        <v>15306.226000000002</v>
      </c>
      <c r="E56" s="831">
        <v>0.38242287811508857</v>
      </c>
      <c r="F56" s="832">
        <v>19119.079000000002</v>
      </c>
      <c r="G56" s="831">
        <v>1.2491047107235969</v>
      </c>
      <c r="H56" s="775">
        <v>18439.954000000002</v>
      </c>
      <c r="I56" s="775">
        <v>15021.271000000002</v>
      </c>
      <c r="J56" s="775">
        <v>10250.871000000003</v>
      </c>
      <c r="K56" s="831">
        <v>1.2275894629688793</v>
      </c>
      <c r="L56" s="831">
        <v>1.7988670426152076</v>
      </c>
      <c r="M56" s="831">
        <v>1.2047355108960236</v>
      </c>
      <c r="N56" s="776">
        <v>0.16873839578331887</v>
      </c>
    </row>
    <row r="57" spans="1:14" hidden="1">
      <c r="A57" s="773" t="s">
        <v>930</v>
      </c>
      <c r="B57" s="774">
        <v>51</v>
      </c>
      <c r="C57" s="775">
        <v>7922.51</v>
      </c>
      <c r="D57" s="775">
        <v>10805.474</v>
      </c>
      <c r="E57" s="831">
        <v>0.73319411994328065</v>
      </c>
      <c r="F57" s="832">
        <v>16682.03</v>
      </c>
      <c r="G57" s="831">
        <v>1.5438499042244698</v>
      </c>
      <c r="H57" s="775">
        <v>16179.259999999998</v>
      </c>
      <c r="I57" s="775">
        <v>7392.6280000000033</v>
      </c>
      <c r="J57" s="775">
        <v>8226.3910000000142</v>
      </c>
      <c r="K57" s="831">
        <v>2.1885667721952182</v>
      </c>
      <c r="L57" s="831">
        <v>1.9667506686711063</v>
      </c>
      <c r="M57" s="831">
        <v>1.4973207098550234</v>
      </c>
      <c r="N57" s="776">
        <v>5.1581418326943157E-2</v>
      </c>
    </row>
    <row r="58" spans="1:14" hidden="1">
      <c r="A58" s="773" t="s">
        <v>931</v>
      </c>
      <c r="B58" s="774">
        <v>600</v>
      </c>
      <c r="C58" s="775">
        <v>15100.191000000006</v>
      </c>
      <c r="D58" s="775">
        <v>35375.450000000026</v>
      </c>
      <c r="E58" s="831">
        <v>0.42685509300941743</v>
      </c>
      <c r="F58" s="832">
        <v>31935.358000000007</v>
      </c>
      <c r="G58" s="831">
        <v>0.90275482008002683</v>
      </c>
      <c r="H58" s="775">
        <v>-17337.913</v>
      </c>
      <c r="I58" s="775">
        <v>32624.117000000024</v>
      </c>
      <c r="J58" s="775">
        <v>62520.160000000011</v>
      </c>
      <c r="K58" s="831">
        <v>-0.53144466714608662</v>
      </c>
      <c r="L58" s="831">
        <v>-0.27731715657797418</v>
      </c>
      <c r="M58" s="831">
        <v>-0.49011144734554579</v>
      </c>
      <c r="N58" s="776">
        <v>9.9361219655371313E-2</v>
      </c>
    </row>
    <row r="59" spans="1:14" hidden="1">
      <c r="A59" s="773" t="s">
        <v>932</v>
      </c>
      <c r="B59" s="774">
        <v>116</v>
      </c>
      <c r="C59" s="775">
        <v>5613.0829999999996</v>
      </c>
      <c r="D59" s="775">
        <v>15291.498000000007</v>
      </c>
      <c r="E59" s="831">
        <v>0.3670721468884211</v>
      </c>
      <c r="F59" s="832">
        <v>15025.431999999997</v>
      </c>
      <c r="G59" s="831">
        <v>0.98260039663870669</v>
      </c>
      <c r="H59" s="775">
        <v>13889.147999999997</v>
      </c>
      <c r="I59" s="775">
        <v>8070.1990000000151</v>
      </c>
      <c r="J59" s="775">
        <v>26845.629000000015</v>
      </c>
      <c r="K59" s="831">
        <v>1.7210415753068755</v>
      </c>
      <c r="L59" s="831">
        <v>0.51737092842935395</v>
      </c>
      <c r="M59" s="831">
        <v>0.90829217647610394</v>
      </c>
      <c r="N59" s="776">
        <v>3.1620151885439637E-2</v>
      </c>
    </row>
    <row r="60" spans="1:14" hidden="1">
      <c r="A60" s="773" t="s">
        <v>933</v>
      </c>
      <c r="B60" s="774">
        <v>68</v>
      </c>
      <c r="C60" s="775">
        <v>4009.4000000000005</v>
      </c>
      <c r="D60" s="775">
        <v>6414.9209999999966</v>
      </c>
      <c r="E60" s="831">
        <v>0.62501159406327877</v>
      </c>
      <c r="F60" s="832">
        <v>6803.6090000000004</v>
      </c>
      <c r="G60" s="831">
        <v>1.0605912372108719</v>
      </c>
      <c r="H60" s="775">
        <v>6402.7220000000007</v>
      </c>
      <c r="I60" s="775">
        <v>3994.4340000000002</v>
      </c>
      <c r="J60" s="775">
        <v>5889.0839999999989</v>
      </c>
      <c r="K60" s="831">
        <v>1.602910950587743</v>
      </c>
      <c r="L60" s="831">
        <v>1.0872186574346709</v>
      </c>
      <c r="M60" s="831">
        <v>0.99809833979249374</v>
      </c>
      <c r="N60" s="776">
        <v>8.9071410334220336E-2</v>
      </c>
    </row>
    <row r="61" spans="1:14" hidden="1">
      <c r="A61" s="773" t="s">
        <v>934</v>
      </c>
      <c r="B61" s="774">
        <v>16</v>
      </c>
      <c r="C61" s="775">
        <v>392.5</v>
      </c>
      <c r="D61" s="775">
        <v>473.13000000000005</v>
      </c>
      <c r="E61" s="831">
        <v>0.82958172172552991</v>
      </c>
      <c r="F61" s="832">
        <v>613.32300000000009</v>
      </c>
      <c r="G61" s="831">
        <v>1.2963096823283242</v>
      </c>
      <c r="H61" s="775">
        <v>576.86400000000003</v>
      </c>
      <c r="I61" s="775">
        <v>-167.90900000000011</v>
      </c>
      <c r="J61" s="775">
        <v>929.14699999999948</v>
      </c>
      <c r="K61" s="831" t="s">
        <v>887</v>
      </c>
      <c r="L61" s="831">
        <v>0.62085332030346152</v>
      </c>
      <c r="M61" s="831">
        <v>1.219250523112041</v>
      </c>
      <c r="N61" s="776">
        <v>7.1772032633234992E-2</v>
      </c>
    </row>
    <row r="62" spans="1:14" hidden="1">
      <c r="A62" s="773" t="s">
        <v>935</v>
      </c>
      <c r="B62" s="774">
        <v>4</v>
      </c>
      <c r="C62" s="775">
        <v>26119.360000000001</v>
      </c>
      <c r="D62" s="775">
        <v>99099.3</v>
      </c>
      <c r="E62" s="831">
        <v>0.26356755294941536</v>
      </c>
      <c r="F62" s="832">
        <v>40681.1</v>
      </c>
      <c r="G62" s="831">
        <v>0.41050844960559757</v>
      </c>
      <c r="H62" s="775">
        <v>40345.1</v>
      </c>
      <c r="I62" s="775">
        <v>111781.8</v>
      </c>
      <c r="J62" s="775">
        <v>75992.900000000009</v>
      </c>
      <c r="K62" s="831">
        <v>0.36092727080794901</v>
      </c>
      <c r="L62" s="831">
        <v>0.53090617676124996</v>
      </c>
      <c r="M62" s="831">
        <v>0.40711791102459854</v>
      </c>
      <c r="N62" s="776">
        <v>4.9056001104084736E-2</v>
      </c>
    </row>
    <row r="63" spans="1:14" hidden="1">
      <c r="A63" s="773" t="s">
        <v>936</v>
      </c>
      <c r="B63" s="774">
        <v>174</v>
      </c>
      <c r="C63" s="775">
        <v>20127.071800000002</v>
      </c>
      <c r="D63" s="775">
        <v>86953.772999999899</v>
      </c>
      <c r="E63" s="831">
        <v>0.23146864253952529</v>
      </c>
      <c r="F63" s="832">
        <v>43823.143000000004</v>
      </c>
      <c r="G63" s="831">
        <v>0.5039820756254022</v>
      </c>
      <c r="H63" s="775">
        <v>41719.954000000005</v>
      </c>
      <c r="I63" s="775">
        <v>59398.570999999902</v>
      </c>
      <c r="J63" s="775">
        <v>46696.460999999908</v>
      </c>
      <c r="K63" s="831">
        <v>0.70237302510190147</v>
      </c>
      <c r="L63" s="831">
        <v>0.89342860479298603</v>
      </c>
      <c r="M63" s="831">
        <v>0.47979463754839086</v>
      </c>
      <c r="N63" s="776">
        <v>3.8114747359291025E-2</v>
      </c>
    </row>
    <row r="64" spans="1:14" hidden="1">
      <c r="A64" s="773" t="s">
        <v>937</v>
      </c>
      <c r="B64" s="774">
        <v>23</v>
      </c>
      <c r="C64" s="775">
        <v>8450.9</v>
      </c>
      <c r="D64" s="775">
        <v>2683.1000000000004</v>
      </c>
      <c r="E64" s="831">
        <v>3.1496776117177885</v>
      </c>
      <c r="F64" s="832">
        <v>10131.725</v>
      </c>
      <c r="G64" s="831">
        <v>3.7761264954716554</v>
      </c>
      <c r="H64" s="775">
        <v>9512.8250000000007</v>
      </c>
      <c r="I64" s="775">
        <v>-192.45600000000218</v>
      </c>
      <c r="J64" s="775">
        <v>1748.8839999999836</v>
      </c>
      <c r="K64" s="831" t="s">
        <v>887</v>
      </c>
      <c r="L64" s="831">
        <v>5.4393687631655903</v>
      </c>
      <c r="M64" s="831">
        <v>3.5454604748238974</v>
      </c>
      <c r="N64" s="776">
        <v>1.6703538781858748E-2</v>
      </c>
    </row>
    <row r="65" spans="1:14" hidden="1">
      <c r="A65" s="773" t="s">
        <v>938</v>
      </c>
      <c r="B65" s="774">
        <v>101</v>
      </c>
      <c r="C65" s="775">
        <v>7323.1059999999998</v>
      </c>
      <c r="D65" s="775">
        <v>41659.689999999988</v>
      </c>
      <c r="E65" s="831">
        <v>0.17578397726915398</v>
      </c>
      <c r="F65" s="832">
        <v>26426.484</v>
      </c>
      <c r="G65" s="831">
        <v>0.63434183019604817</v>
      </c>
      <c r="H65" s="775">
        <v>25266.852999999999</v>
      </c>
      <c r="I65" s="775">
        <v>34325.065999999992</v>
      </c>
      <c r="J65" s="775">
        <v>24456.819000000003</v>
      </c>
      <c r="K65" s="831">
        <v>0.73610500850894223</v>
      </c>
      <c r="L65" s="831">
        <v>1.0331209876476575</v>
      </c>
      <c r="M65" s="831">
        <v>0.60650602536888787</v>
      </c>
      <c r="N65" s="776">
        <v>6.9065997248052916E-2</v>
      </c>
    </row>
    <row r="66" spans="1:14" hidden="1">
      <c r="A66" s="773" t="s">
        <v>939</v>
      </c>
      <c r="B66" s="774">
        <v>25</v>
      </c>
      <c r="C66" s="775">
        <v>2718.4100000000003</v>
      </c>
      <c r="D66" s="775">
        <v>9491.2660000000014</v>
      </c>
      <c r="E66" s="831">
        <v>0.28641173896085093</v>
      </c>
      <c r="F66" s="832">
        <v>9036.0950000000012</v>
      </c>
      <c r="G66" s="831">
        <v>0.9520431731657294</v>
      </c>
      <c r="H66" s="775">
        <v>8916.465000000002</v>
      </c>
      <c r="I66" s="775">
        <v>2669.6470000000031</v>
      </c>
      <c r="J66" s="775">
        <v>2600.7410000000054</v>
      </c>
      <c r="K66" s="831">
        <v>3.3399415727996966</v>
      </c>
      <c r="L66" s="831">
        <v>3.428432512118655</v>
      </c>
      <c r="M66" s="831">
        <v>0.93943895366540153</v>
      </c>
      <c r="N66" s="776">
        <v>3.0228141722146131E-2</v>
      </c>
    </row>
    <row r="67" spans="1:14" hidden="1">
      <c r="A67" s="773" t="s">
        <v>940</v>
      </c>
      <c r="B67" s="774">
        <v>7</v>
      </c>
      <c r="C67" s="775">
        <v>99</v>
      </c>
      <c r="D67" s="775">
        <v>1255.7</v>
      </c>
      <c r="E67" s="831">
        <v>7.8840487377558333E-2</v>
      </c>
      <c r="F67" s="832">
        <v>1317.7</v>
      </c>
      <c r="G67" s="831">
        <v>1.0493748506808951</v>
      </c>
      <c r="H67" s="775">
        <v>1313.6100000000001</v>
      </c>
      <c r="I67" s="775">
        <v>921.50599999999986</v>
      </c>
      <c r="J67" s="775">
        <v>905.05899999999986</v>
      </c>
      <c r="K67" s="831">
        <v>1.425503469320873</v>
      </c>
      <c r="L67" s="831">
        <v>1.4514081402427912</v>
      </c>
      <c r="M67" s="831">
        <v>1.0461177032730749</v>
      </c>
      <c r="N67" s="776">
        <v>7.5671084905858985E-2</v>
      </c>
    </row>
    <row r="68" spans="1:14" hidden="1">
      <c r="A68" s="773" t="s">
        <v>941</v>
      </c>
      <c r="B68" s="774">
        <v>48</v>
      </c>
      <c r="C68" s="775">
        <v>21251.453999999994</v>
      </c>
      <c r="D68" s="775">
        <v>35093.37000000001</v>
      </c>
      <c r="E68" s="831">
        <v>0.60556891515405864</v>
      </c>
      <c r="F68" s="832">
        <v>24354.299999999996</v>
      </c>
      <c r="G68" s="831">
        <v>0.69398578705892278</v>
      </c>
      <c r="H68" s="775">
        <v>13635.403999999997</v>
      </c>
      <c r="I68" s="775">
        <v>-35714.936999999969</v>
      </c>
      <c r="J68" s="775">
        <v>17634.524000000005</v>
      </c>
      <c r="K68" s="831" t="s">
        <v>887</v>
      </c>
      <c r="L68" s="831">
        <v>0.77322211815867514</v>
      </c>
      <c r="M68" s="831">
        <v>0.38854644053848331</v>
      </c>
      <c r="N68" s="776">
        <v>1.0296600450838659E-2</v>
      </c>
    </row>
    <row r="69" spans="1:14" hidden="1">
      <c r="A69" s="773" t="s">
        <v>942</v>
      </c>
      <c r="B69" s="774">
        <v>74</v>
      </c>
      <c r="C69" s="775">
        <v>1943.3512999999998</v>
      </c>
      <c r="D69" s="775">
        <v>1211.8420000000008</v>
      </c>
      <c r="E69" s="831">
        <v>1.6036342196424935</v>
      </c>
      <c r="F69" s="832">
        <v>2335.4650000000001</v>
      </c>
      <c r="G69" s="831">
        <v>1.9272025561087986</v>
      </c>
      <c r="H69" s="775">
        <v>1658.2050000000002</v>
      </c>
      <c r="I69" s="775">
        <v>243.92799999999892</v>
      </c>
      <c r="J69" s="775">
        <v>1104.4279999999992</v>
      </c>
      <c r="K69" s="831">
        <v>6.7979280771375468</v>
      </c>
      <c r="L69" s="831">
        <v>1.5014152122184528</v>
      </c>
      <c r="M69" s="831">
        <v>1.3683343208107981</v>
      </c>
      <c r="N69" s="776">
        <v>7.4262155460789667E-2</v>
      </c>
    </row>
    <row r="70" spans="1:14" hidden="1">
      <c r="A70" s="773" t="s">
        <v>943</v>
      </c>
      <c r="B70" s="774">
        <v>20</v>
      </c>
      <c r="C70" s="775">
        <v>407.9</v>
      </c>
      <c r="D70" s="775">
        <v>778.8399999999998</v>
      </c>
      <c r="E70" s="831">
        <v>0.52372759488470044</v>
      </c>
      <c r="F70" s="832">
        <v>1027.414</v>
      </c>
      <c r="G70" s="831">
        <v>1.3191592624929385</v>
      </c>
      <c r="H70" s="775">
        <v>989.16599999999994</v>
      </c>
      <c r="I70" s="775">
        <v>715.57599999999968</v>
      </c>
      <c r="J70" s="775">
        <v>1365.9699999999984</v>
      </c>
      <c r="K70" s="831">
        <v>1.3823353494247996</v>
      </c>
      <c r="L70" s="831">
        <v>0.72414913943937353</v>
      </c>
      <c r="M70" s="831">
        <v>1.2700503312618769</v>
      </c>
      <c r="N70" s="776">
        <v>7.3486465244431906E-2</v>
      </c>
    </row>
    <row r="71" spans="1:14" hidden="1">
      <c r="A71" s="773" t="s">
        <v>944</v>
      </c>
      <c r="B71" s="774">
        <v>223</v>
      </c>
      <c r="C71" s="775">
        <v>51601.829000000005</v>
      </c>
      <c r="D71" s="775">
        <v>47868.788999999932</v>
      </c>
      <c r="E71" s="831">
        <v>1.0779848431093604</v>
      </c>
      <c r="F71" s="832">
        <v>45691.621000000014</v>
      </c>
      <c r="G71" s="831">
        <v>0.95451800545863152</v>
      </c>
      <c r="H71" s="775">
        <v>1818.5179999999964</v>
      </c>
      <c r="I71" s="775">
        <v>88400.758999999962</v>
      </c>
      <c r="J71" s="775">
        <v>150282.43999999762</v>
      </c>
      <c r="K71" s="831">
        <v>2.0571293963663785E-2</v>
      </c>
      <c r="L71" s="831">
        <v>1.2100668581106517E-2</v>
      </c>
      <c r="M71" s="831">
        <v>3.7989638718455968E-2</v>
      </c>
      <c r="N71" s="776">
        <v>1.8257812982754706E-2</v>
      </c>
    </row>
    <row r="72" spans="1:14" hidden="1">
      <c r="A72" s="773" t="s">
        <v>945</v>
      </c>
      <c r="B72" s="774">
        <v>18</v>
      </c>
      <c r="C72" s="775">
        <v>0</v>
      </c>
      <c r="D72" s="775">
        <v>538.85700000000008</v>
      </c>
      <c r="E72" s="831">
        <v>0</v>
      </c>
      <c r="F72" s="832">
        <v>510.262</v>
      </c>
      <c r="G72" s="831">
        <v>0.94693397320624939</v>
      </c>
      <c r="H72" s="775">
        <v>469.86599999999999</v>
      </c>
      <c r="I72" s="775">
        <v>787.35</v>
      </c>
      <c r="J72" s="775">
        <v>879.39599999999996</v>
      </c>
      <c r="K72" s="831">
        <v>0.59676890836349772</v>
      </c>
      <c r="L72" s="831">
        <v>0.53430536413629359</v>
      </c>
      <c r="M72" s="831">
        <v>0.87196788758427546</v>
      </c>
      <c r="N72" s="776">
        <v>6.9451076941643597E-2</v>
      </c>
    </row>
    <row r="73" spans="1:14" hidden="1">
      <c r="A73" s="773" t="s">
        <v>946</v>
      </c>
      <c r="B73" s="774">
        <v>12</v>
      </c>
      <c r="C73" s="775">
        <v>48.099999999999994</v>
      </c>
      <c r="D73" s="775">
        <v>144.88</v>
      </c>
      <c r="E73" s="831">
        <v>0.33199889563776919</v>
      </c>
      <c r="F73" s="832">
        <v>89.504999999999995</v>
      </c>
      <c r="G73" s="831">
        <v>0.61778713418001108</v>
      </c>
      <c r="H73" s="775">
        <v>89.504999999999995</v>
      </c>
      <c r="I73" s="775">
        <v>60.369</v>
      </c>
      <c r="J73" s="775">
        <v>160.86000000000001</v>
      </c>
      <c r="K73" s="831">
        <v>1.4826318143417978</v>
      </c>
      <c r="L73" s="831">
        <v>0.55641551659828414</v>
      </c>
      <c r="M73" s="831">
        <v>0.61778713418001108</v>
      </c>
      <c r="N73" s="776">
        <v>8.5365153569522081E-2</v>
      </c>
    </row>
    <row r="74" spans="1:14" hidden="1">
      <c r="A74" s="773" t="s">
        <v>947</v>
      </c>
      <c r="B74" s="774">
        <v>60</v>
      </c>
      <c r="C74" s="775">
        <v>229.56299999999999</v>
      </c>
      <c r="D74" s="775">
        <v>-830.15200000000004</v>
      </c>
      <c r="E74" s="831">
        <v>3.3508867332228652E-3</v>
      </c>
      <c r="F74" s="832">
        <v>4736.7729999999992</v>
      </c>
      <c r="G74" s="831" t="s">
        <v>887</v>
      </c>
      <c r="H74" s="775">
        <v>4494.0119999999988</v>
      </c>
      <c r="I74" s="775">
        <v>2587.4900000000016</v>
      </c>
      <c r="J74" s="775">
        <v>2975.0999999999767</v>
      </c>
      <c r="K74" s="831">
        <v>1.7368229442432612</v>
      </c>
      <c r="L74" s="831">
        <v>1.5105414944035609</v>
      </c>
      <c r="M74" s="831">
        <v>-5.413480904701788</v>
      </c>
      <c r="N74" s="776">
        <v>8.1379435050841789E-2</v>
      </c>
    </row>
    <row r="75" spans="1:14" hidden="1">
      <c r="A75" s="773" t="s">
        <v>948</v>
      </c>
      <c r="B75" s="774">
        <v>57</v>
      </c>
      <c r="C75" s="775">
        <v>1069.8209999999999</v>
      </c>
      <c r="D75" s="775">
        <v>784.68300000000022</v>
      </c>
      <c r="E75" s="831">
        <v>1.3633798616766255</v>
      </c>
      <c r="F75" s="832">
        <v>4051.509</v>
      </c>
      <c r="G75" s="831">
        <v>5.1632429911187048</v>
      </c>
      <c r="H75" s="775">
        <v>1160.8630000000012</v>
      </c>
      <c r="I75" s="775">
        <v>-4087.9259999999995</v>
      </c>
      <c r="J75" s="775">
        <v>-1988.6539999999968</v>
      </c>
      <c r="K75" s="831" t="s">
        <v>887</v>
      </c>
      <c r="L75" s="831" t="s">
        <v>887</v>
      </c>
      <c r="M75" s="831">
        <v>1.4794037847130637</v>
      </c>
      <c r="N75" s="776">
        <v>5.1786361462363033E-2</v>
      </c>
    </row>
    <row r="76" spans="1:14" hidden="1">
      <c r="A76" s="773" t="s">
        <v>765</v>
      </c>
      <c r="B76" s="774">
        <v>1</v>
      </c>
      <c r="C76" s="775">
        <v>201</v>
      </c>
      <c r="D76" s="775">
        <v>575</v>
      </c>
      <c r="E76" s="831">
        <v>0.34956521739130436</v>
      </c>
      <c r="F76" s="832">
        <v>306</v>
      </c>
      <c r="G76" s="831">
        <v>0.53217391304347827</v>
      </c>
      <c r="H76" s="775">
        <v>306</v>
      </c>
      <c r="I76" s="775">
        <v>533.29999999999995</v>
      </c>
      <c r="J76" s="775">
        <v>1264.3</v>
      </c>
      <c r="K76" s="831">
        <v>0.57378586161635103</v>
      </c>
      <c r="L76" s="831">
        <v>0.2420311634896781</v>
      </c>
      <c r="M76" s="831">
        <v>0.53217391304347827</v>
      </c>
      <c r="N76" s="776">
        <v>0.25486977918133502</v>
      </c>
    </row>
    <row r="77" spans="1:14" hidden="1">
      <c r="A77" s="773" t="s">
        <v>949</v>
      </c>
      <c r="B77" s="774">
        <v>70</v>
      </c>
      <c r="C77" s="775">
        <v>8430.2840000000015</v>
      </c>
      <c r="D77" s="775">
        <v>13628.138000000003</v>
      </c>
      <c r="E77" s="831">
        <v>0.61859397079777145</v>
      </c>
      <c r="F77" s="832">
        <v>22197.825000000004</v>
      </c>
      <c r="G77" s="831">
        <v>1.62882302776799</v>
      </c>
      <c r="H77" s="775">
        <v>20501.448000000004</v>
      </c>
      <c r="I77" s="775">
        <v>10248.102000000006</v>
      </c>
      <c r="J77" s="775">
        <v>15970.865000000007</v>
      </c>
      <c r="K77" s="831">
        <v>2.0005117045087952</v>
      </c>
      <c r="L77" s="831">
        <v>1.2836779974033965</v>
      </c>
      <c r="M77" s="831">
        <v>1.5043469621455257</v>
      </c>
      <c r="N77" s="776">
        <v>1.7235635807217261E-2</v>
      </c>
    </row>
    <row r="78" spans="1:14" hidden="1">
      <c r="A78" s="773" t="s">
        <v>950</v>
      </c>
      <c r="B78" s="774">
        <v>30</v>
      </c>
      <c r="C78" s="775">
        <v>738.7700000000001</v>
      </c>
      <c r="D78" s="775">
        <v>11025.240999999998</v>
      </c>
      <c r="E78" s="831">
        <v>6.7007152043207063E-2</v>
      </c>
      <c r="F78" s="832">
        <v>14746.480000000001</v>
      </c>
      <c r="G78" s="831">
        <v>1.337519968951246</v>
      </c>
      <c r="H78" s="775">
        <v>12507.544000000002</v>
      </c>
      <c r="I78" s="775">
        <v>7563.7839999999987</v>
      </c>
      <c r="J78" s="775">
        <v>22789.963999999949</v>
      </c>
      <c r="K78" s="831">
        <v>1.6536093574327353</v>
      </c>
      <c r="L78" s="831">
        <v>0.54881806746162609</v>
      </c>
      <c r="M78" s="831">
        <v>1.1344463127835485</v>
      </c>
      <c r="N78" s="776">
        <v>1.8942366151700137E-2</v>
      </c>
    </row>
    <row r="79" spans="1:14" hidden="1">
      <c r="A79" s="773" t="s">
        <v>951</v>
      </c>
      <c r="B79" s="774">
        <v>15</v>
      </c>
      <c r="C79" s="775">
        <v>10186.124999999998</v>
      </c>
      <c r="D79" s="775">
        <v>24750.588999999996</v>
      </c>
      <c r="E79" s="831">
        <v>0.41155081198269666</v>
      </c>
      <c r="F79" s="832">
        <v>37946.655000000006</v>
      </c>
      <c r="G79" s="831">
        <v>1.5331616956671217</v>
      </c>
      <c r="H79" s="775">
        <v>37174.050000000003</v>
      </c>
      <c r="I79" s="775">
        <v>12747.224999999995</v>
      </c>
      <c r="J79" s="775">
        <v>25674.247000000003</v>
      </c>
      <c r="K79" s="831">
        <v>2.9162464771744454</v>
      </c>
      <c r="L79" s="831">
        <v>1.4479119874479667</v>
      </c>
      <c r="M79" s="831">
        <v>1.5019460748994704</v>
      </c>
      <c r="N79" s="776">
        <v>1.4968542835664624E-2</v>
      </c>
    </row>
    <row r="80" spans="1:14" hidden="1">
      <c r="A80" s="773" t="s">
        <v>952</v>
      </c>
      <c r="B80" s="774">
        <v>69</v>
      </c>
      <c r="C80" s="775">
        <v>3130.0650000000005</v>
      </c>
      <c r="D80" s="775">
        <v>14460.392000000003</v>
      </c>
      <c r="E80" s="831">
        <v>0.21645782493310001</v>
      </c>
      <c r="F80" s="832">
        <v>8303.6929999999993</v>
      </c>
      <c r="G80" s="831">
        <v>0.57423706079337244</v>
      </c>
      <c r="H80" s="775">
        <v>8006.1319999999996</v>
      </c>
      <c r="I80" s="775">
        <v>-3931.7729999999992</v>
      </c>
      <c r="J80" s="775">
        <v>3217.1940000000031</v>
      </c>
      <c r="K80" s="831" t="s">
        <v>887</v>
      </c>
      <c r="L80" s="831">
        <v>2.488544986718237</v>
      </c>
      <c r="M80" s="831">
        <v>0.55365940287095938</v>
      </c>
      <c r="N80" s="776">
        <v>2.2524354628298306E-2</v>
      </c>
    </row>
    <row r="81" spans="1:14" hidden="1">
      <c r="A81" s="773" t="s">
        <v>953</v>
      </c>
      <c r="B81" s="774">
        <v>15</v>
      </c>
      <c r="C81" s="775">
        <v>10568.625</v>
      </c>
      <c r="D81" s="775">
        <v>26032.600000000002</v>
      </c>
      <c r="E81" s="831">
        <v>0.40597654479383538</v>
      </c>
      <c r="F81" s="832">
        <v>33519.866999999998</v>
      </c>
      <c r="G81" s="831">
        <v>1.2876111875110436</v>
      </c>
      <c r="H81" s="775">
        <v>33456.718999999997</v>
      </c>
      <c r="I81" s="775">
        <v>-5214.1800000000039</v>
      </c>
      <c r="J81" s="775">
        <v>12954.653999999999</v>
      </c>
      <c r="K81" s="831" t="s">
        <v>887</v>
      </c>
      <c r="L81" s="831">
        <v>2.5826022833184119</v>
      </c>
      <c r="M81" s="831">
        <v>1.2851854597696732</v>
      </c>
      <c r="N81" s="776">
        <v>2.8245545382027257E-2</v>
      </c>
    </row>
    <row r="82" spans="1:14" hidden="1">
      <c r="A82" s="773" t="s">
        <v>954</v>
      </c>
      <c r="B82" s="774">
        <v>13</v>
      </c>
      <c r="C82" s="775">
        <v>1013.2529999999999</v>
      </c>
      <c r="D82" s="775">
        <v>5113.51</v>
      </c>
      <c r="E82" s="831">
        <v>0.19815214989312624</v>
      </c>
      <c r="F82" s="832">
        <v>2880.4660000000003</v>
      </c>
      <c r="G82" s="831">
        <v>0.56330504878253884</v>
      </c>
      <c r="H82" s="775">
        <v>2585.4760000000006</v>
      </c>
      <c r="I82" s="775">
        <v>2892.6890000000017</v>
      </c>
      <c r="J82" s="775">
        <v>1299.1360000000016</v>
      </c>
      <c r="K82" s="831">
        <v>0.8937967406796925</v>
      </c>
      <c r="L82" s="831">
        <v>1.9901503768658535</v>
      </c>
      <c r="M82" s="831">
        <v>0.50561668990575959</v>
      </c>
      <c r="N82" s="776">
        <v>5.5436020108825777E-2</v>
      </c>
    </row>
    <row r="83" spans="1:14" hidden="1">
      <c r="A83" s="773" t="s">
        <v>955</v>
      </c>
      <c r="B83" s="774">
        <v>63</v>
      </c>
      <c r="C83" s="775">
        <v>513.4</v>
      </c>
      <c r="D83" s="775">
        <v>3688.5480000000007</v>
      </c>
      <c r="E83" s="831">
        <v>0.13918756106739016</v>
      </c>
      <c r="F83" s="832">
        <v>13914.337999999994</v>
      </c>
      <c r="G83" s="831">
        <v>3.7723076939760554</v>
      </c>
      <c r="H83" s="775">
        <v>12759.241999999995</v>
      </c>
      <c r="I83" s="775">
        <v>-51160.770999999993</v>
      </c>
      <c r="J83" s="775">
        <v>-39972.873999999982</v>
      </c>
      <c r="K83" s="831" t="s">
        <v>887</v>
      </c>
      <c r="L83" s="831" t="s">
        <v>887</v>
      </c>
      <c r="M83" s="831">
        <v>3.4591503214815131</v>
      </c>
      <c r="N83" s="776">
        <v>4.1175209963425691E-2</v>
      </c>
    </row>
    <row r="84" spans="1:14" hidden="1">
      <c r="A84" s="773" t="s">
        <v>956</v>
      </c>
      <c r="B84" s="774">
        <v>78</v>
      </c>
      <c r="C84" s="775">
        <v>5685.9080000000022</v>
      </c>
      <c r="D84" s="775">
        <v>17547.905000000002</v>
      </c>
      <c r="E84" s="831">
        <v>0.32402204137758905</v>
      </c>
      <c r="F84" s="832">
        <v>22632.616999999998</v>
      </c>
      <c r="G84" s="831">
        <v>1.2897617692824297</v>
      </c>
      <c r="H84" s="775">
        <v>22107.181999999997</v>
      </c>
      <c r="I84" s="775">
        <v>3438.4869999999992</v>
      </c>
      <c r="J84" s="775">
        <v>8185.5960000000086</v>
      </c>
      <c r="K84" s="831">
        <v>6.4293341809929778</v>
      </c>
      <c r="L84" s="831">
        <v>2.7007418885564318</v>
      </c>
      <c r="M84" s="831">
        <v>1.2598188786638629</v>
      </c>
      <c r="N84" s="776">
        <v>4.0041704683196455E-2</v>
      </c>
    </row>
    <row r="85" spans="1:14" hidden="1">
      <c r="A85" s="773" t="s">
        <v>957</v>
      </c>
      <c r="B85" s="774">
        <v>3</v>
      </c>
      <c r="C85" s="775">
        <v>0</v>
      </c>
      <c r="D85" s="775">
        <v>864.12200000000007</v>
      </c>
      <c r="E85" s="831">
        <v>0</v>
      </c>
      <c r="F85" s="832">
        <v>0</v>
      </c>
      <c r="G85" s="831">
        <v>0</v>
      </c>
      <c r="H85" s="775">
        <v>-1.46</v>
      </c>
      <c r="I85" s="775">
        <v>-352.39199999999983</v>
      </c>
      <c r="J85" s="775">
        <v>295.70099999999911</v>
      </c>
      <c r="K85" s="831" t="s">
        <v>887</v>
      </c>
      <c r="L85" s="831">
        <v>-4.937419893744033E-3</v>
      </c>
      <c r="M85" s="831">
        <v>-1.6895762403919814E-3</v>
      </c>
      <c r="N85" s="776">
        <v>9.9691021624217765E-2</v>
      </c>
    </row>
    <row r="86" spans="1:14" hidden="1">
      <c r="A86" s="773" t="s">
        <v>958</v>
      </c>
      <c r="B86" s="774">
        <v>68</v>
      </c>
      <c r="C86" s="775">
        <v>23911.23</v>
      </c>
      <c r="D86" s="775">
        <v>72801.989000000001</v>
      </c>
      <c r="E86" s="831">
        <v>0.32844198803414559</v>
      </c>
      <c r="F86" s="832">
        <v>67067.744000000006</v>
      </c>
      <c r="G86" s="831">
        <v>0.92123505032259501</v>
      </c>
      <c r="H86" s="775">
        <v>62269.758000000009</v>
      </c>
      <c r="I86" s="775">
        <v>36738.156000000025</v>
      </c>
      <c r="J86" s="775">
        <v>41487.001000000026</v>
      </c>
      <c r="K86" s="831">
        <v>1.694961445533629</v>
      </c>
      <c r="L86" s="831">
        <v>1.5009462361475578</v>
      </c>
      <c r="M86" s="831">
        <v>0.85533044983152873</v>
      </c>
      <c r="N86" s="776">
        <v>3.3748762158634794E-2</v>
      </c>
    </row>
    <row r="87" spans="1:14" hidden="1">
      <c r="A87" s="773" t="s">
        <v>959</v>
      </c>
      <c r="B87" s="774">
        <v>30</v>
      </c>
      <c r="C87" s="775">
        <v>2591.8000000000002</v>
      </c>
      <c r="D87" s="775">
        <v>18191.870000000006</v>
      </c>
      <c r="E87" s="831">
        <v>0.14247023533039754</v>
      </c>
      <c r="F87" s="832">
        <v>17103.580000000005</v>
      </c>
      <c r="G87" s="831">
        <v>0.94017712307750656</v>
      </c>
      <c r="H87" s="775">
        <v>16041.224000000006</v>
      </c>
      <c r="I87" s="775">
        <v>8840.6850000000068</v>
      </c>
      <c r="J87" s="775">
        <v>20856.582000000009</v>
      </c>
      <c r="K87" s="831">
        <v>1.8144774980671738</v>
      </c>
      <c r="L87" s="831">
        <v>0.769120462787239</v>
      </c>
      <c r="M87" s="831">
        <v>0.88177982802207799</v>
      </c>
      <c r="N87" s="776">
        <v>4.4292965648447258E-2</v>
      </c>
    </row>
    <row r="88" spans="1:14" hidden="1">
      <c r="A88" s="773" t="s">
        <v>960</v>
      </c>
      <c r="B88" s="774">
        <v>8</v>
      </c>
      <c r="C88" s="775">
        <v>256.3</v>
      </c>
      <c r="D88" s="775">
        <v>2071.7000000000003</v>
      </c>
      <c r="E88" s="831">
        <v>0.12371482357484191</v>
      </c>
      <c r="F88" s="832">
        <v>685.12800000000004</v>
      </c>
      <c r="G88" s="831">
        <v>0.33070811410918566</v>
      </c>
      <c r="H88" s="775">
        <v>629.33800000000008</v>
      </c>
      <c r="I88" s="775">
        <v>2064.4490000000001</v>
      </c>
      <c r="J88" s="775">
        <v>1634.4930000000004</v>
      </c>
      <c r="K88" s="831">
        <v>0.30484550599215582</v>
      </c>
      <c r="L88" s="831">
        <v>0.38503560431277462</v>
      </c>
      <c r="M88" s="831">
        <v>0.3037785393638075</v>
      </c>
      <c r="N88" s="776">
        <v>6.4392129906350806E-2</v>
      </c>
    </row>
    <row r="89" spans="1:14" hidden="1">
      <c r="A89" s="773" t="s">
        <v>961</v>
      </c>
      <c r="B89" s="774">
        <v>13</v>
      </c>
      <c r="C89" s="775">
        <v>2072.0459999999998</v>
      </c>
      <c r="D89" s="775">
        <v>7698.7</v>
      </c>
      <c r="E89" s="831">
        <v>0.26914232272981153</v>
      </c>
      <c r="F89" s="832">
        <v>1351.3019999999999</v>
      </c>
      <c r="G89" s="831">
        <v>0.17552340005455466</v>
      </c>
      <c r="H89" s="775">
        <v>1090.4089999999999</v>
      </c>
      <c r="I89" s="775">
        <v>6060.83</v>
      </c>
      <c r="J89" s="775">
        <v>8598.4689999999991</v>
      </c>
      <c r="K89" s="831">
        <v>0.17991083729456195</v>
      </c>
      <c r="L89" s="831">
        <v>0.12681432008419172</v>
      </c>
      <c r="M89" s="831">
        <v>0.14163547092366244</v>
      </c>
      <c r="N89" s="776">
        <v>3.4958749410353512E-2</v>
      </c>
    </row>
    <row r="90" spans="1:14">
      <c r="A90" s="773" t="s">
        <v>525</v>
      </c>
      <c r="B90" s="774">
        <v>91</v>
      </c>
      <c r="C90" s="775">
        <v>60.03</v>
      </c>
      <c r="D90" s="775">
        <v>91628.188999999984</v>
      </c>
      <c r="E90" s="831">
        <v>6.5514772970139145E-4</v>
      </c>
      <c r="F90" s="832">
        <v>106194.38899999998</v>
      </c>
      <c r="G90" s="831">
        <v>1.1589707289751192</v>
      </c>
      <c r="H90" s="775">
        <v>103663.72299999998</v>
      </c>
      <c r="I90" s="775">
        <v>56468.040999999997</v>
      </c>
      <c r="J90" s="775">
        <v>67774.870999999985</v>
      </c>
      <c r="K90" s="831">
        <v>1.8357945691794051</v>
      </c>
      <c r="L90" s="831">
        <v>1.5295303623669017</v>
      </c>
      <c r="M90" s="831">
        <v>1.1313518703289007</v>
      </c>
      <c r="N90" s="776">
        <v>3.071817066284499E-2</v>
      </c>
    </row>
    <row r="91" spans="1:14">
      <c r="A91" s="773" t="s">
        <v>526</v>
      </c>
      <c r="B91" s="774">
        <v>33</v>
      </c>
      <c r="C91" s="775">
        <v>0.33600000000000002</v>
      </c>
      <c r="D91" s="775">
        <v>-5178.8999999999996</v>
      </c>
      <c r="E91" s="831">
        <v>0</v>
      </c>
      <c r="F91" s="832">
        <v>4187.8380000000006</v>
      </c>
      <c r="G91" s="831" t="s">
        <v>887</v>
      </c>
      <c r="H91" s="775">
        <v>3398.9600000000005</v>
      </c>
      <c r="I91" s="775">
        <v>-7707.2199999999993</v>
      </c>
      <c r="J91" s="775">
        <v>-6077.91</v>
      </c>
      <c r="K91" s="831" t="s">
        <v>887</v>
      </c>
      <c r="L91" s="831" t="s">
        <v>887</v>
      </c>
      <c r="M91" s="831">
        <v>-0.65630925486107106</v>
      </c>
      <c r="N91" s="776">
        <v>3.2900020588293027E-2</v>
      </c>
    </row>
    <row r="92" spans="1:14">
      <c r="A92" s="773" t="s">
        <v>527</v>
      </c>
      <c r="B92" s="774">
        <v>390</v>
      </c>
      <c r="C92" s="775">
        <v>24238.726000000002</v>
      </c>
      <c r="D92" s="775">
        <v>71266.943000000058</v>
      </c>
      <c r="E92" s="831">
        <v>0.34011176822892464</v>
      </c>
      <c r="F92" s="832">
        <v>81788.361999999979</v>
      </c>
      <c r="G92" s="831">
        <v>1.14763393176553</v>
      </c>
      <c r="H92" s="775">
        <v>64479.063999999977</v>
      </c>
      <c r="I92" s="775">
        <v>48833.83300000005</v>
      </c>
      <c r="J92" s="775">
        <v>71160.036000000036</v>
      </c>
      <c r="K92" s="831">
        <v>1.3203768788741181</v>
      </c>
      <c r="L92" s="831">
        <v>0.90611342579984</v>
      </c>
      <c r="M92" s="831">
        <v>0.90475417193073548</v>
      </c>
      <c r="N92" s="776">
        <v>2.8066077148274141E-2</v>
      </c>
    </row>
    <row r="93" spans="1:14" hidden="1">
      <c r="A93" s="773" t="s">
        <v>762</v>
      </c>
      <c r="B93" s="774">
        <v>28</v>
      </c>
      <c r="C93" s="775">
        <v>1342.77</v>
      </c>
      <c r="D93" s="775">
        <v>25593.539999999997</v>
      </c>
      <c r="E93" s="831">
        <v>5.2465192388391764E-2</v>
      </c>
      <c r="F93" s="832">
        <v>9648.9889999999996</v>
      </c>
      <c r="G93" s="831">
        <v>0.37700876861895621</v>
      </c>
      <c r="H93" s="775">
        <v>9591.2379999999994</v>
      </c>
      <c r="I93" s="775">
        <v>18329.896999999997</v>
      </c>
      <c r="J93" s="775">
        <v>16980.165999999997</v>
      </c>
      <c r="K93" s="831">
        <v>0.52325651366180626</v>
      </c>
      <c r="L93" s="831">
        <v>0.56484948380363309</v>
      </c>
      <c r="M93" s="831">
        <v>0.37475230077589894</v>
      </c>
      <c r="N93" s="776">
        <v>8.8354278552709387E-2</v>
      </c>
    </row>
    <row r="94" spans="1:14" hidden="1">
      <c r="A94" s="773" t="s">
        <v>962</v>
      </c>
      <c r="B94" s="774">
        <v>16</v>
      </c>
      <c r="C94" s="775">
        <v>145.71</v>
      </c>
      <c r="D94" s="775">
        <v>2321.21</v>
      </c>
      <c r="E94" s="831">
        <v>6.2773294962541096E-2</v>
      </c>
      <c r="F94" s="832">
        <v>1034.7369999999999</v>
      </c>
      <c r="G94" s="831">
        <v>0.44577483295350262</v>
      </c>
      <c r="H94" s="775">
        <v>1011.0639999999999</v>
      </c>
      <c r="I94" s="775">
        <v>-3333.4219999999959</v>
      </c>
      <c r="J94" s="775">
        <v>-1972.8989999999949</v>
      </c>
      <c r="K94" s="831" t="s">
        <v>887</v>
      </c>
      <c r="L94" s="831" t="s">
        <v>887</v>
      </c>
      <c r="M94" s="831">
        <v>0.4355762727198314</v>
      </c>
      <c r="N94" s="776">
        <v>2.6437164736179304E-2</v>
      </c>
    </row>
    <row r="95" spans="1:14" hidden="1">
      <c r="A95" s="773" t="s">
        <v>963</v>
      </c>
      <c r="B95" s="774">
        <v>79</v>
      </c>
      <c r="C95" s="775">
        <v>7183.5780000000013</v>
      </c>
      <c r="D95" s="775">
        <v>14067.433999999994</v>
      </c>
      <c r="E95" s="831">
        <v>0.51065304447136584</v>
      </c>
      <c r="F95" s="832">
        <v>20791.182000000001</v>
      </c>
      <c r="G95" s="831">
        <v>1.477965491076767</v>
      </c>
      <c r="H95" s="775">
        <v>19482.921000000002</v>
      </c>
      <c r="I95" s="775">
        <v>9251.8459999999941</v>
      </c>
      <c r="J95" s="775">
        <v>11450.131999999994</v>
      </c>
      <c r="K95" s="831">
        <v>2.1058414720694674</v>
      </c>
      <c r="L95" s="831">
        <v>1.7015455367676122</v>
      </c>
      <c r="M95" s="831">
        <v>1.3849662276716572</v>
      </c>
      <c r="N95" s="776">
        <v>3.7911016791603691E-2</v>
      </c>
    </row>
    <row r="96" spans="1:14" hidden="1">
      <c r="A96" s="773" t="s">
        <v>964</v>
      </c>
      <c r="B96" s="774">
        <v>49</v>
      </c>
      <c r="C96" s="775">
        <v>21546.925000000007</v>
      </c>
      <c r="D96" s="775">
        <v>41509.338000000003</v>
      </c>
      <c r="E96" s="831">
        <v>0.51908621139657796</v>
      </c>
      <c r="F96" s="832">
        <v>13411.382</v>
      </c>
      <c r="G96" s="831">
        <v>0.32309313147803026</v>
      </c>
      <c r="H96" s="775">
        <v>13044.091</v>
      </c>
      <c r="I96" s="775">
        <v>38803.376000000018</v>
      </c>
      <c r="J96" s="775">
        <v>-4787.0699999999924</v>
      </c>
      <c r="K96" s="831">
        <v>0.3361586631018908</v>
      </c>
      <c r="L96" s="831" t="s">
        <v>887</v>
      </c>
      <c r="M96" s="831">
        <v>0.31424473693124183</v>
      </c>
      <c r="N96" s="776">
        <v>1.125298621890258E-2</v>
      </c>
    </row>
    <row r="97" spans="1:14" hidden="1">
      <c r="A97" s="773" t="s">
        <v>670</v>
      </c>
      <c r="B97" s="774">
        <v>15</v>
      </c>
      <c r="C97" s="775">
        <v>14569.3</v>
      </c>
      <c r="D97" s="775">
        <v>13594.152</v>
      </c>
      <c r="E97" s="831">
        <v>1.0717329039722374</v>
      </c>
      <c r="F97" s="832">
        <v>17679.399999999998</v>
      </c>
      <c r="G97" s="831">
        <v>1.3005151038475955</v>
      </c>
      <c r="H97" s="775">
        <v>17637.725999999999</v>
      </c>
      <c r="I97" s="775">
        <v>12523.432999999999</v>
      </c>
      <c r="J97" s="775">
        <v>11467.923999999999</v>
      </c>
      <c r="K97" s="831">
        <v>1.4083778784938603</v>
      </c>
      <c r="L97" s="831">
        <v>1.5380051350183346</v>
      </c>
      <c r="M97" s="831">
        <v>1.2974495209410635</v>
      </c>
      <c r="N97" s="776">
        <v>2.8404796925753654E-2</v>
      </c>
    </row>
    <row r="98" spans="1:14" hidden="1">
      <c r="A98" s="773" t="s">
        <v>965</v>
      </c>
      <c r="B98" s="774">
        <v>18</v>
      </c>
      <c r="C98" s="775">
        <v>6209.0999999999995</v>
      </c>
      <c r="D98" s="775">
        <v>18562.939999999999</v>
      </c>
      <c r="E98" s="831">
        <v>0.3344890410678481</v>
      </c>
      <c r="F98" s="832">
        <v>14374.3</v>
      </c>
      <c r="G98" s="831">
        <v>0.77435470889848268</v>
      </c>
      <c r="H98" s="775">
        <v>13749.071</v>
      </c>
      <c r="I98" s="775">
        <v>10682.412000000002</v>
      </c>
      <c r="J98" s="775">
        <v>10330.74</v>
      </c>
      <c r="K98" s="831">
        <v>1.2870755218952421</v>
      </c>
      <c r="L98" s="831">
        <v>1.3308892683389573</v>
      </c>
      <c r="M98" s="831">
        <v>0.74067313690611514</v>
      </c>
      <c r="N98" s="776">
        <v>6.2843539003580931E-2</v>
      </c>
    </row>
    <row r="99" spans="1:14" hidden="1">
      <c r="A99" s="773" t="s">
        <v>966</v>
      </c>
      <c r="B99" s="774">
        <v>4</v>
      </c>
      <c r="C99" s="775">
        <v>5115.982</v>
      </c>
      <c r="D99" s="775">
        <v>14258.8</v>
      </c>
      <c r="E99" s="831">
        <v>0.35879470923219348</v>
      </c>
      <c r="F99" s="832">
        <v>19554</v>
      </c>
      <c r="G99" s="831">
        <v>1.3713636491149326</v>
      </c>
      <c r="H99" s="775">
        <v>19545</v>
      </c>
      <c r="I99" s="775">
        <v>11470.980000000001</v>
      </c>
      <c r="J99" s="775">
        <v>18925.38</v>
      </c>
      <c r="K99" s="831">
        <v>1.7038648833839827</v>
      </c>
      <c r="L99" s="831">
        <v>1.0327401616242315</v>
      </c>
      <c r="M99" s="831">
        <v>1.3707324599545545</v>
      </c>
      <c r="N99" s="776">
        <v>1.4686917256493601E-2</v>
      </c>
    </row>
    <row r="100" spans="1:14" hidden="1">
      <c r="A100" s="773" t="s">
        <v>773</v>
      </c>
      <c r="B100" s="774">
        <v>35</v>
      </c>
      <c r="C100" s="775">
        <v>729.19200000000012</v>
      </c>
      <c r="D100" s="775">
        <v>2048.5369999999994</v>
      </c>
      <c r="E100" s="831">
        <v>0.35595744670464841</v>
      </c>
      <c r="F100" s="832">
        <v>9496.5119999999988</v>
      </c>
      <c r="G100" s="831">
        <v>4.6357532229098144</v>
      </c>
      <c r="H100" s="775">
        <v>9226.7929999999997</v>
      </c>
      <c r="I100" s="775">
        <v>-11721.857000000011</v>
      </c>
      <c r="J100" s="775">
        <v>-3931.0920000000187</v>
      </c>
      <c r="K100" s="831" t="s">
        <v>887</v>
      </c>
      <c r="L100" s="831" t="s">
        <v>887</v>
      </c>
      <c r="M100" s="831">
        <v>4.5040890157219531</v>
      </c>
      <c r="N100" s="776">
        <v>5.7218077552788967E-2</v>
      </c>
    </row>
    <row r="101" spans="1:14" hidden="1">
      <c r="A101" s="773" t="s">
        <v>967</v>
      </c>
      <c r="B101" s="774">
        <v>15</v>
      </c>
      <c r="C101" s="775">
        <v>9710.9999999999982</v>
      </c>
      <c r="D101" s="775">
        <v>16381.300000000001</v>
      </c>
      <c r="E101" s="831">
        <v>0.59281009443694932</v>
      </c>
      <c r="F101" s="832">
        <v>11145.699999999999</v>
      </c>
      <c r="G101" s="831">
        <v>0.68039166610708546</v>
      </c>
      <c r="H101" s="775">
        <v>8442.0999999999985</v>
      </c>
      <c r="I101" s="775">
        <v>-12850.019999999999</v>
      </c>
      <c r="J101" s="775">
        <v>-2207.7199999999866</v>
      </c>
      <c r="K101" s="831" t="s">
        <v>887</v>
      </c>
      <c r="L101" s="831" t="s">
        <v>887</v>
      </c>
      <c r="M101" s="831">
        <v>0.51534981961138604</v>
      </c>
      <c r="N101" s="776">
        <v>3.3127957239668755E-3</v>
      </c>
    </row>
    <row r="102" spans="1:14" s="761" customFormat="1" hidden="1">
      <c r="A102" s="773" t="s">
        <v>968</v>
      </c>
      <c r="B102" s="774">
        <v>16</v>
      </c>
      <c r="C102" s="775">
        <v>937.33</v>
      </c>
      <c r="D102" s="775">
        <v>2065.1099999999997</v>
      </c>
      <c r="E102" s="831">
        <v>0.34685422173962976</v>
      </c>
      <c r="F102" s="832">
        <v>959.12600000000009</v>
      </c>
      <c r="G102" s="831">
        <v>0.46444305630208571</v>
      </c>
      <c r="H102" s="775">
        <v>677.23500000000013</v>
      </c>
      <c r="I102" s="775">
        <v>-1100.0900000000006</v>
      </c>
      <c r="J102" s="775">
        <v>656.9719999999993</v>
      </c>
      <c r="K102" s="831" t="s">
        <v>887</v>
      </c>
      <c r="L102" s="831">
        <v>1.0308430191849893</v>
      </c>
      <c r="M102" s="831">
        <v>0.32794136874064833</v>
      </c>
      <c r="N102" s="776">
        <v>3.5347974849298789E-3</v>
      </c>
    </row>
    <row r="103" spans="1:14" s="761" customFormat="1" hidden="1">
      <c r="A103" s="773" t="s">
        <v>969</v>
      </c>
      <c r="B103" s="774">
        <v>7165</v>
      </c>
      <c r="C103" s="775">
        <v>636300.29461999901</v>
      </c>
      <c r="D103" s="775">
        <v>1834489.1159999932</v>
      </c>
      <c r="E103" s="831">
        <v>0.34685422173962976</v>
      </c>
      <c r="F103" s="832">
        <v>1709643.4870000002</v>
      </c>
      <c r="G103" s="831">
        <v>0.93194528770374374</v>
      </c>
      <c r="H103" s="775">
        <v>1464406.3220000009</v>
      </c>
      <c r="I103" s="775">
        <v>1330007.5189999882</v>
      </c>
      <c r="J103" s="775">
        <v>1727349.8130000215</v>
      </c>
      <c r="K103" s="831">
        <v>1.1010511602979998</v>
      </c>
      <c r="L103" s="831">
        <v>0.84777635136721585</v>
      </c>
      <c r="M103" s="831">
        <v>0.79826383772342113</v>
      </c>
      <c r="N103" s="776">
        <v>6.6630317524362631E-2</v>
      </c>
    </row>
    <row r="104" spans="1:14" s="761" customFormat="1" hidden="1">
      <c r="A104" s="777" t="s">
        <v>970</v>
      </c>
      <c r="B104" s="778">
        <v>5649</v>
      </c>
      <c r="C104" s="779">
        <v>531213.33509999886</v>
      </c>
      <c r="D104" s="779">
        <v>1448837.7589999933</v>
      </c>
      <c r="E104" s="847">
        <v>0.36664790919491858</v>
      </c>
      <c r="F104" s="848">
        <v>1464861.1690000002</v>
      </c>
      <c r="G104" s="847">
        <v>1.0110594922726659</v>
      </c>
      <c r="H104" s="779">
        <v>1275825.1640000008</v>
      </c>
      <c r="I104" s="779">
        <v>876682.75499998848</v>
      </c>
      <c r="J104" s="779">
        <v>1147513.3280000212</v>
      </c>
      <c r="K104" s="847">
        <v>1.4552871682756181</v>
      </c>
      <c r="L104" s="847">
        <v>1.1118172947268612</v>
      </c>
      <c r="M104" s="847">
        <v>0.88058525261005893</v>
      </c>
      <c r="N104" s="780">
        <v>3.7516689774389836E-2</v>
      </c>
    </row>
  </sheetData>
  <mergeCells count="9">
    <mergeCell ref="B7:G7"/>
    <mergeCell ref="B1:G1"/>
    <mergeCell ref="H1:I6"/>
    <mergeCell ref="B2:G2"/>
    <mergeCell ref="B3:E3"/>
    <mergeCell ref="F3:G3"/>
    <mergeCell ref="B4:G4"/>
    <mergeCell ref="B5:G5"/>
    <mergeCell ref="B6:G6"/>
  </mergeCells>
  <hyperlinks>
    <hyperlink ref="B2" r:id="rId1" xr:uid="{BA481A85-2BE8-F74A-BE00-93959FC3BD59}"/>
    <hyperlink ref="B4" r:id="rId2" xr:uid="{E006C6AC-F3C0-6C48-9C9C-9FF0B7A0B4DA}"/>
    <hyperlink ref="B5" r:id="rId3" display="http://www.stern.nyu.edu/~adamodar/New_Home_Page/data.html" xr:uid="{64E63622-AECC-AB42-AE65-3629FC064EBC}"/>
    <hyperlink ref="B6" r:id="rId4" display="http://www.stern.nyu.edu/~adamodar/pc/datasets/indname.xls" xr:uid="{EF877B86-720F-534D-8834-79295A23CD29}"/>
    <hyperlink ref="B7" r:id="rId5" display="http://www.stern.nyu.edu/~adamodar/New_Home_Page/datafile/variable.htm" xr:uid="{1BC97AFB-12C7-8145-98AE-2B8483B140CD}"/>
  </hyperlinks>
  <pageMargins left="0.75" right="0.75" top="1" bottom="1" header="0.5" footer="0.5"/>
  <pageSetup orientation="portrait" horizontalDpi="4294967292" verticalDpi="4294967292"/>
  <headerFooter alignWithMargins="0"/>
  <tableParts count="1">
    <tablePart r:id="rId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416AC-1574-5942-8A3A-354D419AC51C}">
  <dimension ref="A1:J104"/>
  <sheetViews>
    <sheetView topLeftCell="A4" zoomScale="114" workbookViewId="0"/>
  </sheetViews>
  <sheetFormatPr baseColWidth="10" defaultColWidth="11.5" defaultRowHeight="16"/>
  <cols>
    <col min="1" max="1" width="33" style="744" customWidth="1"/>
    <col min="2" max="2" width="18.6640625" style="739" customWidth="1"/>
    <col min="3" max="3" width="31.33203125" style="739" customWidth="1"/>
    <col min="4" max="4" width="30" style="739" customWidth="1"/>
    <col min="5" max="5" width="40.5" style="745" bestFit="1" customWidth="1"/>
    <col min="6" max="6" width="35.33203125" style="745" bestFit="1" customWidth="1"/>
    <col min="7" max="256" width="11.5" style="739" bestFit="1" customWidth="1"/>
    <col min="257" max="257" width="33" style="739" customWidth="1"/>
    <col min="258" max="258" width="18.6640625" style="739" customWidth="1"/>
    <col min="259" max="259" width="31.33203125" style="739" customWidth="1"/>
    <col min="260" max="260" width="30" style="739" customWidth="1"/>
    <col min="261" max="261" width="40.5" style="739" bestFit="1" customWidth="1"/>
    <col min="262" max="262" width="35.33203125" style="739" bestFit="1" customWidth="1"/>
    <col min="263" max="512" width="11.5" style="739" bestFit="1" customWidth="1"/>
    <col min="513" max="513" width="33" style="739" customWidth="1"/>
    <col min="514" max="514" width="18.6640625" style="739" customWidth="1"/>
    <col min="515" max="515" width="31.33203125" style="739" customWidth="1"/>
    <col min="516" max="516" width="30" style="739" customWidth="1"/>
    <col min="517" max="517" width="40.5" style="739" bestFit="1" customWidth="1"/>
    <col min="518" max="518" width="35.33203125" style="739" bestFit="1" customWidth="1"/>
    <col min="519" max="768" width="11.5" style="739" bestFit="1" customWidth="1"/>
    <col min="769" max="769" width="33" style="739" customWidth="1"/>
    <col min="770" max="770" width="18.6640625" style="739" customWidth="1"/>
    <col min="771" max="771" width="31.33203125" style="739" customWidth="1"/>
    <col min="772" max="772" width="30" style="739" customWidth="1"/>
    <col min="773" max="773" width="40.5" style="739" bestFit="1" customWidth="1"/>
    <col min="774" max="774" width="35.33203125" style="739" bestFit="1" customWidth="1"/>
    <col min="775" max="1024" width="11.5" style="739" bestFit="1" customWidth="1"/>
    <col min="1025" max="1025" width="33" style="739" customWidth="1"/>
    <col min="1026" max="1026" width="18.6640625" style="739" customWidth="1"/>
    <col min="1027" max="1027" width="31.33203125" style="739" customWidth="1"/>
    <col min="1028" max="1028" width="30" style="739" customWidth="1"/>
    <col min="1029" max="1029" width="40.5" style="739" bestFit="1" customWidth="1"/>
    <col min="1030" max="1030" width="35.33203125" style="739" bestFit="1" customWidth="1"/>
    <col min="1031" max="1280" width="11.5" style="739" bestFit="1" customWidth="1"/>
    <col min="1281" max="1281" width="33" style="739" customWidth="1"/>
    <col min="1282" max="1282" width="18.6640625" style="739" customWidth="1"/>
    <col min="1283" max="1283" width="31.33203125" style="739" customWidth="1"/>
    <col min="1284" max="1284" width="30" style="739" customWidth="1"/>
    <col min="1285" max="1285" width="40.5" style="739" bestFit="1" customWidth="1"/>
    <col min="1286" max="1286" width="35.33203125" style="739" bestFit="1" customWidth="1"/>
    <col min="1287" max="1536" width="11.5" style="739" bestFit="1" customWidth="1"/>
    <col min="1537" max="1537" width="33" style="739" customWidth="1"/>
    <col min="1538" max="1538" width="18.6640625" style="739" customWidth="1"/>
    <col min="1539" max="1539" width="31.33203125" style="739" customWidth="1"/>
    <col min="1540" max="1540" width="30" style="739" customWidth="1"/>
    <col min="1541" max="1541" width="40.5" style="739" bestFit="1" customWidth="1"/>
    <col min="1542" max="1542" width="35.33203125" style="739" bestFit="1" customWidth="1"/>
    <col min="1543" max="1792" width="11.5" style="739" bestFit="1" customWidth="1"/>
    <col min="1793" max="1793" width="33" style="739" customWidth="1"/>
    <col min="1794" max="1794" width="18.6640625" style="739" customWidth="1"/>
    <col min="1795" max="1795" width="31.33203125" style="739" customWidth="1"/>
    <col min="1796" max="1796" width="30" style="739" customWidth="1"/>
    <col min="1797" max="1797" width="40.5" style="739" bestFit="1" customWidth="1"/>
    <col min="1798" max="1798" width="35.33203125" style="739" bestFit="1" customWidth="1"/>
    <col min="1799" max="2048" width="11.5" style="739" bestFit="1" customWidth="1"/>
    <col min="2049" max="2049" width="33" style="739" customWidth="1"/>
    <col min="2050" max="2050" width="18.6640625" style="739" customWidth="1"/>
    <col min="2051" max="2051" width="31.33203125" style="739" customWidth="1"/>
    <col min="2052" max="2052" width="30" style="739" customWidth="1"/>
    <col min="2053" max="2053" width="40.5" style="739" bestFit="1" customWidth="1"/>
    <col min="2054" max="2054" width="35.33203125" style="739" bestFit="1" customWidth="1"/>
    <col min="2055" max="2304" width="11.5" style="739" bestFit="1" customWidth="1"/>
    <col min="2305" max="2305" width="33" style="739" customWidth="1"/>
    <col min="2306" max="2306" width="18.6640625" style="739" customWidth="1"/>
    <col min="2307" max="2307" width="31.33203125" style="739" customWidth="1"/>
    <col min="2308" max="2308" width="30" style="739" customWidth="1"/>
    <col min="2309" max="2309" width="40.5" style="739" bestFit="1" customWidth="1"/>
    <col min="2310" max="2310" width="35.33203125" style="739" bestFit="1" customWidth="1"/>
    <col min="2311" max="2560" width="11.5" style="739" bestFit="1" customWidth="1"/>
    <col min="2561" max="2561" width="33" style="739" customWidth="1"/>
    <col min="2562" max="2562" width="18.6640625" style="739" customWidth="1"/>
    <col min="2563" max="2563" width="31.33203125" style="739" customWidth="1"/>
    <col min="2564" max="2564" width="30" style="739" customWidth="1"/>
    <col min="2565" max="2565" width="40.5" style="739" bestFit="1" customWidth="1"/>
    <col min="2566" max="2566" width="35.33203125" style="739" bestFit="1" customWidth="1"/>
    <col min="2567" max="2816" width="11.5" style="739" bestFit="1" customWidth="1"/>
    <col min="2817" max="2817" width="33" style="739" customWidth="1"/>
    <col min="2818" max="2818" width="18.6640625" style="739" customWidth="1"/>
    <col min="2819" max="2819" width="31.33203125" style="739" customWidth="1"/>
    <col min="2820" max="2820" width="30" style="739" customWidth="1"/>
    <col min="2821" max="2821" width="40.5" style="739" bestFit="1" customWidth="1"/>
    <col min="2822" max="2822" width="35.33203125" style="739" bestFit="1" customWidth="1"/>
    <col min="2823" max="3072" width="11.5" style="739" bestFit="1" customWidth="1"/>
    <col min="3073" max="3073" width="33" style="739" customWidth="1"/>
    <col min="3074" max="3074" width="18.6640625" style="739" customWidth="1"/>
    <col min="3075" max="3075" width="31.33203125" style="739" customWidth="1"/>
    <col min="3076" max="3076" width="30" style="739" customWidth="1"/>
    <col min="3077" max="3077" width="40.5" style="739" bestFit="1" customWidth="1"/>
    <col min="3078" max="3078" width="35.33203125" style="739" bestFit="1" customWidth="1"/>
    <col min="3079" max="3328" width="11.5" style="739" bestFit="1" customWidth="1"/>
    <col min="3329" max="3329" width="33" style="739" customWidth="1"/>
    <col min="3330" max="3330" width="18.6640625" style="739" customWidth="1"/>
    <col min="3331" max="3331" width="31.33203125" style="739" customWidth="1"/>
    <col min="3332" max="3332" width="30" style="739" customWidth="1"/>
    <col min="3333" max="3333" width="40.5" style="739" bestFit="1" customWidth="1"/>
    <col min="3334" max="3334" width="35.33203125" style="739" bestFit="1" customWidth="1"/>
    <col min="3335" max="3584" width="11.5" style="739" bestFit="1" customWidth="1"/>
    <col min="3585" max="3585" width="33" style="739" customWidth="1"/>
    <col min="3586" max="3586" width="18.6640625" style="739" customWidth="1"/>
    <col min="3587" max="3587" width="31.33203125" style="739" customWidth="1"/>
    <col min="3588" max="3588" width="30" style="739" customWidth="1"/>
    <col min="3589" max="3589" width="40.5" style="739" bestFit="1" customWidth="1"/>
    <col min="3590" max="3590" width="35.33203125" style="739" bestFit="1" customWidth="1"/>
    <col min="3591" max="3840" width="11.5" style="739" bestFit="1" customWidth="1"/>
    <col min="3841" max="3841" width="33" style="739" customWidth="1"/>
    <col min="3842" max="3842" width="18.6640625" style="739" customWidth="1"/>
    <col min="3843" max="3843" width="31.33203125" style="739" customWidth="1"/>
    <col min="3844" max="3844" width="30" style="739" customWidth="1"/>
    <col min="3845" max="3845" width="40.5" style="739" bestFit="1" customWidth="1"/>
    <col min="3846" max="3846" width="35.33203125" style="739" bestFit="1" customWidth="1"/>
    <col min="3847" max="4096" width="11.5" style="739" bestFit="1" customWidth="1"/>
    <col min="4097" max="4097" width="33" style="739" customWidth="1"/>
    <col min="4098" max="4098" width="18.6640625" style="739" customWidth="1"/>
    <col min="4099" max="4099" width="31.33203125" style="739" customWidth="1"/>
    <col min="4100" max="4100" width="30" style="739" customWidth="1"/>
    <col min="4101" max="4101" width="40.5" style="739" bestFit="1" customWidth="1"/>
    <col min="4102" max="4102" width="35.33203125" style="739" bestFit="1" customWidth="1"/>
    <col min="4103" max="4352" width="11.5" style="739" bestFit="1" customWidth="1"/>
    <col min="4353" max="4353" width="33" style="739" customWidth="1"/>
    <col min="4354" max="4354" width="18.6640625" style="739" customWidth="1"/>
    <col min="4355" max="4355" width="31.33203125" style="739" customWidth="1"/>
    <col min="4356" max="4356" width="30" style="739" customWidth="1"/>
    <col min="4357" max="4357" width="40.5" style="739" bestFit="1" customWidth="1"/>
    <col min="4358" max="4358" width="35.33203125" style="739" bestFit="1" customWidth="1"/>
    <col min="4359" max="4608" width="11.5" style="739" bestFit="1" customWidth="1"/>
    <col min="4609" max="4609" width="33" style="739" customWidth="1"/>
    <col min="4610" max="4610" width="18.6640625" style="739" customWidth="1"/>
    <col min="4611" max="4611" width="31.33203125" style="739" customWidth="1"/>
    <col min="4612" max="4612" width="30" style="739" customWidth="1"/>
    <col min="4613" max="4613" width="40.5" style="739" bestFit="1" customWidth="1"/>
    <col min="4614" max="4614" width="35.33203125" style="739" bestFit="1" customWidth="1"/>
    <col min="4615" max="4864" width="11.5" style="739" bestFit="1" customWidth="1"/>
    <col min="4865" max="4865" width="33" style="739" customWidth="1"/>
    <col min="4866" max="4866" width="18.6640625" style="739" customWidth="1"/>
    <col min="4867" max="4867" width="31.33203125" style="739" customWidth="1"/>
    <col min="4868" max="4868" width="30" style="739" customWidth="1"/>
    <col min="4869" max="4869" width="40.5" style="739" bestFit="1" customWidth="1"/>
    <col min="4870" max="4870" width="35.33203125" style="739" bestFit="1" customWidth="1"/>
    <col min="4871" max="5120" width="11.5" style="739" bestFit="1" customWidth="1"/>
    <col min="5121" max="5121" width="33" style="739" customWidth="1"/>
    <col min="5122" max="5122" width="18.6640625" style="739" customWidth="1"/>
    <col min="5123" max="5123" width="31.33203125" style="739" customWidth="1"/>
    <col min="5124" max="5124" width="30" style="739" customWidth="1"/>
    <col min="5125" max="5125" width="40.5" style="739" bestFit="1" customWidth="1"/>
    <col min="5126" max="5126" width="35.33203125" style="739" bestFit="1" customWidth="1"/>
    <col min="5127" max="5376" width="11.5" style="739" bestFit="1" customWidth="1"/>
    <col min="5377" max="5377" width="33" style="739" customWidth="1"/>
    <col min="5378" max="5378" width="18.6640625" style="739" customWidth="1"/>
    <col min="5379" max="5379" width="31.33203125" style="739" customWidth="1"/>
    <col min="5380" max="5380" width="30" style="739" customWidth="1"/>
    <col min="5381" max="5381" width="40.5" style="739" bestFit="1" customWidth="1"/>
    <col min="5382" max="5382" width="35.33203125" style="739" bestFit="1" customWidth="1"/>
    <col min="5383" max="5632" width="11.5" style="739" bestFit="1" customWidth="1"/>
    <col min="5633" max="5633" width="33" style="739" customWidth="1"/>
    <col min="5634" max="5634" width="18.6640625" style="739" customWidth="1"/>
    <col min="5635" max="5635" width="31.33203125" style="739" customWidth="1"/>
    <col min="5636" max="5636" width="30" style="739" customWidth="1"/>
    <col min="5637" max="5637" width="40.5" style="739" bestFit="1" customWidth="1"/>
    <col min="5638" max="5638" width="35.33203125" style="739" bestFit="1" customWidth="1"/>
    <col min="5639" max="5888" width="11.5" style="739" bestFit="1" customWidth="1"/>
    <col min="5889" max="5889" width="33" style="739" customWidth="1"/>
    <col min="5890" max="5890" width="18.6640625" style="739" customWidth="1"/>
    <col min="5891" max="5891" width="31.33203125" style="739" customWidth="1"/>
    <col min="5892" max="5892" width="30" style="739" customWidth="1"/>
    <col min="5893" max="5893" width="40.5" style="739" bestFit="1" customWidth="1"/>
    <col min="5894" max="5894" width="35.33203125" style="739" bestFit="1" customWidth="1"/>
    <col min="5895" max="6144" width="11.5" style="739" bestFit="1" customWidth="1"/>
    <col min="6145" max="6145" width="33" style="739" customWidth="1"/>
    <col min="6146" max="6146" width="18.6640625" style="739" customWidth="1"/>
    <col min="6147" max="6147" width="31.33203125" style="739" customWidth="1"/>
    <col min="6148" max="6148" width="30" style="739" customWidth="1"/>
    <col min="6149" max="6149" width="40.5" style="739" bestFit="1" customWidth="1"/>
    <col min="6150" max="6150" width="35.33203125" style="739" bestFit="1" customWidth="1"/>
    <col min="6151" max="6400" width="11.5" style="739" bestFit="1" customWidth="1"/>
    <col min="6401" max="6401" width="33" style="739" customWidth="1"/>
    <col min="6402" max="6402" width="18.6640625" style="739" customWidth="1"/>
    <col min="6403" max="6403" width="31.33203125" style="739" customWidth="1"/>
    <col min="6404" max="6404" width="30" style="739" customWidth="1"/>
    <col min="6405" max="6405" width="40.5" style="739" bestFit="1" customWidth="1"/>
    <col min="6406" max="6406" width="35.33203125" style="739" bestFit="1" customWidth="1"/>
    <col min="6407" max="6656" width="11.5" style="739" bestFit="1" customWidth="1"/>
    <col min="6657" max="6657" width="33" style="739" customWidth="1"/>
    <col min="6658" max="6658" width="18.6640625" style="739" customWidth="1"/>
    <col min="6659" max="6659" width="31.33203125" style="739" customWidth="1"/>
    <col min="6660" max="6660" width="30" style="739" customWidth="1"/>
    <col min="6661" max="6661" width="40.5" style="739" bestFit="1" customWidth="1"/>
    <col min="6662" max="6662" width="35.33203125" style="739" bestFit="1" customWidth="1"/>
    <col min="6663" max="6912" width="11.5" style="739" bestFit="1" customWidth="1"/>
    <col min="6913" max="6913" width="33" style="739" customWidth="1"/>
    <col min="6914" max="6914" width="18.6640625" style="739" customWidth="1"/>
    <col min="6915" max="6915" width="31.33203125" style="739" customWidth="1"/>
    <col min="6916" max="6916" width="30" style="739" customWidth="1"/>
    <col min="6917" max="6917" width="40.5" style="739" bestFit="1" customWidth="1"/>
    <col min="6918" max="6918" width="35.33203125" style="739" bestFit="1" customWidth="1"/>
    <col min="6919" max="7168" width="11.5" style="739" bestFit="1" customWidth="1"/>
    <col min="7169" max="7169" width="33" style="739" customWidth="1"/>
    <col min="7170" max="7170" width="18.6640625" style="739" customWidth="1"/>
    <col min="7171" max="7171" width="31.33203125" style="739" customWidth="1"/>
    <col min="7172" max="7172" width="30" style="739" customWidth="1"/>
    <col min="7173" max="7173" width="40.5" style="739" bestFit="1" customWidth="1"/>
    <col min="7174" max="7174" width="35.33203125" style="739" bestFit="1" customWidth="1"/>
    <col min="7175" max="7424" width="11.5" style="739" bestFit="1" customWidth="1"/>
    <col min="7425" max="7425" width="33" style="739" customWidth="1"/>
    <col min="7426" max="7426" width="18.6640625" style="739" customWidth="1"/>
    <col min="7427" max="7427" width="31.33203125" style="739" customWidth="1"/>
    <col min="7428" max="7428" width="30" style="739" customWidth="1"/>
    <col min="7429" max="7429" width="40.5" style="739" bestFit="1" customWidth="1"/>
    <col min="7430" max="7430" width="35.33203125" style="739" bestFit="1" customWidth="1"/>
    <col min="7431" max="7680" width="11.5" style="739" bestFit="1" customWidth="1"/>
    <col min="7681" max="7681" width="33" style="739" customWidth="1"/>
    <col min="7682" max="7682" width="18.6640625" style="739" customWidth="1"/>
    <col min="7683" max="7683" width="31.33203125" style="739" customWidth="1"/>
    <col min="7684" max="7684" width="30" style="739" customWidth="1"/>
    <col min="7685" max="7685" width="40.5" style="739" bestFit="1" customWidth="1"/>
    <col min="7686" max="7686" width="35.33203125" style="739" bestFit="1" customWidth="1"/>
    <col min="7687" max="7936" width="11.5" style="739" bestFit="1" customWidth="1"/>
    <col min="7937" max="7937" width="33" style="739" customWidth="1"/>
    <col min="7938" max="7938" width="18.6640625" style="739" customWidth="1"/>
    <col min="7939" max="7939" width="31.33203125" style="739" customWidth="1"/>
    <col min="7940" max="7940" width="30" style="739" customWidth="1"/>
    <col min="7941" max="7941" width="40.5" style="739" bestFit="1" customWidth="1"/>
    <col min="7942" max="7942" width="35.33203125" style="739" bestFit="1" customWidth="1"/>
    <col min="7943" max="8192" width="11.5" style="739" bestFit="1" customWidth="1"/>
    <col min="8193" max="8193" width="33" style="739" customWidth="1"/>
    <col min="8194" max="8194" width="18.6640625" style="739" customWidth="1"/>
    <col min="8195" max="8195" width="31.33203125" style="739" customWidth="1"/>
    <col min="8196" max="8196" width="30" style="739" customWidth="1"/>
    <col min="8197" max="8197" width="40.5" style="739" bestFit="1" customWidth="1"/>
    <col min="8198" max="8198" width="35.33203125" style="739" bestFit="1" customWidth="1"/>
    <col min="8199" max="8448" width="11.5" style="739" bestFit="1" customWidth="1"/>
    <col min="8449" max="8449" width="33" style="739" customWidth="1"/>
    <col min="8450" max="8450" width="18.6640625" style="739" customWidth="1"/>
    <col min="8451" max="8451" width="31.33203125" style="739" customWidth="1"/>
    <col min="8452" max="8452" width="30" style="739" customWidth="1"/>
    <col min="8453" max="8453" width="40.5" style="739" bestFit="1" customWidth="1"/>
    <col min="8454" max="8454" width="35.33203125" style="739" bestFit="1" customWidth="1"/>
    <col min="8455" max="8704" width="11.5" style="739" bestFit="1" customWidth="1"/>
    <col min="8705" max="8705" width="33" style="739" customWidth="1"/>
    <col min="8706" max="8706" width="18.6640625" style="739" customWidth="1"/>
    <col min="8707" max="8707" width="31.33203125" style="739" customWidth="1"/>
    <col min="8708" max="8708" width="30" style="739" customWidth="1"/>
    <col min="8709" max="8709" width="40.5" style="739" bestFit="1" customWidth="1"/>
    <col min="8710" max="8710" width="35.33203125" style="739" bestFit="1" customWidth="1"/>
    <col min="8711" max="8960" width="11.5" style="739" bestFit="1" customWidth="1"/>
    <col min="8961" max="8961" width="33" style="739" customWidth="1"/>
    <col min="8962" max="8962" width="18.6640625" style="739" customWidth="1"/>
    <col min="8963" max="8963" width="31.33203125" style="739" customWidth="1"/>
    <col min="8964" max="8964" width="30" style="739" customWidth="1"/>
    <col min="8965" max="8965" width="40.5" style="739" bestFit="1" customWidth="1"/>
    <col min="8966" max="8966" width="35.33203125" style="739" bestFit="1" customWidth="1"/>
    <col min="8967" max="9216" width="11.5" style="739" bestFit="1" customWidth="1"/>
    <col min="9217" max="9217" width="33" style="739" customWidth="1"/>
    <col min="9218" max="9218" width="18.6640625" style="739" customWidth="1"/>
    <col min="9219" max="9219" width="31.33203125" style="739" customWidth="1"/>
    <col min="9220" max="9220" width="30" style="739" customWidth="1"/>
    <col min="9221" max="9221" width="40.5" style="739" bestFit="1" customWidth="1"/>
    <col min="9222" max="9222" width="35.33203125" style="739" bestFit="1" customWidth="1"/>
    <col min="9223" max="9472" width="11.5" style="739" bestFit="1" customWidth="1"/>
    <col min="9473" max="9473" width="33" style="739" customWidth="1"/>
    <col min="9474" max="9474" width="18.6640625" style="739" customWidth="1"/>
    <col min="9475" max="9475" width="31.33203125" style="739" customWidth="1"/>
    <col min="9476" max="9476" width="30" style="739" customWidth="1"/>
    <col min="9477" max="9477" width="40.5" style="739" bestFit="1" customWidth="1"/>
    <col min="9478" max="9478" width="35.33203125" style="739" bestFit="1" customWidth="1"/>
    <col min="9479" max="9728" width="11.5" style="739" bestFit="1" customWidth="1"/>
    <col min="9729" max="9729" width="33" style="739" customWidth="1"/>
    <col min="9730" max="9730" width="18.6640625" style="739" customWidth="1"/>
    <col min="9731" max="9731" width="31.33203125" style="739" customWidth="1"/>
    <col min="9732" max="9732" width="30" style="739" customWidth="1"/>
    <col min="9733" max="9733" width="40.5" style="739" bestFit="1" customWidth="1"/>
    <col min="9734" max="9734" width="35.33203125" style="739" bestFit="1" customWidth="1"/>
    <col min="9735" max="9984" width="11.5" style="739" bestFit="1" customWidth="1"/>
    <col min="9985" max="9985" width="33" style="739" customWidth="1"/>
    <col min="9986" max="9986" width="18.6640625" style="739" customWidth="1"/>
    <col min="9987" max="9987" width="31.33203125" style="739" customWidth="1"/>
    <col min="9988" max="9988" width="30" style="739" customWidth="1"/>
    <col min="9989" max="9989" width="40.5" style="739" bestFit="1" customWidth="1"/>
    <col min="9990" max="9990" width="35.33203125" style="739" bestFit="1" customWidth="1"/>
    <col min="9991" max="10240" width="11.5" style="739" bestFit="1" customWidth="1"/>
    <col min="10241" max="10241" width="33" style="739" customWidth="1"/>
    <col min="10242" max="10242" width="18.6640625" style="739" customWidth="1"/>
    <col min="10243" max="10243" width="31.33203125" style="739" customWidth="1"/>
    <col min="10244" max="10244" width="30" style="739" customWidth="1"/>
    <col min="10245" max="10245" width="40.5" style="739" bestFit="1" customWidth="1"/>
    <col min="10246" max="10246" width="35.33203125" style="739" bestFit="1" customWidth="1"/>
    <col min="10247" max="10496" width="11.5" style="739" bestFit="1" customWidth="1"/>
    <col min="10497" max="10497" width="33" style="739" customWidth="1"/>
    <col min="10498" max="10498" width="18.6640625" style="739" customWidth="1"/>
    <col min="10499" max="10499" width="31.33203125" style="739" customWidth="1"/>
    <col min="10500" max="10500" width="30" style="739" customWidth="1"/>
    <col min="10501" max="10501" width="40.5" style="739" bestFit="1" customWidth="1"/>
    <col min="10502" max="10502" width="35.33203125" style="739" bestFit="1" customWidth="1"/>
    <col min="10503" max="10752" width="11.5" style="739" bestFit="1" customWidth="1"/>
    <col min="10753" max="10753" width="33" style="739" customWidth="1"/>
    <col min="10754" max="10754" width="18.6640625" style="739" customWidth="1"/>
    <col min="10755" max="10755" width="31.33203125" style="739" customWidth="1"/>
    <col min="10756" max="10756" width="30" style="739" customWidth="1"/>
    <col min="10757" max="10757" width="40.5" style="739" bestFit="1" customWidth="1"/>
    <col min="10758" max="10758" width="35.33203125" style="739" bestFit="1" customWidth="1"/>
    <col min="10759" max="11008" width="11.5" style="739" bestFit="1" customWidth="1"/>
    <col min="11009" max="11009" width="33" style="739" customWidth="1"/>
    <col min="11010" max="11010" width="18.6640625" style="739" customWidth="1"/>
    <col min="11011" max="11011" width="31.33203125" style="739" customWidth="1"/>
    <col min="11012" max="11012" width="30" style="739" customWidth="1"/>
    <col min="11013" max="11013" width="40.5" style="739" bestFit="1" customWidth="1"/>
    <col min="11014" max="11014" width="35.33203125" style="739" bestFit="1" customWidth="1"/>
    <col min="11015" max="11264" width="11.5" style="739" bestFit="1" customWidth="1"/>
    <col min="11265" max="11265" width="33" style="739" customWidth="1"/>
    <col min="11266" max="11266" width="18.6640625" style="739" customWidth="1"/>
    <col min="11267" max="11267" width="31.33203125" style="739" customWidth="1"/>
    <col min="11268" max="11268" width="30" style="739" customWidth="1"/>
    <col min="11269" max="11269" width="40.5" style="739" bestFit="1" customWidth="1"/>
    <col min="11270" max="11270" width="35.33203125" style="739" bestFit="1" customWidth="1"/>
    <col min="11271" max="11520" width="11.5" style="739" bestFit="1" customWidth="1"/>
    <col min="11521" max="11521" width="33" style="739" customWidth="1"/>
    <col min="11522" max="11522" width="18.6640625" style="739" customWidth="1"/>
    <col min="11523" max="11523" width="31.33203125" style="739" customWidth="1"/>
    <col min="11524" max="11524" width="30" style="739" customWidth="1"/>
    <col min="11525" max="11525" width="40.5" style="739" bestFit="1" customWidth="1"/>
    <col min="11526" max="11526" width="35.33203125" style="739" bestFit="1" customWidth="1"/>
    <col min="11527" max="11776" width="11.5" style="739" bestFit="1" customWidth="1"/>
    <col min="11777" max="11777" width="33" style="739" customWidth="1"/>
    <col min="11778" max="11778" width="18.6640625" style="739" customWidth="1"/>
    <col min="11779" max="11779" width="31.33203125" style="739" customWidth="1"/>
    <col min="11780" max="11780" width="30" style="739" customWidth="1"/>
    <col min="11781" max="11781" width="40.5" style="739" bestFit="1" customWidth="1"/>
    <col min="11782" max="11782" width="35.33203125" style="739" bestFit="1" customWidth="1"/>
    <col min="11783" max="12032" width="11.5" style="739" bestFit="1" customWidth="1"/>
    <col min="12033" max="12033" width="33" style="739" customWidth="1"/>
    <col min="12034" max="12034" width="18.6640625" style="739" customWidth="1"/>
    <col min="12035" max="12035" width="31.33203125" style="739" customWidth="1"/>
    <col min="12036" max="12036" width="30" style="739" customWidth="1"/>
    <col min="12037" max="12037" width="40.5" style="739" bestFit="1" customWidth="1"/>
    <col min="12038" max="12038" width="35.33203125" style="739" bestFit="1" customWidth="1"/>
    <col min="12039" max="12288" width="11.5" style="739" bestFit="1" customWidth="1"/>
    <col min="12289" max="12289" width="33" style="739" customWidth="1"/>
    <col min="12290" max="12290" width="18.6640625" style="739" customWidth="1"/>
    <col min="12291" max="12291" width="31.33203125" style="739" customWidth="1"/>
    <col min="12292" max="12292" width="30" style="739" customWidth="1"/>
    <col min="12293" max="12293" width="40.5" style="739" bestFit="1" customWidth="1"/>
    <col min="12294" max="12294" width="35.33203125" style="739" bestFit="1" customWidth="1"/>
    <col min="12295" max="12544" width="11.5" style="739" bestFit="1" customWidth="1"/>
    <col min="12545" max="12545" width="33" style="739" customWidth="1"/>
    <col min="12546" max="12546" width="18.6640625" style="739" customWidth="1"/>
    <col min="12547" max="12547" width="31.33203125" style="739" customWidth="1"/>
    <col min="12548" max="12548" width="30" style="739" customWidth="1"/>
    <col min="12549" max="12549" width="40.5" style="739" bestFit="1" customWidth="1"/>
    <col min="12550" max="12550" width="35.33203125" style="739" bestFit="1" customWidth="1"/>
    <col min="12551" max="12800" width="11.5" style="739" bestFit="1" customWidth="1"/>
    <col min="12801" max="12801" width="33" style="739" customWidth="1"/>
    <col min="12802" max="12802" width="18.6640625" style="739" customWidth="1"/>
    <col min="12803" max="12803" width="31.33203125" style="739" customWidth="1"/>
    <col min="12804" max="12804" width="30" style="739" customWidth="1"/>
    <col min="12805" max="12805" width="40.5" style="739" bestFit="1" customWidth="1"/>
    <col min="12806" max="12806" width="35.33203125" style="739" bestFit="1" customWidth="1"/>
    <col min="12807" max="13056" width="11.5" style="739" bestFit="1" customWidth="1"/>
    <col min="13057" max="13057" width="33" style="739" customWidth="1"/>
    <col min="13058" max="13058" width="18.6640625" style="739" customWidth="1"/>
    <col min="13059" max="13059" width="31.33203125" style="739" customWidth="1"/>
    <col min="13060" max="13060" width="30" style="739" customWidth="1"/>
    <col min="13061" max="13061" width="40.5" style="739" bestFit="1" customWidth="1"/>
    <col min="13062" max="13062" width="35.33203125" style="739" bestFit="1" customWidth="1"/>
    <col min="13063" max="13312" width="11.5" style="739" bestFit="1" customWidth="1"/>
    <col min="13313" max="13313" width="33" style="739" customWidth="1"/>
    <col min="13314" max="13314" width="18.6640625" style="739" customWidth="1"/>
    <col min="13315" max="13315" width="31.33203125" style="739" customWidth="1"/>
    <col min="13316" max="13316" width="30" style="739" customWidth="1"/>
    <col min="13317" max="13317" width="40.5" style="739" bestFit="1" customWidth="1"/>
    <col min="13318" max="13318" width="35.33203125" style="739" bestFit="1" customWidth="1"/>
    <col min="13319" max="13568" width="11.5" style="739" bestFit="1" customWidth="1"/>
    <col min="13569" max="13569" width="33" style="739" customWidth="1"/>
    <col min="13570" max="13570" width="18.6640625" style="739" customWidth="1"/>
    <col min="13571" max="13571" width="31.33203125" style="739" customWidth="1"/>
    <col min="13572" max="13572" width="30" style="739" customWidth="1"/>
    <col min="13573" max="13573" width="40.5" style="739" bestFit="1" customWidth="1"/>
    <col min="13574" max="13574" width="35.33203125" style="739" bestFit="1" customWidth="1"/>
    <col min="13575" max="13824" width="11.5" style="739" bestFit="1" customWidth="1"/>
    <col min="13825" max="13825" width="33" style="739" customWidth="1"/>
    <col min="13826" max="13826" width="18.6640625" style="739" customWidth="1"/>
    <col min="13827" max="13827" width="31.33203125" style="739" customWidth="1"/>
    <col min="13828" max="13828" width="30" style="739" customWidth="1"/>
    <col min="13829" max="13829" width="40.5" style="739" bestFit="1" customWidth="1"/>
    <col min="13830" max="13830" width="35.33203125" style="739" bestFit="1" customWidth="1"/>
    <col min="13831" max="14080" width="11.5" style="739" bestFit="1" customWidth="1"/>
    <col min="14081" max="14081" width="33" style="739" customWidth="1"/>
    <col min="14082" max="14082" width="18.6640625" style="739" customWidth="1"/>
    <col min="14083" max="14083" width="31.33203125" style="739" customWidth="1"/>
    <col min="14084" max="14084" width="30" style="739" customWidth="1"/>
    <col min="14085" max="14085" width="40.5" style="739" bestFit="1" customWidth="1"/>
    <col min="14086" max="14086" width="35.33203125" style="739" bestFit="1" customWidth="1"/>
    <col min="14087" max="14336" width="11.5" style="739" bestFit="1" customWidth="1"/>
    <col min="14337" max="14337" width="33" style="739" customWidth="1"/>
    <col min="14338" max="14338" width="18.6640625" style="739" customWidth="1"/>
    <col min="14339" max="14339" width="31.33203125" style="739" customWidth="1"/>
    <col min="14340" max="14340" width="30" style="739" customWidth="1"/>
    <col min="14341" max="14341" width="40.5" style="739" bestFit="1" customWidth="1"/>
    <col min="14342" max="14342" width="35.33203125" style="739" bestFit="1" customWidth="1"/>
    <col min="14343" max="14592" width="11.5" style="739" bestFit="1" customWidth="1"/>
    <col min="14593" max="14593" width="33" style="739" customWidth="1"/>
    <col min="14594" max="14594" width="18.6640625" style="739" customWidth="1"/>
    <col min="14595" max="14595" width="31.33203125" style="739" customWidth="1"/>
    <col min="14596" max="14596" width="30" style="739" customWidth="1"/>
    <col min="14597" max="14597" width="40.5" style="739" bestFit="1" customWidth="1"/>
    <col min="14598" max="14598" width="35.33203125" style="739" bestFit="1" customWidth="1"/>
    <col min="14599" max="14848" width="11.5" style="739" bestFit="1" customWidth="1"/>
    <col min="14849" max="14849" width="33" style="739" customWidth="1"/>
    <col min="14850" max="14850" width="18.6640625" style="739" customWidth="1"/>
    <col min="14851" max="14851" width="31.33203125" style="739" customWidth="1"/>
    <col min="14852" max="14852" width="30" style="739" customWidth="1"/>
    <col min="14853" max="14853" width="40.5" style="739" bestFit="1" customWidth="1"/>
    <col min="14854" max="14854" width="35.33203125" style="739" bestFit="1" customWidth="1"/>
    <col min="14855" max="15104" width="11.5" style="739" bestFit="1" customWidth="1"/>
    <col min="15105" max="15105" width="33" style="739" customWidth="1"/>
    <col min="15106" max="15106" width="18.6640625" style="739" customWidth="1"/>
    <col min="15107" max="15107" width="31.33203125" style="739" customWidth="1"/>
    <col min="15108" max="15108" width="30" style="739" customWidth="1"/>
    <col min="15109" max="15109" width="40.5" style="739" bestFit="1" customWidth="1"/>
    <col min="15110" max="15110" width="35.33203125" style="739" bestFit="1" customWidth="1"/>
    <col min="15111" max="15360" width="11.5" style="739" bestFit="1" customWidth="1"/>
    <col min="15361" max="15361" width="33" style="739" customWidth="1"/>
    <col min="15362" max="15362" width="18.6640625" style="739" customWidth="1"/>
    <col min="15363" max="15363" width="31.33203125" style="739" customWidth="1"/>
    <col min="15364" max="15364" width="30" style="739" customWidth="1"/>
    <col min="15365" max="15365" width="40.5" style="739" bestFit="1" customWidth="1"/>
    <col min="15366" max="15366" width="35.33203125" style="739" bestFit="1" customWidth="1"/>
    <col min="15367" max="15616" width="11.5" style="739" bestFit="1" customWidth="1"/>
    <col min="15617" max="15617" width="33" style="739" customWidth="1"/>
    <col min="15618" max="15618" width="18.6640625" style="739" customWidth="1"/>
    <col min="15619" max="15619" width="31.33203125" style="739" customWidth="1"/>
    <col min="15620" max="15620" width="30" style="739" customWidth="1"/>
    <col min="15621" max="15621" width="40.5" style="739" bestFit="1" customWidth="1"/>
    <col min="15622" max="15622" width="35.33203125" style="739" bestFit="1" customWidth="1"/>
    <col min="15623" max="15872" width="11.5" style="739" bestFit="1" customWidth="1"/>
    <col min="15873" max="15873" width="33" style="739" customWidth="1"/>
    <col min="15874" max="15874" width="18.6640625" style="739" customWidth="1"/>
    <col min="15875" max="15875" width="31.33203125" style="739" customWidth="1"/>
    <col min="15876" max="15876" width="30" style="739" customWidth="1"/>
    <col min="15877" max="15877" width="40.5" style="739" bestFit="1" customWidth="1"/>
    <col min="15878" max="15878" width="35.33203125" style="739" bestFit="1" customWidth="1"/>
    <col min="15879" max="16128" width="11.5" style="739" bestFit="1" customWidth="1"/>
    <col min="16129" max="16129" width="33" style="739" customWidth="1"/>
    <col min="16130" max="16130" width="18.6640625" style="739" customWidth="1"/>
    <col min="16131" max="16131" width="31.33203125" style="739" customWidth="1"/>
    <col min="16132" max="16132" width="30" style="739" customWidth="1"/>
    <col min="16133" max="16133" width="40.5" style="739" bestFit="1" customWidth="1"/>
    <col min="16134" max="16134" width="35.33203125" style="739" bestFit="1" customWidth="1"/>
    <col min="16135" max="16384" width="11.5" style="739" bestFit="1" customWidth="1"/>
  </cols>
  <sheetData>
    <row r="1" spans="1:10">
      <c r="A1" s="746" t="s">
        <v>862</v>
      </c>
      <c r="B1" s="1233">
        <v>44931</v>
      </c>
      <c r="C1" s="1234"/>
      <c r="D1" s="1234"/>
      <c r="E1" s="1234"/>
      <c r="F1" s="1234"/>
      <c r="G1" s="1235"/>
    </row>
    <row r="2" spans="1:10">
      <c r="A2" s="747" t="s">
        <v>864</v>
      </c>
      <c r="B2" s="1222" t="s">
        <v>865</v>
      </c>
      <c r="C2" s="1223"/>
      <c r="D2" s="1223"/>
      <c r="E2" s="1223"/>
      <c r="F2" s="1223"/>
      <c r="G2" s="1231"/>
    </row>
    <row r="3" spans="1:10">
      <c r="A3" s="747" t="s">
        <v>866</v>
      </c>
      <c r="B3" s="1236" t="s">
        <v>971</v>
      </c>
      <c r="C3" s="1237"/>
      <c r="D3" s="1237"/>
      <c r="E3" s="1238"/>
      <c r="F3" s="1236" t="s">
        <v>868</v>
      </c>
      <c r="G3" s="1239"/>
      <c r="H3" s="748"/>
      <c r="I3" s="748"/>
      <c r="J3" s="748"/>
    </row>
    <row r="4" spans="1:10">
      <c r="A4" s="747" t="s">
        <v>869</v>
      </c>
      <c r="B4" s="1227" t="s">
        <v>870</v>
      </c>
      <c r="C4" s="1228"/>
      <c r="D4" s="1228"/>
      <c r="E4" s="1228"/>
      <c r="F4" s="1228"/>
      <c r="G4" s="1240"/>
    </row>
    <row r="5" spans="1:10">
      <c r="A5" s="747" t="s">
        <v>871</v>
      </c>
      <c r="B5" s="1229" t="s">
        <v>872</v>
      </c>
      <c r="C5" s="1230"/>
      <c r="D5" s="1230"/>
      <c r="E5" s="1230"/>
      <c r="F5" s="1230"/>
      <c r="G5" s="1241"/>
    </row>
    <row r="6" spans="1:10" s="740" customFormat="1">
      <c r="A6" s="747" t="s">
        <v>873</v>
      </c>
      <c r="B6" s="1222" t="s">
        <v>874</v>
      </c>
      <c r="C6" s="1223"/>
      <c r="D6" s="1223"/>
      <c r="E6" s="1223"/>
      <c r="F6" s="1223"/>
      <c r="G6" s="1231"/>
    </row>
    <row r="7" spans="1:10" ht="17" thickBot="1">
      <c r="A7" s="749" t="s">
        <v>875</v>
      </c>
      <c r="B7" s="1211" t="s">
        <v>876</v>
      </c>
      <c r="C7" s="1212"/>
      <c r="D7" s="1212"/>
      <c r="E7" s="1212"/>
      <c r="F7" s="1212"/>
      <c r="G7" s="1232"/>
    </row>
    <row r="8" spans="1:10" s="741" customFormat="1" ht="17">
      <c r="A8" s="750" t="s">
        <v>972</v>
      </c>
      <c r="B8" s="751" t="s">
        <v>973</v>
      </c>
      <c r="C8" s="752" t="s">
        <v>974</v>
      </c>
      <c r="D8" s="752" t="s">
        <v>975</v>
      </c>
      <c r="E8" s="753" t="s">
        <v>976</v>
      </c>
      <c r="F8" s="754" t="s">
        <v>977</v>
      </c>
    </row>
    <row r="9" spans="1:10" s="742" customFormat="1">
      <c r="A9" s="755" t="s">
        <v>648</v>
      </c>
      <c r="B9" s="756">
        <v>58</v>
      </c>
      <c r="C9" s="843">
        <v>0.23382500000000001</v>
      </c>
      <c r="D9" s="843">
        <v>0.18166952380952381</v>
      </c>
      <c r="E9" s="843">
        <v>0.20375153846153846</v>
      </c>
      <c r="F9" s="844">
        <v>7.9555555555555421E-3</v>
      </c>
    </row>
    <row r="10" spans="1:10" s="742" customFormat="1">
      <c r="A10" s="755" t="s">
        <v>885</v>
      </c>
      <c r="B10" s="756">
        <v>77</v>
      </c>
      <c r="C10" s="843">
        <v>5.0448148148148145E-2</v>
      </c>
      <c r="D10" s="843">
        <v>3.9922558139534867E-2</v>
      </c>
      <c r="E10" s="843">
        <v>0.38921953488372096</v>
      </c>
      <c r="F10" s="844">
        <v>8.1387391304347814E-2</v>
      </c>
    </row>
    <row r="11" spans="1:10" s="742" customFormat="1">
      <c r="A11" s="755" t="s">
        <v>886</v>
      </c>
      <c r="B11" s="756">
        <v>21</v>
      </c>
      <c r="C11" s="843">
        <v>-0.23700000000000002</v>
      </c>
      <c r="D11" s="843">
        <v>2.2412499999999995E-2</v>
      </c>
      <c r="E11" s="843">
        <v>0.31874666666666668</v>
      </c>
      <c r="F11" s="844">
        <v>0.22525000000000001</v>
      </c>
    </row>
    <row r="12" spans="1:10" s="742" customFormat="1">
      <c r="A12" s="755" t="s">
        <v>888</v>
      </c>
      <c r="B12" s="756">
        <v>39</v>
      </c>
      <c r="C12" s="843">
        <v>0.11000000000000001</v>
      </c>
      <c r="D12" s="843">
        <v>5.8356956521739133E-2</v>
      </c>
      <c r="E12" s="843">
        <v>3.9632608695652168E-2</v>
      </c>
      <c r="F12" s="844">
        <v>5.6378571428571424E-2</v>
      </c>
    </row>
    <row r="13" spans="1:10" s="742" customFormat="1">
      <c r="A13" s="755" t="s">
        <v>889</v>
      </c>
      <c r="B13" s="756">
        <v>31</v>
      </c>
      <c r="C13" s="843">
        <v>0.20131999999999997</v>
      </c>
      <c r="D13" s="843">
        <v>0.28059499999999998</v>
      </c>
      <c r="E13" s="843">
        <v>13.283983333333332</v>
      </c>
      <c r="F13" s="844">
        <v>0.17370000000000002</v>
      </c>
    </row>
    <row r="14" spans="1:10" s="742" customFormat="1">
      <c r="A14" s="755" t="s">
        <v>890</v>
      </c>
      <c r="B14" s="756">
        <v>37</v>
      </c>
      <c r="C14" s="843">
        <v>8.3674999999999999E-2</v>
      </c>
      <c r="D14" s="843">
        <v>7.0743333333333325E-2</v>
      </c>
      <c r="E14" s="843">
        <v>0.15391249999999998</v>
      </c>
      <c r="F14" s="844">
        <v>0.22152142857142856</v>
      </c>
    </row>
    <row r="15" spans="1:10" s="742" customFormat="1">
      <c r="A15" s="755" t="s">
        <v>891</v>
      </c>
      <c r="B15" s="756">
        <v>7</v>
      </c>
      <c r="C15" s="843">
        <v>1.2880000000000001E-2</v>
      </c>
      <c r="D15" s="843">
        <v>1.9400000000000001E-2</v>
      </c>
      <c r="E15" s="843">
        <v>6.5599999999999992E-2</v>
      </c>
      <c r="F15" s="844">
        <v>1.9862000000000005E-2</v>
      </c>
    </row>
    <row r="16" spans="1:10" s="742" customFormat="1">
      <c r="A16" s="755" t="s">
        <v>892</v>
      </c>
      <c r="B16" s="756">
        <v>557</v>
      </c>
      <c r="C16" s="843">
        <v>0.18140365909090922</v>
      </c>
      <c r="D16" s="843">
        <v>0.11019711409395982</v>
      </c>
      <c r="E16" s="843">
        <v>0.13598090163934429</v>
      </c>
      <c r="F16" s="844">
        <v>0.1115444444444445</v>
      </c>
    </row>
    <row r="17" spans="1:6" s="742" customFormat="1">
      <c r="A17" s="755" t="s">
        <v>893</v>
      </c>
      <c r="B17" s="756">
        <v>23</v>
      </c>
      <c r="C17" s="843">
        <v>-0.12307999999999999</v>
      </c>
      <c r="D17" s="843">
        <v>0.12543749999999998</v>
      </c>
      <c r="E17" s="843">
        <v>0.16617777777777779</v>
      </c>
      <c r="F17" s="844">
        <v>0.46596666666666664</v>
      </c>
    </row>
    <row r="18" spans="1:6" s="742" customFormat="1">
      <c r="A18" s="755" t="s">
        <v>894</v>
      </c>
      <c r="B18" s="756">
        <v>31</v>
      </c>
      <c r="C18" s="843">
        <v>0.1739</v>
      </c>
      <c r="D18" s="843">
        <v>0.15048545454545456</v>
      </c>
      <c r="E18" s="843">
        <v>0.17535454545454549</v>
      </c>
      <c r="F18" s="844">
        <v>0.12113333333333333</v>
      </c>
    </row>
    <row r="19" spans="1:6" s="742" customFormat="1">
      <c r="A19" s="755" t="s">
        <v>643</v>
      </c>
      <c r="B19" s="756">
        <v>26</v>
      </c>
      <c r="C19" s="843">
        <v>0.21364545454545458</v>
      </c>
      <c r="D19" s="843">
        <v>0.19544111111111115</v>
      </c>
      <c r="E19" s="843">
        <v>2.5990000000000003E-2</v>
      </c>
      <c r="F19" s="844">
        <v>0.2535</v>
      </c>
    </row>
    <row r="20" spans="1:6" s="742" customFormat="1">
      <c r="A20" s="755" t="s">
        <v>895</v>
      </c>
      <c r="B20" s="756">
        <v>30</v>
      </c>
      <c r="C20" s="843">
        <v>0.27599999999999997</v>
      </c>
      <c r="D20" s="843">
        <v>0.14228750000000001</v>
      </c>
      <c r="E20" s="843">
        <v>-2.6243684210526318E-2</v>
      </c>
      <c r="F20" s="844">
        <v>0.19226000000000001</v>
      </c>
    </row>
    <row r="21" spans="1:6" s="742" customFormat="1">
      <c r="A21" s="755" t="s">
        <v>896</v>
      </c>
      <c r="B21" s="756">
        <v>45</v>
      </c>
      <c r="C21" s="843">
        <v>0.19324230769230766</v>
      </c>
      <c r="D21" s="843">
        <v>0.10597500000000004</v>
      </c>
      <c r="E21" s="843">
        <v>0.22911000000000001</v>
      </c>
      <c r="F21" s="844">
        <v>0.10971153846153844</v>
      </c>
    </row>
    <row r="22" spans="1:6" s="742" customFormat="1">
      <c r="A22" s="755" t="s">
        <v>897</v>
      </c>
      <c r="B22" s="756">
        <v>164</v>
      </c>
      <c r="C22" s="843">
        <v>0.15600191489361703</v>
      </c>
      <c r="D22" s="843">
        <v>8.4642800000000004E-2</v>
      </c>
      <c r="E22" s="843">
        <v>8.6956666666666682E-2</v>
      </c>
      <c r="F22" s="844">
        <v>0.16903818181818184</v>
      </c>
    </row>
    <row r="23" spans="1:6" s="742" customFormat="1">
      <c r="A23" s="755" t="s">
        <v>898</v>
      </c>
      <c r="B23" s="756">
        <v>10</v>
      </c>
      <c r="C23" s="843">
        <v>0.312975</v>
      </c>
      <c r="D23" s="843">
        <v>0.20048888888888888</v>
      </c>
      <c r="E23" s="843">
        <v>-1.0445555555555553E-2</v>
      </c>
      <c r="F23" s="844">
        <v>0.13911875000000001</v>
      </c>
    </row>
    <row r="24" spans="1:6" s="742" customFormat="1">
      <c r="A24" s="755" t="s">
        <v>899</v>
      </c>
      <c r="B24" s="756">
        <v>38</v>
      </c>
      <c r="C24" s="843">
        <v>9.2162142857142845E-2</v>
      </c>
      <c r="D24" s="843">
        <v>0.2702</v>
      </c>
      <c r="E24" s="843">
        <v>0.10391928571428573</v>
      </c>
      <c r="F24" s="844">
        <v>-0.10218363636363635</v>
      </c>
    </row>
    <row r="25" spans="1:6" s="742" customFormat="1">
      <c r="A25" s="755" t="s">
        <v>900</v>
      </c>
      <c r="B25" s="756">
        <v>4</v>
      </c>
      <c r="C25" s="843">
        <v>0.2155</v>
      </c>
      <c r="D25" s="843">
        <v>1.7524999999999995E-2</v>
      </c>
      <c r="E25" s="843">
        <v>6.8599999999999994E-2</v>
      </c>
      <c r="F25" s="844">
        <v>0.13500000000000001</v>
      </c>
    </row>
    <row r="26" spans="1:6" s="742" customFormat="1">
      <c r="A26" s="755" t="s">
        <v>901</v>
      </c>
      <c r="B26" s="756">
        <v>76</v>
      </c>
      <c r="C26" s="843">
        <v>0.21611666666666671</v>
      </c>
      <c r="D26" s="843">
        <v>9.4822448979591842E-2</v>
      </c>
      <c r="E26" s="843">
        <v>0.12618048780487806</v>
      </c>
      <c r="F26" s="844">
        <v>0.14015833333333333</v>
      </c>
    </row>
    <row r="27" spans="1:6" s="742" customFormat="1">
      <c r="A27" s="755" t="s">
        <v>902</v>
      </c>
      <c r="B27" s="756">
        <v>19</v>
      </c>
      <c r="C27" s="843">
        <v>8.8033333333333325E-2</v>
      </c>
      <c r="D27" s="843">
        <v>-3.7148999999999988E-2</v>
      </c>
      <c r="E27" s="843">
        <v>6.0409259999999998</v>
      </c>
      <c r="F27" s="844" t="e">
        <v>#DIV/0!</v>
      </c>
    </row>
    <row r="28" spans="1:6" s="742" customFormat="1">
      <c r="A28" s="755" t="s">
        <v>903</v>
      </c>
      <c r="B28" s="756">
        <v>80</v>
      </c>
      <c r="C28" s="843">
        <v>0.1680454545454545</v>
      </c>
      <c r="D28" s="843">
        <v>0.10479307692307695</v>
      </c>
      <c r="E28" s="843">
        <v>9.6096551724137946E-2</v>
      </c>
      <c r="F28" s="844">
        <v>0.13076521739130434</v>
      </c>
    </row>
    <row r="29" spans="1:6" s="742" customFormat="1">
      <c r="A29" s="755" t="s">
        <v>904</v>
      </c>
      <c r="B29" s="756">
        <v>42</v>
      </c>
      <c r="C29" s="843">
        <v>0.1007090909090909</v>
      </c>
      <c r="D29" s="843">
        <v>0.16357148148148148</v>
      </c>
      <c r="E29" s="843">
        <v>0.14794416666666668</v>
      </c>
      <c r="F29" s="844">
        <v>0.12861363636363635</v>
      </c>
    </row>
    <row r="30" spans="1:6" s="742" customFormat="1">
      <c r="A30" s="755" t="s">
        <v>905</v>
      </c>
      <c r="B30" s="756">
        <v>49</v>
      </c>
      <c r="C30" s="843">
        <v>9.01652173913043E-2</v>
      </c>
      <c r="D30" s="843">
        <v>5.0167812500000013E-2</v>
      </c>
      <c r="E30" s="843">
        <v>0.74913823529411772</v>
      </c>
      <c r="F30" s="844">
        <v>0.17860000000000004</v>
      </c>
    </row>
    <row r="31" spans="1:6" s="742" customFormat="1">
      <c r="A31" s="755" t="s">
        <v>906</v>
      </c>
      <c r="B31" s="756">
        <v>23</v>
      </c>
      <c r="C31" s="843">
        <v>2.3650000000000001E-2</v>
      </c>
      <c r="D31" s="843">
        <v>7.6920000000000002E-2</v>
      </c>
      <c r="E31" s="843">
        <v>3.9342857142857131E-2</v>
      </c>
      <c r="F31" s="844">
        <v>0.14035</v>
      </c>
    </row>
    <row r="32" spans="1:6" s="742" customFormat="1">
      <c r="A32" s="755" t="s">
        <v>907</v>
      </c>
      <c r="B32" s="756">
        <v>598</v>
      </c>
      <c r="C32" s="843">
        <v>7.1716666666666637E-2</v>
      </c>
      <c r="D32" s="843">
        <v>0.27230353658536566</v>
      </c>
      <c r="E32" s="843">
        <v>0.69618469135802485</v>
      </c>
      <c r="F32" s="844">
        <v>-4.8395652173913034E-2</v>
      </c>
    </row>
    <row r="33" spans="1:6" s="742" customFormat="1">
      <c r="A33" s="755" t="s">
        <v>908</v>
      </c>
      <c r="B33" s="756">
        <v>281</v>
      </c>
      <c r="C33" s="843">
        <v>0.30738823529411768</v>
      </c>
      <c r="D33" s="843">
        <v>0.42345633802816912</v>
      </c>
      <c r="E33" s="843">
        <v>0.62612548672566359</v>
      </c>
      <c r="F33" s="844">
        <v>0.10348590909090909</v>
      </c>
    </row>
    <row r="34" spans="1:6" s="742" customFormat="1">
      <c r="A34" s="755" t="s">
        <v>909</v>
      </c>
      <c r="B34" s="756">
        <v>33</v>
      </c>
      <c r="C34" s="843">
        <v>0.16761666666666666</v>
      </c>
      <c r="D34" s="843">
        <v>4.1291875000000006E-2</v>
      </c>
      <c r="E34" s="843">
        <v>0.1022838888888889</v>
      </c>
      <c r="F34" s="844">
        <v>0.17142857142857143</v>
      </c>
    </row>
    <row r="35" spans="1:6" s="742" customFormat="1">
      <c r="A35" s="755" t="s">
        <v>910</v>
      </c>
      <c r="B35" s="756">
        <v>110</v>
      </c>
      <c r="C35" s="843">
        <v>0.1437188888888889</v>
      </c>
      <c r="D35" s="843">
        <v>0.13897499999999999</v>
      </c>
      <c r="E35" s="843">
        <v>0.6052948076923077</v>
      </c>
      <c r="F35" s="844">
        <v>0.15966190476190478</v>
      </c>
    </row>
    <row r="36" spans="1:6" s="742" customFormat="1">
      <c r="A36" s="755" t="s">
        <v>911</v>
      </c>
      <c r="B36" s="756">
        <v>16</v>
      </c>
      <c r="C36" s="843">
        <v>-0.36799999999999999</v>
      </c>
      <c r="D36" s="843">
        <v>-4.7299999999999972E-3</v>
      </c>
      <c r="E36" s="843">
        <v>1.6857142857142855E-2</v>
      </c>
      <c r="F36" s="844">
        <v>0.13996666666666666</v>
      </c>
    </row>
    <row r="37" spans="1:6" s="742" customFormat="1">
      <c r="A37" s="755" t="s">
        <v>912</v>
      </c>
      <c r="B37" s="756">
        <v>138</v>
      </c>
      <c r="C37" s="843">
        <v>0.14106975609756101</v>
      </c>
      <c r="D37" s="843">
        <v>0.106349294117647</v>
      </c>
      <c r="E37" s="843">
        <v>0.29346015151515148</v>
      </c>
      <c r="F37" s="844">
        <v>0.15550937500000001</v>
      </c>
    </row>
    <row r="38" spans="1:6" s="742" customFormat="1">
      <c r="A38" s="755" t="s">
        <v>913</v>
      </c>
      <c r="B38" s="756">
        <v>43</v>
      </c>
      <c r="C38" s="843">
        <v>0.17276249999999999</v>
      </c>
      <c r="D38" s="843">
        <v>0.12138344827586202</v>
      </c>
      <c r="E38" s="843">
        <v>0.17060937500000001</v>
      </c>
      <c r="F38" s="844">
        <v>0.17328000000000002</v>
      </c>
    </row>
    <row r="39" spans="1:6" s="742" customFormat="1">
      <c r="A39" s="755" t="s">
        <v>914</v>
      </c>
      <c r="B39" s="756">
        <v>110</v>
      </c>
      <c r="C39" s="843">
        <v>9.0211111111111103E-2</v>
      </c>
      <c r="D39" s="843">
        <v>0.28593124999999997</v>
      </c>
      <c r="E39" s="843">
        <v>0.2134313513513513</v>
      </c>
      <c r="F39" s="844">
        <v>0.16553066666666666</v>
      </c>
    </row>
    <row r="40" spans="1:6" s="742" customFormat="1">
      <c r="A40" s="755" t="s">
        <v>915</v>
      </c>
      <c r="B40" s="756">
        <v>62</v>
      </c>
      <c r="C40" s="843">
        <v>0.45608749999999998</v>
      </c>
      <c r="D40" s="843">
        <v>0.10134039999999998</v>
      </c>
      <c r="E40" s="843">
        <v>0.47340952380952384</v>
      </c>
      <c r="F40" s="844">
        <v>0.12253076923076923</v>
      </c>
    </row>
    <row r="41" spans="1:6" s="742" customFormat="1">
      <c r="A41" s="755" t="s">
        <v>916</v>
      </c>
      <c r="B41" s="756">
        <v>39</v>
      </c>
      <c r="C41" s="843">
        <v>0.17563000000000004</v>
      </c>
      <c r="D41" s="843">
        <v>0.17570944444444442</v>
      </c>
      <c r="E41" s="843">
        <v>0.78785849999999991</v>
      </c>
      <c r="F41" s="844">
        <v>-0.19971428571428571</v>
      </c>
    </row>
    <row r="42" spans="1:6" s="742" customFormat="1">
      <c r="A42" s="755" t="s">
        <v>917</v>
      </c>
      <c r="B42" s="756">
        <v>223</v>
      </c>
      <c r="C42" s="843">
        <v>0.16326163793103451</v>
      </c>
      <c r="D42" s="843">
        <v>0.1044040579710145</v>
      </c>
      <c r="E42" s="843">
        <v>6.7670186915887887E-2</v>
      </c>
      <c r="F42" s="844">
        <v>4.6318604651162783E-2</v>
      </c>
    </row>
    <row r="43" spans="1:6" s="742" customFormat="1">
      <c r="A43" s="755" t="s">
        <v>918</v>
      </c>
      <c r="B43" s="756">
        <v>92</v>
      </c>
      <c r="C43" s="843">
        <v>9.3786896551724119E-2</v>
      </c>
      <c r="D43" s="843">
        <v>0.25210224489795913</v>
      </c>
      <c r="E43" s="843">
        <v>0.12178295454545453</v>
      </c>
      <c r="F43" s="844">
        <v>9.9491904761904754E-2</v>
      </c>
    </row>
    <row r="44" spans="1:6" s="742" customFormat="1">
      <c r="A44" s="755" t="s">
        <v>919</v>
      </c>
      <c r="B44" s="756">
        <v>14</v>
      </c>
      <c r="C44" s="843">
        <v>9.7360000000000002E-2</v>
      </c>
      <c r="D44" s="843">
        <v>9.8360000000000003E-2</v>
      </c>
      <c r="E44" s="843">
        <v>0.11465714285714286</v>
      </c>
      <c r="F44" s="844">
        <v>0.27989999999999998</v>
      </c>
    </row>
    <row r="45" spans="1:6" s="742" customFormat="1">
      <c r="A45" s="755" t="s">
        <v>920</v>
      </c>
      <c r="B45" s="756">
        <v>32</v>
      </c>
      <c r="C45" s="843">
        <v>8.733076923076924E-2</v>
      </c>
      <c r="D45" s="843">
        <v>0.14448380952380954</v>
      </c>
      <c r="E45" s="843">
        <v>-2.3566666666666666E-2</v>
      </c>
      <c r="F45" s="844">
        <v>8.3739999999999995E-2</v>
      </c>
    </row>
    <row r="46" spans="1:6" s="742" customFormat="1">
      <c r="A46" s="755" t="s">
        <v>921</v>
      </c>
      <c r="B46" s="756">
        <v>19</v>
      </c>
      <c r="C46" s="843">
        <v>0.31374999999999997</v>
      </c>
      <c r="D46" s="843">
        <v>-0.14713666666666667</v>
      </c>
      <c r="E46" s="843">
        <v>0.32349999999999995</v>
      </c>
      <c r="F46" s="844">
        <v>0.6100000000000001</v>
      </c>
    </row>
    <row r="47" spans="1:6" s="742" customFormat="1">
      <c r="A47" s="755" t="s">
        <v>922</v>
      </c>
      <c r="B47" s="756">
        <v>254</v>
      </c>
      <c r="C47" s="843">
        <v>0.10834685714285713</v>
      </c>
      <c r="D47" s="843">
        <v>0.19900759398496237</v>
      </c>
      <c r="E47" s="843">
        <v>0.50988745098039223</v>
      </c>
      <c r="F47" s="844">
        <v>0.14843809523809526</v>
      </c>
    </row>
    <row r="48" spans="1:6" s="742" customFormat="1">
      <c r="A48" s="755" t="s">
        <v>923</v>
      </c>
      <c r="B48" s="756">
        <v>131</v>
      </c>
      <c r="C48" s="843">
        <v>0.15795806451612904</v>
      </c>
      <c r="D48" s="843">
        <v>0.20156749999999996</v>
      </c>
      <c r="E48" s="843">
        <v>0.29488985507246374</v>
      </c>
      <c r="F48" s="844">
        <v>6.4732500000000012E-2</v>
      </c>
    </row>
    <row r="49" spans="1:6" s="742" customFormat="1">
      <c r="A49" s="755" t="s">
        <v>924</v>
      </c>
      <c r="B49" s="756">
        <v>138</v>
      </c>
      <c r="C49" s="843">
        <v>0.26829999999999993</v>
      </c>
      <c r="D49" s="843">
        <v>0.20452035087719289</v>
      </c>
      <c r="E49" s="843">
        <v>0.18591207317073169</v>
      </c>
      <c r="F49" s="844">
        <v>0.1211709677419355</v>
      </c>
    </row>
    <row r="50" spans="1:6" s="742" customFormat="1">
      <c r="A50" s="755" t="s">
        <v>689</v>
      </c>
      <c r="B50" s="756">
        <v>32</v>
      </c>
      <c r="C50" s="843">
        <v>0.3951904761904762</v>
      </c>
      <c r="D50" s="843">
        <v>0.15822272727272732</v>
      </c>
      <c r="E50" s="843">
        <v>2.4200000000000003E-2</v>
      </c>
      <c r="F50" s="844">
        <v>0.1028923076923077</v>
      </c>
    </row>
    <row r="51" spans="1:6" s="742" customFormat="1">
      <c r="A51" s="755" t="s">
        <v>925</v>
      </c>
      <c r="B51" s="756">
        <v>34</v>
      </c>
      <c r="C51" s="843">
        <v>0.11238333333333334</v>
      </c>
      <c r="D51" s="843">
        <v>1.5967368421052629E-2</v>
      </c>
      <c r="E51" s="843">
        <v>0.17720555555555553</v>
      </c>
      <c r="F51" s="844">
        <v>8.9340000000000003E-2</v>
      </c>
    </row>
    <row r="52" spans="1:6" s="742" customFormat="1">
      <c r="A52" s="755" t="s">
        <v>926</v>
      </c>
      <c r="B52" s="756">
        <v>69</v>
      </c>
      <c r="C52" s="843">
        <v>0.14927619047619048</v>
      </c>
      <c r="D52" s="843">
        <v>7.5841891891891888E-2</v>
      </c>
      <c r="E52" s="843">
        <v>0.78591133333333318</v>
      </c>
      <c r="F52" s="844">
        <v>0.21713076923076924</v>
      </c>
    </row>
    <row r="53" spans="1:6" s="742" customFormat="1">
      <c r="A53" s="755" t="s">
        <v>710</v>
      </c>
      <c r="B53" s="756">
        <v>127</v>
      </c>
      <c r="C53" s="843">
        <v>6.6831999999999989E-2</v>
      </c>
      <c r="D53" s="843">
        <v>0.11551042553191491</v>
      </c>
      <c r="E53" s="843">
        <v>7.7522647058823516E-2</v>
      </c>
      <c r="F53" s="844">
        <v>0.17369999999999999</v>
      </c>
    </row>
    <row r="54" spans="1:6" s="742" customFormat="1">
      <c r="A54" s="755" t="s">
        <v>927</v>
      </c>
      <c r="B54" s="756">
        <v>73</v>
      </c>
      <c r="C54" s="843">
        <v>0.10346250000000001</v>
      </c>
      <c r="D54" s="843">
        <v>0.11055135135135132</v>
      </c>
      <c r="E54" s="843">
        <v>0.14819903846153848</v>
      </c>
      <c r="F54" s="844">
        <v>0.16414999999999999</v>
      </c>
    </row>
    <row r="55" spans="1:6" s="742" customFormat="1">
      <c r="A55" s="755" t="s">
        <v>928</v>
      </c>
      <c r="B55" s="756">
        <v>21</v>
      </c>
      <c r="C55" s="843">
        <v>0.1052375</v>
      </c>
      <c r="D55" s="843">
        <v>6.9009090909090909E-2</v>
      </c>
      <c r="E55" s="843">
        <v>0.17003124999999999</v>
      </c>
      <c r="F55" s="844">
        <v>0.13428888888888887</v>
      </c>
    </row>
    <row r="56" spans="1:6" s="742" customFormat="1">
      <c r="A56" s="755" t="s">
        <v>929</v>
      </c>
      <c r="B56" s="756">
        <v>27</v>
      </c>
      <c r="C56" s="843">
        <v>0.11962076923076922</v>
      </c>
      <c r="D56" s="843">
        <v>8.2870000000000013E-2</v>
      </c>
      <c r="E56" s="843">
        <v>8.1812666666666672E-2</v>
      </c>
      <c r="F56" s="844">
        <v>0.12134285714285716</v>
      </c>
    </row>
    <row r="57" spans="1:6" s="742" customFormat="1">
      <c r="A57" s="755" t="s">
        <v>930</v>
      </c>
      <c r="B57" s="756">
        <v>51</v>
      </c>
      <c r="C57" s="843">
        <v>8.3294545454545454E-2</v>
      </c>
      <c r="D57" s="843">
        <v>3.8176363636363633E-2</v>
      </c>
      <c r="E57" s="843">
        <v>4.8644166666666676E-2</v>
      </c>
      <c r="F57" s="844">
        <v>0.21749166666666664</v>
      </c>
    </row>
    <row r="58" spans="1:6" s="742" customFormat="1">
      <c r="A58" s="755" t="s">
        <v>931</v>
      </c>
      <c r="B58" s="756">
        <v>600</v>
      </c>
      <c r="C58" s="843">
        <v>9.4692432432432486E-2</v>
      </c>
      <c r="D58" s="843">
        <v>0.10789090909090909</v>
      </c>
      <c r="E58" s="843">
        <v>7.4268181818181817E-2</v>
      </c>
      <c r="F58" s="844">
        <v>7.588695652173913E-2</v>
      </c>
    </row>
    <row r="59" spans="1:6" s="742" customFormat="1">
      <c r="A59" s="755" t="s">
        <v>932</v>
      </c>
      <c r="B59" s="756">
        <v>116</v>
      </c>
      <c r="C59" s="843">
        <v>0.12198857142857143</v>
      </c>
      <c r="D59" s="843">
        <v>8.5045652173913022E-2</v>
      </c>
      <c r="E59" s="843">
        <v>0.12598822580645164</v>
      </c>
      <c r="F59" s="844">
        <v>0.12506315789473688</v>
      </c>
    </row>
    <row r="60" spans="1:6" s="742" customFormat="1">
      <c r="A60" s="755" t="s">
        <v>933</v>
      </c>
      <c r="B60" s="756">
        <v>68</v>
      </c>
      <c r="C60" s="843">
        <v>0.23299999999999998</v>
      </c>
      <c r="D60" s="843">
        <v>5.8830769230769242E-2</v>
      </c>
      <c r="E60" s="843">
        <v>6.9828000000000001E-2</v>
      </c>
      <c r="F60" s="844">
        <v>7.2120000000000004E-2</v>
      </c>
    </row>
    <row r="61" spans="1:6" s="742" customFormat="1">
      <c r="A61" s="755" t="s">
        <v>934</v>
      </c>
      <c r="B61" s="756">
        <v>16</v>
      </c>
      <c r="C61" s="843">
        <v>-5.9109999999999996E-2</v>
      </c>
      <c r="D61" s="843">
        <v>0.15791928571428571</v>
      </c>
      <c r="E61" s="843">
        <v>0.40608199999999994</v>
      </c>
      <c r="F61" s="844">
        <v>0.12333333333333334</v>
      </c>
    </row>
    <row r="62" spans="1:6" s="742" customFormat="1">
      <c r="A62" s="755" t="s">
        <v>935</v>
      </c>
      <c r="B62" s="756">
        <v>4</v>
      </c>
      <c r="C62" s="843">
        <v>0.49725000000000003</v>
      </c>
      <c r="D62" s="843">
        <v>0.12122499999999999</v>
      </c>
      <c r="E62" s="843">
        <v>0.14000000000000001</v>
      </c>
      <c r="F62" s="844">
        <v>9.4710000000000003E-2</v>
      </c>
    </row>
    <row r="63" spans="1:6" s="742" customFormat="1">
      <c r="A63" s="755" t="s">
        <v>936</v>
      </c>
      <c r="B63" s="756">
        <v>174</v>
      </c>
      <c r="C63" s="843">
        <v>0.40675000000000006</v>
      </c>
      <c r="D63" s="843">
        <v>0.2956583720930232</v>
      </c>
      <c r="E63" s="843">
        <v>0.41113274509803915</v>
      </c>
      <c r="F63" s="844">
        <v>0.23791304347826089</v>
      </c>
    </row>
    <row r="64" spans="1:6" s="742" customFormat="1">
      <c r="A64" s="755" t="s">
        <v>937</v>
      </c>
      <c r="B64" s="756">
        <v>23</v>
      </c>
      <c r="C64" s="843">
        <v>0.70779999999999987</v>
      </c>
      <c r="D64" s="843">
        <v>0.21857272727272728</v>
      </c>
      <c r="E64" s="843">
        <v>0.39957500000000001</v>
      </c>
      <c r="F64" s="844">
        <v>0.10131111111111113</v>
      </c>
    </row>
    <row r="65" spans="1:6" s="742" customFormat="1">
      <c r="A65" s="755" t="s">
        <v>938</v>
      </c>
      <c r="B65" s="756">
        <v>101</v>
      </c>
      <c r="C65" s="843">
        <v>0.28633333333333327</v>
      </c>
      <c r="D65" s="843">
        <v>7.7213384615384614E-2</v>
      </c>
      <c r="E65" s="843">
        <v>0.53965294117647067</v>
      </c>
      <c r="F65" s="844">
        <v>0.21069230769230765</v>
      </c>
    </row>
    <row r="66" spans="1:6" s="742" customFormat="1">
      <c r="A66" s="755" t="s">
        <v>939</v>
      </c>
      <c r="B66" s="756">
        <v>25</v>
      </c>
      <c r="C66" s="843">
        <v>0.15050625000000001</v>
      </c>
      <c r="D66" s="843">
        <v>5.9018421052631581E-2</v>
      </c>
      <c r="E66" s="843">
        <v>4.9496666666666661E-2</v>
      </c>
      <c r="F66" s="844">
        <v>0.13652</v>
      </c>
    </row>
    <row r="67" spans="1:6" s="742" customFormat="1">
      <c r="A67" s="755" t="s">
        <v>940</v>
      </c>
      <c r="B67" s="756">
        <v>7</v>
      </c>
      <c r="C67" s="843">
        <v>0.26350000000000001</v>
      </c>
      <c r="D67" s="843">
        <v>6.9949999999999998E-2</v>
      </c>
      <c r="E67" s="843">
        <v>0.06</v>
      </c>
      <c r="F67" s="844">
        <v>-2.0899999999999998E-2</v>
      </c>
    </row>
    <row r="68" spans="1:6" s="742" customFormat="1">
      <c r="A68" s="755" t="s">
        <v>941</v>
      </c>
      <c r="B68" s="756">
        <v>48</v>
      </c>
      <c r="C68" s="843">
        <v>7.8661515151515149E-2</v>
      </c>
      <c r="D68" s="843">
        <v>6.4126904761904746E-2</v>
      </c>
      <c r="E68" s="843">
        <v>3.7984871794871811E-2</v>
      </c>
      <c r="F68" s="844">
        <v>7.2288888888888889E-2</v>
      </c>
    </row>
    <row r="69" spans="1:6" s="742" customFormat="1">
      <c r="A69" s="755" t="s">
        <v>942</v>
      </c>
      <c r="B69" s="756">
        <v>74</v>
      </c>
      <c r="C69" s="843">
        <v>0.23591999999999999</v>
      </c>
      <c r="D69" s="843">
        <v>3.7385714285714321E-2</v>
      </c>
      <c r="E69" s="843">
        <v>9.6145454545454416E-3</v>
      </c>
      <c r="F69" s="844">
        <v>3.3333333333333333E-2</v>
      </c>
    </row>
    <row r="70" spans="1:6" s="742" customFormat="1">
      <c r="A70" s="755" t="s">
        <v>943</v>
      </c>
      <c r="B70" s="756">
        <v>20</v>
      </c>
      <c r="C70" s="843">
        <v>4.596666666666667E-2</v>
      </c>
      <c r="D70" s="843">
        <v>3.3178571428571425E-2</v>
      </c>
      <c r="E70" s="843">
        <v>9.6000000000000002E-2</v>
      </c>
      <c r="F70" s="844">
        <v>9.98E-2</v>
      </c>
    </row>
    <row r="71" spans="1:6" s="742" customFormat="1">
      <c r="A71" s="755" t="s">
        <v>944</v>
      </c>
      <c r="B71" s="756">
        <v>223</v>
      </c>
      <c r="C71" s="843">
        <v>0.11296355555555562</v>
      </c>
      <c r="D71" s="843">
        <v>9.5720324324324327E-2</v>
      </c>
      <c r="E71" s="843">
        <v>0.12692231578947358</v>
      </c>
      <c r="F71" s="844">
        <v>0.11285918181818183</v>
      </c>
    </row>
    <row r="72" spans="1:6" s="742" customFormat="1">
      <c r="A72" s="755" t="s">
        <v>945</v>
      </c>
      <c r="B72" s="756">
        <v>18</v>
      </c>
      <c r="C72" s="843">
        <v>0.39349999999999996</v>
      </c>
      <c r="D72" s="843">
        <v>0.10161666666666665</v>
      </c>
      <c r="E72" s="843">
        <v>0.95046666666666646</v>
      </c>
      <c r="F72" s="844" t="e">
        <v>#DIV/0!</v>
      </c>
    </row>
    <row r="73" spans="1:6" s="742" customFormat="1">
      <c r="A73" s="755" t="s">
        <v>946</v>
      </c>
      <c r="B73" s="756">
        <v>12</v>
      </c>
      <c r="C73" s="843">
        <v>0.10715</v>
      </c>
      <c r="D73" s="843">
        <v>8.7419999999999998E-2</v>
      </c>
      <c r="E73" s="843">
        <v>9.0000000000000011E-3</v>
      </c>
      <c r="F73" s="844" t="e">
        <v>#DIV/0!</v>
      </c>
    </row>
    <row r="74" spans="1:6" s="742" customFormat="1">
      <c r="A74" s="755" t="s">
        <v>947</v>
      </c>
      <c r="B74" s="756">
        <v>60</v>
      </c>
      <c r="C74" s="843">
        <v>4.2789999999999981E-2</v>
      </c>
      <c r="D74" s="843">
        <v>0.16003758620689656</v>
      </c>
      <c r="E74" s="843">
        <v>5.1038888888888891E-2</v>
      </c>
      <c r="F74" s="844">
        <v>7.8333333333333324E-2</v>
      </c>
    </row>
    <row r="75" spans="1:6" s="742" customFormat="1">
      <c r="A75" s="755" t="s">
        <v>948</v>
      </c>
      <c r="B75" s="756">
        <v>57</v>
      </c>
      <c r="C75" s="843">
        <v>0.10984117647058823</v>
      </c>
      <c r="D75" s="843">
        <v>7.7886923076923062E-2</v>
      </c>
      <c r="E75" s="843">
        <v>7.0694687500000006E-2</v>
      </c>
      <c r="F75" s="844">
        <v>0.13516363636363635</v>
      </c>
    </row>
    <row r="76" spans="1:6" s="742" customFormat="1">
      <c r="A76" s="755" t="s">
        <v>765</v>
      </c>
      <c r="B76" s="756">
        <v>1</v>
      </c>
      <c r="C76" s="843">
        <v>-6.2800000000000009E-2</v>
      </c>
      <c r="D76" s="843">
        <v>5.6299999999999996E-2</v>
      </c>
      <c r="E76" s="843">
        <v>1.72E-2</v>
      </c>
      <c r="F76" s="844" t="e">
        <v>#DIV/0!</v>
      </c>
    </row>
    <row r="77" spans="1:6" s="742" customFormat="1">
      <c r="A77" s="755" t="s">
        <v>949</v>
      </c>
      <c r="B77" s="756">
        <v>70</v>
      </c>
      <c r="C77" s="843">
        <v>7.0419259259259265E-2</v>
      </c>
      <c r="D77" s="843">
        <v>6.2767619047619044E-2</v>
      </c>
      <c r="E77" s="843">
        <v>0.15182820512820516</v>
      </c>
      <c r="F77" s="844">
        <v>0.11153600000000001</v>
      </c>
    </row>
    <row r="78" spans="1:6" s="742" customFormat="1">
      <c r="A78" s="755" t="s">
        <v>950</v>
      </c>
      <c r="B78" s="756">
        <v>30</v>
      </c>
      <c r="C78" s="843">
        <v>0.25143333333333334</v>
      </c>
      <c r="D78" s="843">
        <v>0.17119444444444448</v>
      </c>
      <c r="E78" s="843">
        <v>0.15070304347826086</v>
      </c>
      <c r="F78" s="844">
        <v>0.14008933333333334</v>
      </c>
    </row>
    <row r="79" spans="1:6" s="742" customFormat="1">
      <c r="A79" s="755" t="s">
        <v>951</v>
      </c>
      <c r="B79" s="756">
        <v>15</v>
      </c>
      <c r="C79" s="843">
        <v>0.28625000000000006</v>
      </c>
      <c r="D79" s="843">
        <v>0.13023333333333334</v>
      </c>
      <c r="E79" s="843">
        <v>1.5692857142857137E-2</v>
      </c>
      <c r="F79" s="844">
        <v>9.4651999999999986E-2</v>
      </c>
    </row>
    <row r="80" spans="1:6" s="742" customFormat="1">
      <c r="A80" s="755" t="s">
        <v>952</v>
      </c>
      <c r="B80" s="756">
        <v>69</v>
      </c>
      <c r="C80" s="843">
        <v>0.30973793103448277</v>
      </c>
      <c r="D80" s="843">
        <v>7.3269285714285717E-2</v>
      </c>
      <c r="E80" s="843">
        <v>0.10141500000000002</v>
      </c>
      <c r="F80" s="844">
        <v>0.16125</v>
      </c>
    </row>
    <row r="81" spans="1:6" s="742" customFormat="1">
      <c r="A81" s="755" t="s">
        <v>953</v>
      </c>
      <c r="B81" s="756">
        <v>15</v>
      </c>
      <c r="C81" s="843">
        <v>9.2018181818181818E-2</v>
      </c>
      <c r="D81" s="843">
        <v>4.3181538461538473E-2</v>
      </c>
      <c r="E81" s="843">
        <v>4.6272142857142859E-2</v>
      </c>
      <c r="F81" s="844">
        <v>3.8890000000000015E-2</v>
      </c>
    </row>
    <row r="82" spans="1:6" s="742" customFormat="1">
      <c r="A82" s="755" t="s">
        <v>954</v>
      </c>
      <c r="B82" s="756">
        <v>13</v>
      </c>
      <c r="C82" s="843">
        <v>0.17587142857142857</v>
      </c>
      <c r="D82" s="843">
        <v>4.9611111111111106E-2</v>
      </c>
      <c r="E82" s="843">
        <v>6.0283333333333335E-2</v>
      </c>
      <c r="F82" s="844">
        <v>0.11055999999999999</v>
      </c>
    </row>
    <row r="83" spans="1:6" s="742" customFormat="1">
      <c r="A83" s="755" t="s">
        <v>955</v>
      </c>
      <c r="B83" s="756">
        <v>63</v>
      </c>
      <c r="C83" s="843">
        <v>-0.2217833333333333</v>
      </c>
      <c r="D83" s="843">
        <v>0.20712521739130429</v>
      </c>
      <c r="E83" s="843">
        <v>7.0557000000000009E-2</v>
      </c>
      <c r="F83" s="844">
        <v>0.11249363636363635</v>
      </c>
    </row>
    <row r="84" spans="1:6" s="742" customFormat="1">
      <c r="A84" s="755" t="s">
        <v>956</v>
      </c>
      <c r="B84" s="756">
        <v>78</v>
      </c>
      <c r="C84" s="843">
        <v>0.15264542857142857</v>
      </c>
      <c r="D84" s="843">
        <v>0.13322980769230772</v>
      </c>
      <c r="E84" s="843">
        <v>2.0290370370370372E-2</v>
      </c>
      <c r="F84" s="844">
        <v>8.1696666666666681E-2</v>
      </c>
    </row>
    <row r="85" spans="1:6" s="742" customFormat="1">
      <c r="A85" s="755" t="s">
        <v>957</v>
      </c>
      <c r="B85" s="756">
        <v>3</v>
      </c>
      <c r="C85" s="843">
        <v>0.31925000000000003</v>
      </c>
      <c r="D85" s="843">
        <v>0.12423333333333333</v>
      </c>
      <c r="E85" s="843">
        <v>0.10800000000000001</v>
      </c>
      <c r="F85" s="844">
        <v>2.0099999999999996E-2</v>
      </c>
    </row>
    <row r="86" spans="1:6" s="742" customFormat="1">
      <c r="A86" s="755" t="s">
        <v>958</v>
      </c>
      <c r="B86" s="756">
        <v>68</v>
      </c>
      <c r="C86" s="843">
        <v>0.26110608695652171</v>
      </c>
      <c r="D86" s="843">
        <v>8.8798913043478242E-2</v>
      </c>
      <c r="E86" s="843">
        <v>0.16620333333333334</v>
      </c>
      <c r="F86" s="844">
        <v>0.1615536363636364</v>
      </c>
    </row>
    <row r="87" spans="1:6" s="742" customFormat="1">
      <c r="A87" s="755" t="s">
        <v>959</v>
      </c>
      <c r="B87" s="756">
        <v>30</v>
      </c>
      <c r="C87" s="843">
        <v>0.22156842105263164</v>
      </c>
      <c r="D87" s="843">
        <v>0.15696923076923081</v>
      </c>
      <c r="E87" s="843">
        <v>0.11841954545454546</v>
      </c>
      <c r="F87" s="844">
        <v>0.17283571428571434</v>
      </c>
    </row>
    <row r="88" spans="1:6" s="742" customFormat="1">
      <c r="A88" s="755" t="s">
        <v>960</v>
      </c>
      <c r="B88" s="756">
        <v>8</v>
      </c>
      <c r="C88" s="843">
        <v>0.51389999999999991</v>
      </c>
      <c r="D88" s="843">
        <v>0.15536666666666668</v>
      </c>
      <c r="E88" s="843">
        <v>-2.3280000000000002E-2</v>
      </c>
      <c r="F88" s="844">
        <v>0.12</v>
      </c>
    </row>
    <row r="89" spans="1:6" s="742" customFormat="1">
      <c r="A89" s="755" t="s">
        <v>961</v>
      </c>
      <c r="B89" s="756">
        <v>13</v>
      </c>
      <c r="C89" s="843">
        <v>0.28017142857142863</v>
      </c>
      <c r="D89" s="843">
        <v>0.11900000000000001</v>
      </c>
      <c r="E89" s="843">
        <v>0.12089999999999999</v>
      </c>
      <c r="F89" s="844">
        <v>8.3066666666666664E-2</v>
      </c>
    </row>
    <row r="90" spans="1:6" s="742" customFormat="1">
      <c r="A90" s="755" t="s">
        <v>525</v>
      </c>
      <c r="B90" s="756">
        <v>91</v>
      </c>
      <c r="C90" s="843">
        <v>1.9499999999999993E-2</v>
      </c>
      <c r="D90" s="843">
        <v>0.30379758620689651</v>
      </c>
      <c r="E90" s="843">
        <v>0.1968928947368421</v>
      </c>
      <c r="F90" s="844">
        <v>0.23587333333333332</v>
      </c>
    </row>
    <row r="91" spans="1:6" s="742" customFormat="1">
      <c r="A91" s="755" t="s">
        <v>526</v>
      </c>
      <c r="B91" s="756">
        <v>33</v>
      </c>
      <c r="C91" s="843">
        <v>0.25666666666666665</v>
      </c>
      <c r="D91" s="843">
        <v>0.25942999999999999</v>
      </c>
      <c r="E91" s="843">
        <v>0.21680949999999996</v>
      </c>
      <c r="F91" s="844">
        <v>0.96450000000000002</v>
      </c>
    </row>
    <row r="92" spans="1:6" s="742" customFormat="1">
      <c r="A92" s="755" t="s">
        <v>527</v>
      </c>
      <c r="B92" s="756">
        <v>390</v>
      </c>
      <c r="C92" s="843">
        <v>0.22168918918918926</v>
      </c>
      <c r="D92" s="843">
        <v>0.201011923076923</v>
      </c>
      <c r="E92" s="843">
        <v>0.22491209999999992</v>
      </c>
      <c r="F92" s="844">
        <v>0.2045827586206897</v>
      </c>
    </row>
    <row r="93" spans="1:6" s="742" customFormat="1">
      <c r="A93" s="755" t="s">
        <v>762</v>
      </c>
      <c r="B93" s="756">
        <v>28</v>
      </c>
      <c r="C93" s="843">
        <v>0.56846874999999997</v>
      </c>
      <c r="D93" s="843">
        <v>0.1520936</v>
      </c>
      <c r="E93" s="843">
        <v>4.2701052631578945E-2</v>
      </c>
      <c r="F93" s="844">
        <v>0.2</v>
      </c>
    </row>
    <row r="94" spans="1:6" s="742" customFormat="1">
      <c r="A94" s="755" t="s">
        <v>962</v>
      </c>
      <c r="B94" s="756">
        <v>16</v>
      </c>
      <c r="C94" s="843">
        <v>-7.1099999999999997E-2</v>
      </c>
      <c r="D94" s="843">
        <v>0.1849777777777778</v>
      </c>
      <c r="E94" s="843">
        <v>0.19273857142857143</v>
      </c>
      <c r="F94" s="844">
        <v>0.2505</v>
      </c>
    </row>
    <row r="95" spans="1:6" s="742" customFormat="1">
      <c r="A95" s="755" t="s">
        <v>963</v>
      </c>
      <c r="B95" s="756">
        <v>79</v>
      </c>
      <c r="C95" s="843">
        <v>0.10047142857142857</v>
      </c>
      <c r="D95" s="843">
        <v>3.5115849056603768E-2</v>
      </c>
      <c r="E95" s="843">
        <v>0.14844099999999996</v>
      </c>
      <c r="F95" s="844">
        <v>0.15289473684210531</v>
      </c>
    </row>
    <row r="96" spans="1:6" s="742" customFormat="1">
      <c r="A96" s="755" t="s">
        <v>964</v>
      </c>
      <c r="B96" s="756">
        <v>49</v>
      </c>
      <c r="C96" s="843">
        <v>0.20716666666666669</v>
      </c>
      <c r="D96" s="843">
        <v>0.1681304347826087</v>
      </c>
      <c r="E96" s="843">
        <v>0.23482666666666666</v>
      </c>
      <c r="F96" s="844">
        <v>1.8564285714285717E-2</v>
      </c>
    </row>
    <row r="97" spans="1:10" s="742" customFormat="1">
      <c r="A97" s="755" t="s">
        <v>670</v>
      </c>
      <c r="B97" s="756">
        <v>15</v>
      </c>
      <c r="C97" s="843">
        <v>1.7019999999999993E-2</v>
      </c>
      <c r="D97" s="843">
        <v>5.765E-2</v>
      </c>
      <c r="E97" s="843">
        <v>0.175344</v>
      </c>
      <c r="F97" s="844">
        <v>0.1522</v>
      </c>
    </row>
    <row r="98" spans="1:10" s="742" customFormat="1">
      <c r="A98" s="755" t="s">
        <v>965</v>
      </c>
      <c r="B98" s="756">
        <v>18</v>
      </c>
      <c r="C98" s="843">
        <v>0.24561111111111111</v>
      </c>
      <c r="D98" s="843">
        <v>0.14991818181818178</v>
      </c>
      <c r="E98" s="843">
        <v>0.11607699999999999</v>
      </c>
      <c r="F98" s="844">
        <v>7.718333333333334E-2</v>
      </c>
    </row>
    <row r="99" spans="1:10" s="742" customFormat="1">
      <c r="A99" s="755" t="s">
        <v>966</v>
      </c>
      <c r="B99" s="756">
        <v>4</v>
      </c>
      <c r="C99" s="843">
        <v>0.12926666666666667</v>
      </c>
      <c r="D99" s="843">
        <v>3.783333333333333E-2</v>
      </c>
      <c r="E99" s="843">
        <v>7.7000000000000013E-2</v>
      </c>
      <c r="F99" s="844">
        <v>9.5799999999999996E-2</v>
      </c>
    </row>
    <row r="100" spans="1:10" s="742" customFormat="1">
      <c r="A100" s="755" t="s">
        <v>773</v>
      </c>
      <c r="B100" s="756">
        <v>35</v>
      </c>
      <c r="C100" s="843">
        <v>0.44055555555555548</v>
      </c>
      <c r="D100" s="843">
        <v>0.14159818181818185</v>
      </c>
      <c r="E100" s="843">
        <v>0.16758800000000001</v>
      </c>
      <c r="F100" s="844">
        <v>0.22229230769230762</v>
      </c>
    </row>
    <row r="101" spans="1:10" s="742" customFormat="1">
      <c r="A101" s="755" t="s">
        <v>967</v>
      </c>
      <c r="B101" s="756">
        <v>15</v>
      </c>
      <c r="C101" s="843">
        <v>0.10420533333333333</v>
      </c>
      <c r="D101" s="843">
        <v>4.0473333333333326E-2</v>
      </c>
      <c r="E101" s="843">
        <v>4.284466666666667E-2</v>
      </c>
      <c r="F101" s="844">
        <v>6.1039999999999997E-2</v>
      </c>
    </row>
    <row r="102" spans="1:10" s="743" customFormat="1">
      <c r="A102" s="755" t="s">
        <v>968</v>
      </c>
      <c r="B102" s="756">
        <v>16</v>
      </c>
      <c r="C102" s="843">
        <v>0.10621111111111112</v>
      </c>
      <c r="D102" s="843">
        <v>0.14351818181818179</v>
      </c>
      <c r="E102" s="843">
        <v>6.0477777777777776E-2</v>
      </c>
      <c r="F102" s="844">
        <v>8.1899999999999987E-2</v>
      </c>
      <c r="G102" s="742"/>
      <c r="H102" s="742"/>
      <c r="I102" s="742"/>
      <c r="J102" s="742"/>
    </row>
    <row r="103" spans="1:10" s="743" customFormat="1">
      <c r="A103" s="755" t="s">
        <v>969</v>
      </c>
      <c r="B103" s="756">
        <v>7165</v>
      </c>
      <c r="C103" s="843">
        <v>0.17003972249752233</v>
      </c>
      <c r="D103" s="843">
        <v>0.13899000000000014</v>
      </c>
      <c r="E103" s="843">
        <v>0.31780260559190893</v>
      </c>
      <c r="F103" s="844">
        <v>0.1305179419889502</v>
      </c>
    </row>
    <row r="104" spans="1:10" s="743" customFormat="1">
      <c r="A104" s="757" t="s">
        <v>970</v>
      </c>
      <c r="B104" s="758">
        <v>5649</v>
      </c>
      <c r="C104" s="845">
        <v>0.17808674788026521</v>
      </c>
      <c r="D104" s="845">
        <v>0.1480667032418195</v>
      </c>
      <c r="E104" s="845">
        <v>0.3777182874590328</v>
      </c>
      <c r="F104" s="846">
        <v>0.14056901101708197</v>
      </c>
    </row>
  </sheetData>
  <mergeCells count="8">
    <mergeCell ref="B6:G6"/>
    <mergeCell ref="B7:G7"/>
    <mergeCell ref="B1:G1"/>
    <mergeCell ref="B2:G2"/>
    <mergeCell ref="B3:E3"/>
    <mergeCell ref="F3:G3"/>
    <mergeCell ref="B4:G4"/>
    <mergeCell ref="B5:G5"/>
  </mergeCells>
  <hyperlinks>
    <hyperlink ref="B2" r:id="rId1" xr:uid="{1C064657-E17D-6145-9C73-895C9FBD6B81}"/>
    <hyperlink ref="B4" r:id="rId2" xr:uid="{AE6E49F8-99AE-F54B-B397-A79776345724}"/>
    <hyperlink ref="B5" r:id="rId3" display="http://www.stern.nyu.edu/~adamodar/New_Home_Page/data.html" xr:uid="{AEE76FF4-6196-194B-B55B-EE85213DBB75}"/>
    <hyperlink ref="B6" r:id="rId4" display="http://www.stern.nyu.edu/~adamodar/pc/datasets/indname.xls" xr:uid="{FAB2786F-380C-8E49-BA48-FD0BB59A1820}"/>
    <hyperlink ref="B7" r:id="rId5" display="http://www.stern.nyu.edu/~adamodar/New_Home_Page/datafile/variable.htm" xr:uid="{A93CB7B9-0808-6048-A719-145C954DD579}"/>
  </hyperlinks>
  <pageMargins left="0.75" right="0.75" top="1" bottom="1" header="0.5" footer="0.5"/>
  <pageSetup orientation="portrait" horizontalDpi="4294967292" verticalDpi="4294967292"/>
  <headerFooter alignWithMargins="0"/>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0a55209b67e2c3a7f46b591ce13950e9">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c49ccb1ab76a2e6c178c18d1b3ea34b2"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Props1.xml><?xml version="1.0" encoding="utf-8"?>
<ds:datastoreItem xmlns:ds="http://schemas.openxmlformats.org/officeDocument/2006/customXml" ds:itemID="{E4E33FEE-1117-4802-A5BB-FA073D1C6E04}">
  <ds:schemaRefs>
    <ds:schemaRef ds:uri="http://schemas.microsoft.com/sharepoint/v3/contenttype/forms"/>
  </ds:schemaRefs>
</ds:datastoreItem>
</file>

<file path=customXml/itemProps2.xml><?xml version="1.0" encoding="utf-8"?>
<ds:datastoreItem xmlns:ds="http://schemas.openxmlformats.org/officeDocument/2006/customXml" ds:itemID="{21C2336B-32F3-4B0B-A0C0-82336652D2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73c8a-1af7-4183-b158-1cd1291da2b6"/>
    <ds:schemaRef ds:uri="8c89d0e4-a8d9-42ba-a773-c59a56f7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81089C-6E2A-4FD7-A402-55E9C86C97B5}">
  <ds:schemaRefs>
    <ds:schemaRef ds:uri="6ba73c8a-1af7-4183-b158-1cd1291da2b6"/>
    <ds:schemaRef ds:uri="http://schemas.microsoft.com/office/2006/documentManagement/types"/>
    <ds:schemaRef ds:uri="http://purl.org/dc/elements/1.1/"/>
    <ds:schemaRef ds:uri="http://purl.org/dc/dcmitype/"/>
    <ds:schemaRef ds:uri="http://schemas.openxmlformats.org/package/2006/metadata/core-properties"/>
    <ds:schemaRef ds:uri="http://schemas.microsoft.com/office/2006/metadata/properties"/>
    <ds:schemaRef ds:uri="8c89d0e4-a8d9-42ba-a773-c59a56f7723e"/>
    <ds:schemaRef ds:uri="http://schemas.microsoft.com/office/infopath/2007/PartnerControl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OP</vt:lpstr>
      <vt:lpstr>Segments</vt:lpstr>
      <vt:lpstr>Acuerdo</vt:lpstr>
      <vt:lpstr>Peers</vt:lpstr>
      <vt:lpstr>ESG</vt:lpstr>
      <vt:lpstr>DCF</vt:lpstr>
      <vt:lpstr>Assumptions</vt:lpstr>
      <vt:lpstr>Fin. Data</vt:lpstr>
      <vt:lpstr>Sector Impact</vt:lpstr>
      <vt:lpstr>Inputs</vt:lpstr>
      <vt:lpstr>Industry Averages</vt:lpstr>
      <vt:lpstr>Growth Industry Averages</vt:lpstr>
      <vt:lpstr>OP!Print_Area</vt:lpstr>
      <vt:lpstr>Sectors</vt:lpstr>
    </vt:vector>
  </TitlesOfParts>
  <Manager/>
  <Company>HIL CONSULTORES, S.C.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Francisco Puebla Simões Viegas e Silva</cp:lastModifiedBy>
  <cp:revision/>
  <dcterms:created xsi:type="dcterms:W3CDTF">2000-04-19T14:51:26Z</dcterms:created>
  <dcterms:modified xsi:type="dcterms:W3CDTF">2024-03-08T14:03:44Z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