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09"/>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Retail 1- TL Miguel Alcobia/COST/"/>
    </mc:Choice>
  </mc:AlternateContent>
  <xr:revisionPtr revIDLastSave="8988" documentId="13_ncr:1_{26D5CA1E-45FE-425A-8F05-72ED85C7BA47}" xr6:coauthVersionLast="47" xr6:coauthVersionMax="47" xr10:uidLastSave="{BDB90CDA-5F4D-4EDC-9F7E-1BA0A176B2E7}"/>
  <bookViews>
    <workbookView xWindow="-28920" yWindow="-4620" windowWidth="29040" windowHeight="17640" tabRatio="644" firstSheet="5" activeTab="5" xr2:uid="{00000000-000D-0000-FFFF-FFFF00000000}"/>
  </bookViews>
  <sheets>
    <sheet name="OP" sheetId="1" r:id="rId1"/>
    <sheet name="Segments" sheetId="3" r:id="rId2"/>
    <sheet name="Acuerdo" sheetId="11" state="hidden" r:id="rId3"/>
    <sheet name="Peers" sheetId="10" r:id="rId4"/>
    <sheet name="ESG" sheetId="19" r:id="rId5"/>
    <sheet name="DCF" sheetId="4" r:id="rId6"/>
    <sheet name="Assumptions " sheetId="21" r:id="rId7"/>
    <sheet name="Fin. Data" sheetId="16" r:id="rId8"/>
    <sheet name="Fin. Data (Common Size)" sheetId="20" r:id="rId9"/>
    <sheet name="Inputs" sheetId="17" r:id="rId10"/>
    <sheet name="Inflation Projections" sheetId="23" r:id="rId11"/>
    <sheet name="CPI Projections" sheetId="24" r:id="rId12"/>
    <sheet name="Sector Impact" sheetId="18" state="hidden" r:id="rId13"/>
  </sheets>
  <definedNames>
    <definedName name="_xlnm.Print_Area" localSheetId="0">OP!$A$1:$M$76</definedName>
    <definedName name="_xlnm.Print_Area" localSheetId="1">Segments!#REF!</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4" l="1"/>
  <c r="B34" i="17"/>
  <c r="C138" i="21"/>
  <c r="F96" i="21"/>
  <c r="F92" i="21"/>
  <c r="I39" i="21"/>
  <c r="I27" i="21"/>
  <c r="I28" i="21"/>
  <c r="I24" i="21"/>
  <c r="H25" i="21"/>
  <c r="C40" i="10"/>
  <c r="I146" i="21"/>
  <c r="D61" i="4"/>
  <c r="I151" i="21"/>
  <c r="C20" i="17"/>
  <c r="D20" i="17"/>
  <c r="E20" i="17"/>
  <c r="F20" i="17"/>
  <c r="G20" i="17"/>
  <c r="H20" i="17"/>
  <c r="I20" i="17"/>
  <c r="J20" i="17"/>
  <c r="K20" i="17"/>
  <c r="B20" i="17"/>
  <c r="M29" i="21"/>
  <c r="E24" i="21"/>
  <c r="D24" i="21"/>
  <c r="E11" i="4"/>
  <c r="D146" i="21" l="1"/>
  <c r="I145" i="21"/>
  <c r="D73" i="21"/>
  <c r="C145" i="21"/>
  <c r="C48" i="21"/>
  <c r="D83" i="21"/>
  <c r="C140" i="21"/>
  <c r="D58" i="21"/>
  <c r="B23" i="17"/>
  <c r="J30" i="21" l="1"/>
  <c r="C8" i="21"/>
  <c r="F14" i="21"/>
  <c r="G6" i="4"/>
  <c r="I82" i="21" l="1"/>
  <c r="G16" i="4"/>
  <c r="D33" i="16"/>
  <c r="F33" i="16"/>
  <c r="C148" i="21" s="1"/>
  <c r="E116" i="21"/>
  <c r="E90" i="21"/>
  <c r="H84" i="21"/>
  <c r="H67" i="21"/>
  <c r="N58" i="21"/>
  <c r="D60" i="21"/>
  <c r="I48" i="21"/>
  <c r="H49" i="21"/>
  <c r="M26" i="21"/>
  <c r="H15" i="21"/>
  <c r="D14" i="17"/>
  <c r="B14" i="17"/>
  <c r="B13" i="17"/>
  <c r="J14" i="17"/>
  <c r="D4" i="1" a="1"/>
  <c r="D4" i="1" s="1"/>
  <c r="C52" i="21"/>
  <c r="W27" i="21"/>
  <c r="F13" i="21"/>
  <c r="H13" i="21"/>
  <c r="I41" i="21"/>
  <c r="J14" i="21"/>
  <c r="D116" i="21"/>
  <c r="G146" i="21" l="1"/>
  <c r="E146" i="21" l="1"/>
  <c r="C146" i="21"/>
  <c r="G23" i="17"/>
  <c r="G22" i="17"/>
  <c r="E65" i="21"/>
  <c r="C62" i="17"/>
  <c r="B62" i="17"/>
  <c r="H66" i="21" l="1"/>
  <c r="D65" i="21"/>
  <c r="D72" i="21"/>
  <c r="D96" i="21"/>
  <c r="H142" i="21"/>
  <c r="I138" i="21"/>
  <c r="H141" i="21"/>
  <c r="I141" i="21" s="1"/>
  <c r="D14" i="4" l="1"/>
  <c r="S58" i="21"/>
  <c r="C83" i="21" l="1"/>
  <c r="I57" i="21"/>
  <c r="H60" i="21"/>
  <c r="J58" i="21"/>
  <c r="I58" i="21"/>
  <c r="H58" i="21"/>
  <c r="F60" i="21"/>
  <c r="E60" i="21"/>
  <c r="G60" i="21"/>
  <c r="H59" i="21"/>
  <c r="C58" i="21"/>
  <c r="C47" i="21"/>
  <c r="I23" i="21"/>
  <c r="H24" i="21"/>
  <c r="F58" i="21"/>
  <c r="E58" i="21"/>
  <c r="J13" i="21"/>
  <c r="E20" i="23"/>
  <c r="H37" i="21"/>
  <c r="K36" i="21"/>
  <c r="D10" i="10" a="1"/>
  <c r="D10" i="10" s="1"/>
  <c r="E10" i="10" a="1"/>
  <c r="E10" i="10" s="1"/>
  <c r="F10" i="10" a="1"/>
  <c r="F10" i="10" s="1"/>
  <c r="G10" i="10" a="1"/>
  <c r="G10" i="10" s="1"/>
  <c r="H10" i="10" a="1"/>
  <c r="H10" i="10" s="1"/>
  <c r="B83" i="17"/>
  <c r="M20" i="1"/>
  <c r="C9" i="19"/>
  <c r="C6" i="19"/>
  <c r="L8" i="19"/>
  <c r="N8" i="19"/>
  <c r="O8" i="19"/>
  <c r="N7" i="19"/>
  <c r="D45" i="10" a="1"/>
  <c r="D45" i="10" s="1"/>
  <c r="D47" i="10" s="1"/>
  <c r="E45" i="10" a="1"/>
  <c r="E45" i="10" s="1"/>
  <c r="E47" i="10" s="1"/>
  <c r="F45" i="10" a="1"/>
  <c r="F45" i="10" s="1"/>
  <c r="F47" i="10" s="1"/>
  <c r="G45" i="10" a="1"/>
  <c r="G45" i="10" s="1"/>
  <c r="G47" i="10" s="1"/>
  <c r="H45" i="10" a="1"/>
  <c r="H45" i="10" s="1"/>
  <c r="H47" i="10" s="1"/>
  <c r="L9" i="19"/>
  <c r="L6" i="19"/>
  <c r="D28" i="4"/>
  <c r="D27" i="4"/>
  <c r="F14" i="4"/>
  <c r="E14" i="4"/>
  <c r="C47" i="17"/>
  <c r="D47" i="17"/>
  <c r="E47" i="17"/>
  <c r="F47" i="17"/>
  <c r="G47" i="17"/>
  <c r="H47" i="17"/>
  <c r="I47" i="17"/>
  <c r="J47" i="17"/>
  <c r="K47" i="17"/>
  <c r="B47" i="17"/>
  <c r="B52" i="16"/>
  <c r="B32" i="16"/>
  <c r="F23" i="4" s="1"/>
  <c r="B27" i="16"/>
  <c r="B11" i="16"/>
  <c r="F8" i="4" s="1"/>
  <c r="F12" i="4" s="1"/>
  <c r="B14" i="16"/>
  <c r="F13" i="4" s="1"/>
  <c r="B15" i="16"/>
  <c r="R130" i="21"/>
  <c r="AG130" i="21"/>
  <c r="AB130" i="21"/>
  <c r="W130"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H128" i="21"/>
  <c r="C121" i="21"/>
  <c r="H151" i="21"/>
  <c r="E66" i="4"/>
  <c r="AG110" i="21"/>
  <c r="AB110" i="21"/>
  <c r="W110" i="21"/>
  <c r="R110"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H107"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H100" i="21"/>
  <c r="E91" i="21"/>
  <c r="E92" i="21"/>
  <c r="E93" i="21"/>
  <c r="E94" i="21"/>
  <c r="E95"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H81" i="21"/>
  <c r="C23" i="21"/>
  <c r="C35" i="21"/>
  <c r="C57" i="21"/>
  <c r="C65" i="21"/>
  <c r="K23" i="17"/>
  <c r="I23" i="17"/>
  <c r="C23" i="17"/>
  <c r="D23" i="17"/>
  <c r="E23" i="17"/>
  <c r="F23" i="17"/>
  <c r="H23" i="17"/>
  <c r="J23" i="17"/>
  <c r="H65" i="21"/>
  <c r="G65" i="21"/>
  <c r="F65" i="21"/>
  <c r="H57" i="21"/>
  <c r="G57" i="21"/>
  <c r="F57" i="21"/>
  <c r="E57" i="21"/>
  <c r="D57"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H71"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H64"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H56" i="21"/>
  <c r="H47" i="21"/>
  <c r="G47" i="21"/>
  <c r="F47" i="21"/>
  <c r="E47" i="21"/>
  <c r="D47"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H46" i="21"/>
  <c r="F40" i="4"/>
  <c r="E40" i="4"/>
  <c r="D40" i="4"/>
  <c r="F11" i="4"/>
  <c r="I6" i="4"/>
  <c r="K41" i="21"/>
  <c r="D35" i="21"/>
  <c r="E35" i="21"/>
  <c r="F35" i="21"/>
  <c r="G35" i="21"/>
  <c r="H35" i="21"/>
  <c r="AG38" i="21"/>
  <c r="AB38" i="21"/>
  <c r="W38" i="21"/>
  <c r="R38" i="21"/>
  <c r="J34" i="21"/>
  <c r="K34" i="21"/>
  <c r="L34" i="21"/>
  <c r="M34" i="21"/>
  <c r="E21" i="23"/>
  <c r="E22" i="23"/>
  <c r="E23" i="23"/>
  <c r="E24" i="23"/>
  <c r="H14" i="21"/>
  <c r="E25" i="23"/>
  <c r="AG27" i="21"/>
  <c r="AG24" i="21" s="1"/>
  <c r="AG26" i="21"/>
  <c r="AB27" i="21"/>
  <c r="AB24" i="21" s="1"/>
  <c r="AB26" i="21"/>
  <c r="W26" i="21"/>
  <c r="W24" i="21"/>
  <c r="R27" i="21"/>
  <c r="R24" i="21" s="1"/>
  <c r="R26" i="21"/>
  <c r="J28" i="21"/>
  <c r="B30" i="21"/>
  <c r="B42" i="21"/>
  <c r="B29" i="21"/>
  <c r="B41" i="21"/>
  <c r="B28" i="21"/>
  <c r="B40" i="21"/>
  <c r="H23" i="21"/>
  <c r="H83" i="21"/>
  <c r="G140" i="21"/>
  <c r="G23" i="21"/>
  <c r="F146" i="21"/>
  <c r="F23" i="21"/>
  <c r="E23" i="21"/>
  <c r="E83" i="21"/>
  <c r="D140" i="21"/>
  <c r="D23" i="21"/>
  <c r="J22" i="21"/>
  <c r="K22" i="21"/>
  <c r="L22" i="21"/>
  <c r="M22" i="21"/>
  <c r="N22" i="21"/>
  <c r="O22" i="21"/>
  <c r="P22" i="21"/>
  <c r="Q22" i="21"/>
  <c r="R22" i="21"/>
  <c r="S22" i="21"/>
  <c r="T22" i="21"/>
  <c r="U22" i="21"/>
  <c r="V22" i="21"/>
  <c r="W22" i="21"/>
  <c r="X22" i="21"/>
  <c r="Y22" i="21"/>
  <c r="Z22" i="21"/>
  <c r="AA22" i="21"/>
  <c r="AB22" i="21"/>
  <c r="AC22" i="21"/>
  <c r="AD22" i="21"/>
  <c r="AE22" i="21"/>
  <c r="AF22" i="21"/>
  <c r="AG22" i="21"/>
  <c r="C17" i="19"/>
  <c r="G17" i="10"/>
  <c r="C6" i="10"/>
  <c r="F63" i="10"/>
  <c r="E25" i="10"/>
  <c r="E24" i="10"/>
  <c r="D66" i="10"/>
  <c r="D65" i="10"/>
  <c r="C4" i="10"/>
  <c r="B22" i="17"/>
  <c r="H72" i="21" s="1"/>
  <c r="H73" i="21" s="1"/>
  <c r="H74" i="21" s="1"/>
  <c r="I142" i="21"/>
  <c r="E57" i="4" s="1"/>
  <c r="D57" i="4"/>
  <c r="D66" i="4"/>
  <c r="C36" i="21"/>
  <c r="E96" i="21"/>
  <c r="C66" i="21"/>
  <c r="F83" i="21"/>
  <c r="E140" i="21"/>
  <c r="G83" i="21"/>
  <c r="F140" i="21"/>
  <c r="F66" i="21"/>
  <c r="G138" i="21"/>
  <c r="G139" i="21" s="1"/>
  <c r="E66" i="21"/>
  <c r="I66" i="21" s="1"/>
  <c r="I65" i="21" s="1"/>
  <c r="D66" i="21"/>
  <c r="G66" i="21"/>
  <c r="G58" i="21"/>
  <c r="F52" i="21"/>
  <c r="G52" i="21"/>
  <c r="H52" i="21"/>
  <c r="D52" i="21"/>
  <c r="E52" i="21"/>
  <c r="F48" i="21"/>
  <c r="E141" i="21"/>
  <c r="E48" i="21"/>
  <c r="D141" i="21"/>
  <c r="G48" i="21"/>
  <c r="F141" i="21"/>
  <c r="D48" i="21"/>
  <c r="H48" i="21"/>
  <c r="G141" i="21"/>
  <c r="D36" i="21"/>
  <c r="G36" i="21"/>
  <c r="F36" i="21"/>
  <c r="E36" i="21"/>
  <c r="H36" i="21"/>
  <c r="AB30" i="21"/>
  <c r="R30" i="21"/>
  <c r="AG30" i="21"/>
  <c r="N34" i="21"/>
  <c r="O34" i="21"/>
  <c r="P34" i="21"/>
  <c r="Q34" i="21"/>
  <c r="R34" i="21"/>
  <c r="S34" i="21"/>
  <c r="T34" i="21"/>
  <c r="U34" i="21"/>
  <c r="V34" i="21"/>
  <c r="W34" i="21"/>
  <c r="X34" i="21"/>
  <c r="Y34" i="21"/>
  <c r="Z34" i="21"/>
  <c r="AA34" i="21"/>
  <c r="AB34" i="21"/>
  <c r="AC34" i="21"/>
  <c r="AD34" i="21"/>
  <c r="AE34" i="21"/>
  <c r="AF34" i="21"/>
  <c r="AG34" i="21"/>
  <c r="AH34" i="21"/>
  <c r="W28" i="21"/>
  <c r="R28" i="21"/>
  <c r="AG28" i="21"/>
  <c r="W30" i="21"/>
  <c r="AB28" i="21"/>
  <c r="AH22" i="21"/>
  <c r="I30" i="21"/>
  <c r="F24" i="21"/>
  <c r="G24" i="21"/>
  <c r="E138" i="21"/>
  <c r="E139" i="21" s="1"/>
  <c r="F138" i="21"/>
  <c r="F139" i="21"/>
  <c r="D138" i="21"/>
  <c r="D139" i="21"/>
  <c r="H140" i="21"/>
  <c r="D55" i="4"/>
  <c r="E55" i="4"/>
  <c r="C141" i="21"/>
  <c r="D56" i="4"/>
  <c r="E56" i="4"/>
  <c r="H146" i="21"/>
  <c r="C78" i="16"/>
  <c r="B67" i="20"/>
  <c r="B78" i="16"/>
  <c r="I15" i="3"/>
  <c r="H15" i="3"/>
  <c r="G15" i="3"/>
  <c r="N15" i="3" s="1"/>
  <c r="H5" i="3"/>
  <c r="N5" i="3" s="1"/>
  <c r="G5" i="3"/>
  <c r="I5" i="3"/>
  <c r="F5" i="3"/>
  <c r="F9" i="3" s="1"/>
  <c r="M9" i="3" s="1"/>
  <c r="E5" i="3"/>
  <c r="L5" i="3" s="1"/>
  <c r="D6" i="3"/>
  <c r="D5" i="3"/>
  <c r="B84" i="17"/>
  <c r="C66" i="17"/>
  <c r="D66" i="17"/>
  <c r="E66" i="17"/>
  <c r="F66" i="17"/>
  <c r="G66" i="17"/>
  <c r="H66" i="17"/>
  <c r="I66" i="17"/>
  <c r="J66" i="17"/>
  <c r="K66" i="17"/>
  <c r="B66" i="17"/>
  <c r="I62" i="17"/>
  <c r="J62" i="17"/>
  <c r="K62" i="17"/>
  <c r="D62" i="17"/>
  <c r="E62" i="17"/>
  <c r="F62" i="17"/>
  <c r="G62" i="17"/>
  <c r="H62" i="17"/>
  <c r="B46" i="17"/>
  <c r="B56" i="17"/>
  <c r="B31" i="17"/>
  <c r="B37" i="17"/>
  <c r="K31" i="17"/>
  <c r="K32" i="17"/>
  <c r="K34" i="17"/>
  <c r="L32" i="17"/>
  <c r="L36" i="17"/>
  <c r="M32" i="17"/>
  <c r="D32" i="17"/>
  <c r="D34" i="17"/>
  <c r="E32" i="17"/>
  <c r="E34" i="17"/>
  <c r="F32" i="17"/>
  <c r="F34" i="17"/>
  <c r="G32" i="17"/>
  <c r="G34" i="17"/>
  <c r="H32" i="17"/>
  <c r="H34" i="17"/>
  <c r="I32" i="17"/>
  <c r="I34" i="17"/>
  <c r="J32" i="17"/>
  <c r="J34" i="17"/>
  <c r="B32" i="17"/>
  <c r="B23" i="20"/>
  <c r="F13" i="17"/>
  <c r="E7" i="20"/>
  <c r="I44" i="10"/>
  <c r="I46" i="10"/>
  <c r="E2" i="1"/>
  <c r="C8" i="10" s="1"/>
  <c r="C10" i="10" s="1" a="1"/>
  <c r="C10" i="10" s="1"/>
  <c r="H22" i="10"/>
  <c r="G22" i="10"/>
  <c r="F22" i="10"/>
  <c r="E22" i="10"/>
  <c r="D22" i="10"/>
  <c r="C77" i="17"/>
  <c r="F54" i="1"/>
  <c r="D77" i="17"/>
  <c r="F53" i="1"/>
  <c r="E77" i="17"/>
  <c r="F52" i="1"/>
  <c r="F77" i="17"/>
  <c r="F51" i="1"/>
  <c r="G77" i="17"/>
  <c r="F50" i="1"/>
  <c r="H77" i="17"/>
  <c r="F49" i="1"/>
  <c r="I77" i="17"/>
  <c r="F48" i="1"/>
  <c r="J77" i="17"/>
  <c r="F47" i="1"/>
  <c r="K77" i="17"/>
  <c r="L77" i="17"/>
  <c r="M77" i="17"/>
  <c r="B77" i="17"/>
  <c r="F55" i="1"/>
  <c r="F21" i="4"/>
  <c r="F22" i="4" s="1"/>
  <c r="E61" i="4"/>
  <c r="I140" i="21"/>
  <c r="M83" i="21"/>
  <c r="N83" i="21"/>
  <c r="J83" i="21"/>
  <c r="K83" i="21"/>
  <c r="K82" i="21"/>
  <c r="I11" i="4" s="1"/>
  <c r="I20" i="4" s="1"/>
  <c r="L83" i="21"/>
  <c r="I83" i="21"/>
  <c r="M48" i="21"/>
  <c r="K48" i="21"/>
  <c r="K47" i="21" s="1"/>
  <c r="I47" i="21"/>
  <c r="J48" i="21"/>
  <c r="J47" i="21"/>
  <c r="L48" i="21"/>
  <c r="E28" i="10"/>
  <c r="P9" i="19"/>
  <c r="P8" i="19"/>
  <c r="P7" i="19"/>
  <c r="P6" i="19"/>
  <c r="B18" i="20"/>
  <c r="L23" i="17"/>
  <c r="M23" i="17"/>
  <c r="D24" i="4"/>
  <c r="O83" i="21"/>
  <c r="P83" i="21" s="1"/>
  <c r="Q83" i="21" s="1"/>
  <c r="R83" i="21" s="1"/>
  <c r="S83" i="21" s="1"/>
  <c r="J52" i="21"/>
  <c r="H16" i="4"/>
  <c r="D22" i="17"/>
  <c r="F72" i="21"/>
  <c r="D21" i="4"/>
  <c r="D22" i="4"/>
  <c r="F73" i="21"/>
  <c r="E145" i="21"/>
  <c r="F77" i="21"/>
  <c r="E27" i="4"/>
  <c r="F27" i="4"/>
  <c r="C5" i="10"/>
  <c r="C3" i="10"/>
  <c r="C2" i="10"/>
  <c r="K75" i="17"/>
  <c r="L75" i="17"/>
  <c r="M75" i="17"/>
  <c r="J75" i="17"/>
  <c r="B75" i="17"/>
  <c r="F31" i="4"/>
  <c r="F25" i="4"/>
  <c r="M63" i="17"/>
  <c r="F31" i="1"/>
  <c r="F28" i="1"/>
  <c r="F29" i="1"/>
  <c r="F30" i="1"/>
  <c r="F27" i="1"/>
  <c r="F22" i="1"/>
  <c r="F21" i="1"/>
  <c r="E28" i="4"/>
  <c r="F28" i="4"/>
  <c r="E75" i="17"/>
  <c r="F75" i="17"/>
  <c r="G75" i="17"/>
  <c r="H75" i="17"/>
  <c r="I75" i="17"/>
  <c r="F46" i="17"/>
  <c r="C32" i="17"/>
  <c r="C34" i="17"/>
  <c r="K50" i="17"/>
  <c r="D75" i="17"/>
  <c r="D31" i="4"/>
  <c r="C75" i="17"/>
  <c r="E31" i="4"/>
  <c r="I22" i="17"/>
  <c r="K22" i="17"/>
  <c r="C8" i="19"/>
  <c r="M6" i="19"/>
  <c r="N6" i="19"/>
  <c r="O6" i="19"/>
  <c r="Q6" i="19"/>
  <c r="M7" i="19"/>
  <c r="O7" i="19"/>
  <c r="Q7" i="19"/>
  <c r="M8" i="19"/>
  <c r="Q8" i="19"/>
  <c r="M9" i="19"/>
  <c r="N9" i="19"/>
  <c r="O9" i="19"/>
  <c r="Q9" i="19"/>
  <c r="L14" i="3"/>
  <c r="M14" i="3"/>
  <c r="N14" i="3"/>
  <c r="O14" i="3"/>
  <c r="L15" i="3"/>
  <c r="M15" i="3"/>
  <c r="O15" i="3"/>
  <c r="L16" i="3"/>
  <c r="M16" i="3"/>
  <c r="N16" i="3"/>
  <c r="O16" i="3"/>
  <c r="L17" i="3"/>
  <c r="M17" i="3"/>
  <c r="N17" i="3"/>
  <c r="O17" i="3"/>
  <c r="K15" i="3"/>
  <c r="K16" i="3"/>
  <c r="K17" i="3"/>
  <c r="K14" i="3"/>
  <c r="O6" i="3"/>
  <c r="O5" i="3"/>
  <c r="N6" i="3"/>
  <c r="M6" i="3"/>
  <c r="M5" i="3"/>
  <c r="L6" i="3"/>
  <c r="K6" i="3"/>
  <c r="K5" i="3"/>
  <c r="D25" i="4"/>
  <c r="B50" i="17"/>
  <c r="D18" i="3"/>
  <c r="H31" i="1"/>
  <c r="H4" i="4"/>
  <c r="I4" i="4"/>
  <c r="J4" i="4"/>
  <c r="K4" i="4"/>
  <c r="L4" i="4"/>
  <c r="M4" i="4"/>
  <c r="N4" i="4"/>
  <c r="O4" i="4"/>
  <c r="P4" i="4"/>
  <c r="Q4" i="4"/>
  <c r="R4" i="4"/>
  <c r="S4" i="4"/>
  <c r="T4" i="4"/>
  <c r="U4" i="4"/>
  <c r="V4" i="4"/>
  <c r="W4" i="4"/>
  <c r="X4" i="4"/>
  <c r="Y4" i="4"/>
  <c r="Z4" i="4"/>
  <c r="AA4" i="4"/>
  <c r="AB4" i="4"/>
  <c r="AC4" i="4"/>
  <c r="AD4" i="4"/>
  <c r="AE4" i="4"/>
  <c r="AF4" i="4"/>
  <c r="G28" i="10"/>
  <c r="D11" i="10"/>
  <c r="E11" i="10"/>
  <c r="F11" i="10"/>
  <c r="G11" i="10"/>
  <c r="H11" i="10"/>
  <c r="D13" i="10"/>
  <c r="E13" i="10"/>
  <c r="F13" i="10"/>
  <c r="G13" i="10"/>
  <c r="H13" i="10"/>
  <c r="D14" i="10"/>
  <c r="E14" i="10"/>
  <c r="F14" i="10"/>
  <c r="G14" i="10"/>
  <c r="H14" i="10"/>
  <c r="D15" i="10"/>
  <c r="E15" i="10"/>
  <c r="F15" i="10"/>
  <c r="G15" i="10"/>
  <c r="H15" i="10"/>
  <c r="D16" i="10"/>
  <c r="E16" i="10"/>
  <c r="F16" i="10"/>
  <c r="G16" i="10"/>
  <c r="H16" i="10"/>
  <c r="D17" i="10"/>
  <c r="E17" i="10"/>
  <c r="F17" i="10"/>
  <c r="H17" i="10"/>
  <c r="D18" i="10"/>
  <c r="E18" i="10"/>
  <c r="F18" i="10"/>
  <c r="G18" i="10"/>
  <c r="H18" i="10"/>
  <c r="D20" i="10"/>
  <c r="E20" i="10"/>
  <c r="F20" i="10"/>
  <c r="G20" i="10"/>
  <c r="H20" i="10"/>
  <c r="D21" i="10"/>
  <c r="E21" i="10"/>
  <c r="F21" i="10"/>
  <c r="G21" i="10"/>
  <c r="H21" i="10"/>
  <c r="D24" i="10"/>
  <c r="F24" i="10"/>
  <c r="G24" i="10"/>
  <c r="H24" i="10"/>
  <c r="D25" i="10"/>
  <c r="F25" i="10"/>
  <c r="G25" i="10"/>
  <c r="H25" i="10"/>
  <c r="D27" i="10"/>
  <c r="E27" i="10"/>
  <c r="F27" i="10"/>
  <c r="G27" i="10"/>
  <c r="H27" i="10"/>
  <c r="D28" i="10"/>
  <c r="F28" i="10"/>
  <c r="H28" i="10"/>
  <c r="D29" i="10"/>
  <c r="E29" i="10"/>
  <c r="F29" i="10"/>
  <c r="G29" i="10"/>
  <c r="H29" i="10"/>
  <c r="D30" i="10"/>
  <c r="E30" i="10"/>
  <c r="F30" i="10"/>
  <c r="G30" i="10"/>
  <c r="H30" i="10"/>
  <c r="D31" i="10"/>
  <c r="E31" i="10"/>
  <c r="F31" i="10"/>
  <c r="G31" i="10"/>
  <c r="H31" i="10"/>
  <c r="C39" i="10"/>
  <c r="I9" i="10"/>
  <c r="I38" i="10"/>
  <c r="C68" i="10"/>
  <c r="C67" i="10"/>
  <c r="C64" i="10"/>
  <c r="B11" i="3"/>
  <c r="E18" i="3"/>
  <c r="F18" i="3"/>
  <c r="H18" i="3"/>
  <c r="I18" i="3"/>
  <c r="G9" i="3"/>
  <c r="H9" i="3"/>
  <c r="I9" i="3"/>
  <c r="K13" i="3"/>
  <c r="L13" i="3"/>
  <c r="M13" i="3" s="1"/>
  <c r="N13" i="3" s="1"/>
  <c r="O13" i="3" s="1"/>
  <c r="P13" i="3" s="1"/>
  <c r="K4" i="3"/>
  <c r="L4" i="3" s="1"/>
  <c r="M4" i="3" s="1"/>
  <c r="N4" i="3" s="1"/>
  <c r="O4" i="3" s="1"/>
  <c r="P4" i="3" s="1"/>
  <c r="D13" i="3"/>
  <c r="E13" i="3"/>
  <c r="F13" i="3" s="1"/>
  <c r="G13" i="3" s="1"/>
  <c r="H13" i="3" s="1"/>
  <c r="I13" i="3" s="1"/>
  <c r="D4" i="3"/>
  <c r="E4" i="3" s="1"/>
  <c r="F4" i="3" s="1"/>
  <c r="G4" i="3" s="1"/>
  <c r="H4" i="3" s="1"/>
  <c r="I4" i="3" s="1"/>
  <c r="M74" i="16"/>
  <c r="L74" i="16"/>
  <c r="K74" i="16"/>
  <c r="J74" i="16"/>
  <c r="I74" i="16"/>
  <c r="H74" i="16"/>
  <c r="G74" i="16"/>
  <c r="F74" i="16"/>
  <c r="E74" i="16"/>
  <c r="D74" i="16"/>
  <c r="C74" i="16"/>
  <c r="B74" i="16"/>
  <c r="M73" i="16"/>
  <c r="L73" i="16"/>
  <c r="K73" i="16"/>
  <c r="J73" i="16"/>
  <c r="I73" i="16"/>
  <c r="H73" i="16"/>
  <c r="G73" i="16"/>
  <c r="F73" i="16"/>
  <c r="E73" i="16"/>
  <c r="D73" i="16"/>
  <c r="C73" i="16"/>
  <c r="B73" i="16"/>
  <c r="M72" i="16"/>
  <c r="L72" i="16"/>
  <c r="K72" i="16"/>
  <c r="J72" i="16"/>
  <c r="I72" i="16"/>
  <c r="H72" i="16"/>
  <c r="G72" i="16"/>
  <c r="F72" i="16"/>
  <c r="E72" i="16"/>
  <c r="D72" i="16"/>
  <c r="C72" i="16"/>
  <c r="B72" i="16"/>
  <c r="M70" i="16"/>
  <c r="L70" i="16"/>
  <c r="K70" i="16"/>
  <c r="J70" i="16"/>
  <c r="I70" i="16"/>
  <c r="H70" i="16"/>
  <c r="G70" i="16"/>
  <c r="F70" i="16"/>
  <c r="E70" i="16"/>
  <c r="D70" i="16"/>
  <c r="C70" i="16"/>
  <c r="B70" i="16"/>
  <c r="M69" i="16"/>
  <c r="L69" i="16"/>
  <c r="K69" i="16"/>
  <c r="J69" i="16"/>
  <c r="I69" i="16"/>
  <c r="H69" i="16"/>
  <c r="G69" i="16"/>
  <c r="F69" i="16"/>
  <c r="E69" i="16"/>
  <c r="D69" i="16"/>
  <c r="C69" i="16"/>
  <c r="B69" i="16"/>
  <c r="B23" i="16"/>
  <c r="M73" i="20"/>
  <c r="L73" i="20"/>
  <c r="K73" i="20"/>
  <c r="J73" i="20"/>
  <c r="I73" i="20"/>
  <c r="H73" i="20"/>
  <c r="G73" i="20"/>
  <c r="F73" i="20"/>
  <c r="E73" i="20"/>
  <c r="D73" i="20"/>
  <c r="C73" i="20"/>
  <c r="B73" i="20"/>
  <c r="M72" i="20"/>
  <c r="L72" i="20"/>
  <c r="K72" i="20"/>
  <c r="J72" i="20"/>
  <c r="I72" i="20"/>
  <c r="H72" i="20"/>
  <c r="G72" i="20"/>
  <c r="F72" i="20"/>
  <c r="E72" i="20"/>
  <c r="D72" i="20"/>
  <c r="C72" i="20"/>
  <c r="B72" i="20"/>
  <c r="M71" i="20"/>
  <c r="L71" i="20"/>
  <c r="K71" i="20"/>
  <c r="J71" i="20"/>
  <c r="I71" i="20"/>
  <c r="H71" i="20"/>
  <c r="G71" i="20"/>
  <c r="F71" i="20"/>
  <c r="E71" i="20"/>
  <c r="D71" i="20"/>
  <c r="C71" i="20"/>
  <c r="M70" i="20"/>
  <c r="L70" i="20"/>
  <c r="K70" i="20"/>
  <c r="J70" i="20"/>
  <c r="I70" i="20"/>
  <c r="H70" i="20"/>
  <c r="G70" i="20"/>
  <c r="F70" i="20"/>
  <c r="E70" i="20"/>
  <c r="D70" i="20"/>
  <c r="C70" i="20"/>
  <c r="M69" i="20"/>
  <c r="L69" i="20"/>
  <c r="K69" i="20"/>
  <c r="J69" i="20"/>
  <c r="I69" i="20"/>
  <c r="H69" i="20"/>
  <c r="G69" i="20"/>
  <c r="F69" i="20"/>
  <c r="E69" i="20"/>
  <c r="D69" i="20"/>
  <c r="C69" i="20"/>
  <c r="M68" i="20"/>
  <c r="L68" i="20"/>
  <c r="K68" i="20"/>
  <c r="J68" i="20"/>
  <c r="I68" i="20"/>
  <c r="H68" i="20"/>
  <c r="G68" i="20"/>
  <c r="F68" i="20"/>
  <c r="E68" i="20"/>
  <c r="D68" i="20"/>
  <c r="C68" i="20"/>
  <c r="B68" i="20"/>
  <c r="M67" i="20"/>
  <c r="L67" i="20"/>
  <c r="K67" i="20"/>
  <c r="J67" i="20"/>
  <c r="I67" i="20"/>
  <c r="H67" i="20"/>
  <c r="G67" i="20"/>
  <c r="F67" i="20"/>
  <c r="E67" i="20"/>
  <c r="D67" i="20"/>
  <c r="M61" i="20"/>
  <c r="L61" i="20"/>
  <c r="K61" i="20"/>
  <c r="J61" i="20"/>
  <c r="I61" i="20"/>
  <c r="H61" i="20"/>
  <c r="G61" i="20"/>
  <c r="F61" i="20"/>
  <c r="E61" i="20"/>
  <c r="D61" i="20"/>
  <c r="C61" i="20"/>
  <c r="B61" i="20"/>
  <c r="M54" i="20"/>
  <c r="L54" i="20"/>
  <c r="K54" i="20"/>
  <c r="J54" i="20"/>
  <c r="I54" i="20"/>
  <c r="H54" i="20"/>
  <c r="G54" i="20"/>
  <c r="F54" i="20"/>
  <c r="E54" i="20"/>
  <c r="D54" i="20"/>
  <c r="C54" i="20"/>
  <c r="B54" i="20"/>
  <c r="M53" i="20"/>
  <c r="L53" i="20"/>
  <c r="K53" i="20"/>
  <c r="J53" i="20"/>
  <c r="I53" i="20"/>
  <c r="H53" i="20"/>
  <c r="G53" i="20"/>
  <c r="F53" i="20"/>
  <c r="E53" i="20"/>
  <c r="D53" i="20"/>
  <c r="C53" i="20"/>
  <c r="B53" i="20"/>
  <c r="M52" i="20"/>
  <c r="L52" i="20"/>
  <c r="J52" i="20"/>
  <c r="I52" i="20"/>
  <c r="H52" i="20"/>
  <c r="G52" i="20"/>
  <c r="F52" i="20"/>
  <c r="E52" i="20"/>
  <c r="D52" i="20"/>
  <c r="B52" i="20"/>
  <c r="M50" i="20"/>
  <c r="L50" i="20"/>
  <c r="K50" i="20"/>
  <c r="J50" i="20"/>
  <c r="I50" i="20"/>
  <c r="H50" i="20"/>
  <c r="G50" i="20"/>
  <c r="F50" i="20"/>
  <c r="E50" i="20"/>
  <c r="D50" i="20"/>
  <c r="C50" i="20"/>
  <c r="B50" i="20"/>
  <c r="M49" i="20"/>
  <c r="L49" i="20"/>
  <c r="K49" i="20"/>
  <c r="K58" i="20" s="1"/>
  <c r="J49" i="20"/>
  <c r="J58" i="20" s="1"/>
  <c r="I49" i="20"/>
  <c r="H49" i="20"/>
  <c r="G49" i="20"/>
  <c r="G58" i="20" s="1"/>
  <c r="G59" i="20" s="1"/>
  <c r="F49" i="20"/>
  <c r="F58" i="20" s="1"/>
  <c r="F59" i="20" s="1"/>
  <c r="E49" i="20"/>
  <c r="D49" i="20"/>
  <c r="C49" i="20"/>
  <c r="B49" i="20"/>
  <c r="M48" i="20"/>
  <c r="L48" i="20"/>
  <c r="K48" i="20"/>
  <c r="J48" i="20"/>
  <c r="I48" i="20"/>
  <c r="H48" i="20"/>
  <c r="G48" i="20"/>
  <c r="F48" i="20"/>
  <c r="E48" i="20"/>
  <c r="D48" i="20"/>
  <c r="C48" i="20"/>
  <c r="B48" i="20"/>
  <c r="M42" i="20"/>
  <c r="L42" i="20"/>
  <c r="K42" i="20"/>
  <c r="J42" i="20"/>
  <c r="I42" i="20"/>
  <c r="H42" i="20"/>
  <c r="G42" i="20"/>
  <c r="F42" i="20"/>
  <c r="E42" i="20"/>
  <c r="D42" i="20"/>
  <c r="C42" i="20"/>
  <c r="B42" i="20"/>
  <c r="M41" i="20"/>
  <c r="L41" i="20"/>
  <c r="K41" i="20"/>
  <c r="J41" i="20"/>
  <c r="I41" i="20"/>
  <c r="H41" i="20"/>
  <c r="G41" i="20"/>
  <c r="F41" i="20"/>
  <c r="E41" i="20"/>
  <c r="D41" i="20"/>
  <c r="C41" i="20"/>
  <c r="B41" i="20"/>
  <c r="M40" i="20"/>
  <c r="L40" i="20"/>
  <c r="K40" i="20"/>
  <c r="J40" i="20"/>
  <c r="I40" i="20"/>
  <c r="H40" i="20"/>
  <c r="G40" i="20"/>
  <c r="F40" i="20"/>
  <c r="E40" i="20"/>
  <c r="D40" i="20"/>
  <c r="C40" i="20"/>
  <c r="B40" i="20"/>
  <c r="M39" i="20"/>
  <c r="M26" i="20"/>
  <c r="L39" i="20"/>
  <c r="K39" i="20"/>
  <c r="J39" i="20"/>
  <c r="I39" i="20"/>
  <c r="H39" i="20"/>
  <c r="H26" i="20" s="1"/>
  <c r="G39" i="20"/>
  <c r="F39" i="20"/>
  <c r="F26" i="20" s="1"/>
  <c r="F29" i="20" s="1"/>
  <c r="E39" i="20"/>
  <c r="E26" i="20" s="1"/>
  <c r="E29" i="20" s="1"/>
  <c r="E30" i="20" s="1"/>
  <c r="E31" i="20" s="1"/>
  <c r="D39" i="20"/>
  <c r="D26" i="20" s="1"/>
  <c r="D29" i="20" s="1"/>
  <c r="D30" i="20" s="1"/>
  <c r="D31" i="20" s="1"/>
  <c r="C39" i="20"/>
  <c r="C26" i="20" s="1"/>
  <c r="B39" i="20"/>
  <c r="M33" i="20"/>
  <c r="L33" i="20"/>
  <c r="K33" i="20"/>
  <c r="J33" i="20"/>
  <c r="I33" i="20"/>
  <c r="H33" i="20"/>
  <c r="G33" i="20"/>
  <c r="F33" i="20"/>
  <c r="E33" i="20"/>
  <c r="D33" i="20"/>
  <c r="C33" i="20"/>
  <c r="B33" i="20"/>
  <c r="M32" i="20"/>
  <c r="L32" i="20"/>
  <c r="K32" i="20"/>
  <c r="K34" i="20" s="1"/>
  <c r="J32" i="20"/>
  <c r="I32" i="20"/>
  <c r="H32" i="20"/>
  <c r="G32" i="20"/>
  <c r="F32" i="20"/>
  <c r="F34" i="20" s="1"/>
  <c r="E32" i="20"/>
  <c r="E34" i="20" s="1"/>
  <c r="D32" i="20"/>
  <c r="C32" i="20"/>
  <c r="C34" i="20" s="1"/>
  <c r="B32" i="20"/>
  <c r="M28" i="20"/>
  <c r="L28" i="20"/>
  <c r="K28" i="20"/>
  <c r="J28" i="20"/>
  <c r="I28" i="20"/>
  <c r="I29" i="20" s="1"/>
  <c r="H28" i="20"/>
  <c r="G28" i="20"/>
  <c r="G35" i="20" s="1"/>
  <c r="F28" i="20"/>
  <c r="E28" i="20"/>
  <c r="D28" i="20"/>
  <c r="C28" i="20"/>
  <c r="B28" i="20"/>
  <c r="M27" i="20"/>
  <c r="L27" i="20"/>
  <c r="K27" i="20"/>
  <c r="K35" i="20" s="1"/>
  <c r="K36" i="20" s="1"/>
  <c r="J27" i="20"/>
  <c r="I27" i="20"/>
  <c r="H27" i="20"/>
  <c r="G27" i="20"/>
  <c r="F27" i="20"/>
  <c r="E27" i="20"/>
  <c r="D27" i="20"/>
  <c r="D35" i="20" s="1"/>
  <c r="D36" i="20" s="1"/>
  <c r="C27" i="20"/>
  <c r="C35" i="20" s="1"/>
  <c r="C36" i="20" s="1"/>
  <c r="B27" i="20"/>
  <c r="M23" i="20"/>
  <c r="L23" i="20"/>
  <c r="K23" i="20"/>
  <c r="K24" i="20" s="1"/>
  <c r="J23" i="20"/>
  <c r="I23" i="20"/>
  <c r="I24" i="20" s="1"/>
  <c r="I25" i="20" s="1"/>
  <c r="H23" i="20"/>
  <c r="G23" i="20"/>
  <c r="G24" i="20" s="1"/>
  <c r="F23" i="20"/>
  <c r="E23" i="20"/>
  <c r="D23" i="20"/>
  <c r="C23" i="20"/>
  <c r="M21" i="20"/>
  <c r="L21" i="20"/>
  <c r="K21" i="20"/>
  <c r="J21" i="20"/>
  <c r="J22" i="20" s="1"/>
  <c r="I21" i="20"/>
  <c r="H21" i="20"/>
  <c r="G21" i="20"/>
  <c r="F21" i="20"/>
  <c r="E21" i="20"/>
  <c r="D21" i="20"/>
  <c r="D22" i="20" s="1"/>
  <c r="C21" i="20"/>
  <c r="C22" i="20" s="1"/>
  <c r="B21" i="20"/>
  <c r="M15" i="20"/>
  <c r="L15" i="20"/>
  <c r="K15" i="20"/>
  <c r="J15" i="20"/>
  <c r="I15" i="20"/>
  <c r="H15" i="20"/>
  <c r="G15" i="20"/>
  <c r="F15" i="20"/>
  <c r="F16" i="20" s="1"/>
  <c r="E15" i="20"/>
  <c r="D15" i="20"/>
  <c r="C15" i="20"/>
  <c r="B15" i="20"/>
  <c r="M14" i="20"/>
  <c r="L14" i="20"/>
  <c r="K14" i="20"/>
  <c r="J14" i="20"/>
  <c r="I14" i="20"/>
  <c r="H14" i="20"/>
  <c r="G14" i="20"/>
  <c r="F14" i="20"/>
  <c r="E14" i="20"/>
  <c r="D14" i="20"/>
  <c r="C14" i="20"/>
  <c r="B14" i="20"/>
  <c r="M11" i="20"/>
  <c r="M16" i="20"/>
  <c r="L11" i="20"/>
  <c r="K11" i="20"/>
  <c r="J11" i="20"/>
  <c r="J12" i="20" s="1"/>
  <c r="I11" i="20"/>
  <c r="H11" i="20"/>
  <c r="G11" i="20"/>
  <c r="F11" i="20"/>
  <c r="E11" i="20"/>
  <c r="D11" i="20"/>
  <c r="C11" i="20"/>
  <c r="B11" i="20"/>
  <c r="M7" i="20"/>
  <c r="L7" i="20"/>
  <c r="K7" i="20"/>
  <c r="K8" i="20" s="1"/>
  <c r="J7" i="20"/>
  <c r="I7" i="20"/>
  <c r="H7" i="20"/>
  <c r="G7" i="20"/>
  <c r="F7" i="20"/>
  <c r="D7" i="20"/>
  <c r="D8" i="20" s="1"/>
  <c r="C7" i="20"/>
  <c r="C8" i="20" s="1"/>
  <c r="B7" i="20"/>
  <c r="M5" i="20"/>
  <c r="L5" i="20"/>
  <c r="K5" i="20"/>
  <c r="J5" i="20"/>
  <c r="I5" i="20"/>
  <c r="I8" i="20" s="1"/>
  <c r="H5" i="20"/>
  <c r="H6" i="20" s="1"/>
  <c r="G5" i="20"/>
  <c r="G22" i="20" s="1"/>
  <c r="F5" i="20"/>
  <c r="E5" i="20"/>
  <c r="E24" i="20" s="1"/>
  <c r="D5" i="20"/>
  <c r="C5" i="20"/>
  <c r="C6" i="20" s="1"/>
  <c r="B5" i="20"/>
  <c r="B6" i="20" s="1"/>
  <c r="B4" i="20"/>
  <c r="C4" i="20"/>
  <c r="D4" i="20"/>
  <c r="A2" i="20"/>
  <c r="M62" i="16"/>
  <c r="L62" i="16"/>
  <c r="K62" i="16"/>
  <c r="J62" i="16"/>
  <c r="I62" i="16"/>
  <c r="H62" i="16"/>
  <c r="G62" i="16"/>
  <c r="F62" i="16"/>
  <c r="E62" i="16"/>
  <c r="D62" i="16"/>
  <c r="C62" i="16"/>
  <c r="B62" i="16"/>
  <c r="M84" i="16"/>
  <c r="L84" i="16"/>
  <c r="K84" i="16"/>
  <c r="J84" i="16"/>
  <c r="I84" i="16"/>
  <c r="H84" i="16"/>
  <c r="G84" i="16"/>
  <c r="F84" i="16"/>
  <c r="E84" i="16"/>
  <c r="D84" i="16"/>
  <c r="C84" i="16"/>
  <c r="B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M52" i="16"/>
  <c r="L52" i="16"/>
  <c r="J52" i="16"/>
  <c r="I52" i="16"/>
  <c r="H52" i="16"/>
  <c r="G52" i="16"/>
  <c r="F52" i="16"/>
  <c r="E52" i="16"/>
  <c r="D52" i="16"/>
  <c r="C48" i="16"/>
  <c r="D48" i="16"/>
  <c r="E48" i="16"/>
  <c r="F48" i="16"/>
  <c r="G48" i="16"/>
  <c r="H48" i="16"/>
  <c r="I48" i="16"/>
  <c r="J48" i="16"/>
  <c r="K48" i="16"/>
  <c r="L48" i="16"/>
  <c r="M48" i="16"/>
  <c r="B48" i="16"/>
  <c r="M54" i="16"/>
  <c r="L54" i="16"/>
  <c r="E54" i="16"/>
  <c r="D54" i="16"/>
  <c r="C54" i="16"/>
  <c r="B54" i="16"/>
  <c r="M53" i="16"/>
  <c r="L53" i="16"/>
  <c r="K53" i="16"/>
  <c r="K58" i="16" s="1"/>
  <c r="K60" i="16" s="1"/>
  <c r="J53" i="16"/>
  <c r="I53" i="16"/>
  <c r="H53" i="16"/>
  <c r="G53" i="16"/>
  <c r="F53" i="16"/>
  <c r="E53" i="16"/>
  <c r="D53" i="16"/>
  <c r="D58" i="16" s="1"/>
  <c r="C53" i="16"/>
  <c r="B53" i="16"/>
  <c r="M50" i="16"/>
  <c r="L50" i="16"/>
  <c r="E50" i="16"/>
  <c r="D50" i="16"/>
  <c r="C50" i="16"/>
  <c r="B50" i="16"/>
  <c r="M49" i="16"/>
  <c r="L49" i="16"/>
  <c r="K49" i="16"/>
  <c r="J49" i="16"/>
  <c r="J58" i="16" s="1"/>
  <c r="J60" i="16" s="1"/>
  <c r="I49" i="16"/>
  <c r="I58" i="16" s="1"/>
  <c r="I59" i="16" s="1"/>
  <c r="H49" i="16"/>
  <c r="G49" i="16"/>
  <c r="G58" i="16" s="1"/>
  <c r="F49" i="16"/>
  <c r="F58" i="16" s="1"/>
  <c r="E49" i="16"/>
  <c r="D49" i="16"/>
  <c r="C49" i="16"/>
  <c r="B49" i="16"/>
  <c r="B44" i="16"/>
  <c r="C66" i="10" s="1"/>
  <c r="M42" i="16"/>
  <c r="L42" i="16"/>
  <c r="K42" i="16"/>
  <c r="J42" i="16"/>
  <c r="I42" i="16"/>
  <c r="H42" i="16"/>
  <c r="G42" i="16"/>
  <c r="F42" i="16"/>
  <c r="E42" i="16"/>
  <c r="D42" i="16"/>
  <c r="C42" i="16"/>
  <c r="B42" i="16"/>
  <c r="C65" i="10" s="1"/>
  <c r="M41" i="16"/>
  <c r="L41" i="16"/>
  <c r="K41" i="16"/>
  <c r="J41" i="16"/>
  <c r="I41" i="16"/>
  <c r="H41" i="16"/>
  <c r="G41" i="16"/>
  <c r="F41" i="16"/>
  <c r="E41" i="16"/>
  <c r="D41" i="16"/>
  <c r="C41" i="16"/>
  <c r="B41" i="16"/>
  <c r="C63" i="10" s="1"/>
  <c r="M40" i="16"/>
  <c r="L40" i="16"/>
  <c r="K40" i="16"/>
  <c r="J40" i="16"/>
  <c r="I40" i="16"/>
  <c r="H40" i="16"/>
  <c r="G40" i="16"/>
  <c r="F40" i="16"/>
  <c r="E40" i="16"/>
  <c r="D40" i="16"/>
  <c r="C40" i="16"/>
  <c r="B40" i="16"/>
  <c r="C62" i="10" s="1"/>
  <c r="M39" i="16"/>
  <c r="M26" i="16"/>
  <c r="L39" i="16"/>
  <c r="K39" i="16"/>
  <c r="J39" i="16"/>
  <c r="J26" i="16" s="1"/>
  <c r="J29" i="16" s="1"/>
  <c r="I39" i="16"/>
  <c r="I60" i="16" s="1"/>
  <c r="H39" i="16"/>
  <c r="G26" i="16" s="1"/>
  <c r="G29" i="16" s="1"/>
  <c r="G39" i="16"/>
  <c r="F26" i="16" s="1"/>
  <c r="F39" i="16"/>
  <c r="E39" i="16"/>
  <c r="D39" i="16"/>
  <c r="D26" i="16" s="1"/>
  <c r="D29" i="16" s="1"/>
  <c r="D43" i="4"/>
  <c r="C39" i="16"/>
  <c r="C26" i="16" s="1"/>
  <c r="B39" i="16"/>
  <c r="C61" i="10" s="1"/>
  <c r="M33" i="16"/>
  <c r="L33" i="16"/>
  <c r="K33" i="16"/>
  <c r="J33" i="16"/>
  <c r="I33" i="16"/>
  <c r="H33" i="16"/>
  <c r="G33" i="16"/>
  <c r="G34" i="16" s="1"/>
  <c r="E33" i="16"/>
  <c r="E34" i="16" s="1"/>
  <c r="D148" i="21"/>
  <c r="E148" i="21"/>
  <c r="C33" i="16"/>
  <c r="F148" i="21"/>
  <c r="B33" i="16"/>
  <c r="F24" i="4" s="1"/>
  <c r="M32" i="16"/>
  <c r="L32" i="16"/>
  <c r="K32" i="16"/>
  <c r="K34" i="16" s="1"/>
  <c r="J32" i="16"/>
  <c r="J34" i="16" s="1"/>
  <c r="I32" i="16"/>
  <c r="H32" i="16"/>
  <c r="G32" i="16"/>
  <c r="F32" i="16"/>
  <c r="C147" i="21" s="1"/>
  <c r="E32" i="16"/>
  <c r="D32" i="16"/>
  <c r="D34" i="16" s="1"/>
  <c r="D23" i="4"/>
  <c r="D26" i="4"/>
  <c r="D34" i="4" s="1"/>
  <c r="C32" i="16"/>
  <c r="M28" i="16"/>
  <c r="L28" i="16"/>
  <c r="K28" i="16"/>
  <c r="K35" i="16" s="1"/>
  <c r="K36" i="16" s="1"/>
  <c r="J28" i="16"/>
  <c r="I28" i="16"/>
  <c r="H28" i="16"/>
  <c r="G28" i="16"/>
  <c r="F28" i="16"/>
  <c r="D108" i="21"/>
  <c r="D109" i="21" s="1"/>
  <c r="C150" i="21" s="1"/>
  <c r="E28" i="16"/>
  <c r="E108" i="21"/>
  <c r="E109" i="21" s="1"/>
  <c r="D150" i="21" s="1"/>
  <c r="D28" i="16"/>
  <c r="D29" i="4" s="1"/>
  <c r="F108" i="21"/>
  <c r="F109" i="21" s="1"/>
  <c r="E150" i="21" s="1"/>
  <c r="C28" i="16"/>
  <c r="B28" i="16"/>
  <c r="F29" i="4" s="1"/>
  <c r="M27" i="16"/>
  <c r="L27" i="16"/>
  <c r="K27" i="16"/>
  <c r="J27" i="16"/>
  <c r="I27" i="16"/>
  <c r="I35" i="16" s="1"/>
  <c r="I36" i="16" s="1"/>
  <c r="H27" i="16"/>
  <c r="G27" i="16"/>
  <c r="C101" i="21"/>
  <c r="F27" i="16"/>
  <c r="D101" i="21"/>
  <c r="E27" i="16"/>
  <c r="E35" i="16" s="1"/>
  <c r="E36" i="16" s="1"/>
  <c r="E101" i="21"/>
  <c r="E102" i="21" s="1"/>
  <c r="D149" i="21" s="1"/>
  <c r="D27" i="16"/>
  <c r="D35" i="16" s="1"/>
  <c r="F101" i="21"/>
  <c r="F102" i="21" s="1"/>
  <c r="E149" i="21" s="1"/>
  <c r="C27" i="16"/>
  <c r="G101" i="21"/>
  <c r="M23" i="16"/>
  <c r="L23" i="16"/>
  <c r="K23" i="16"/>
  <c r="K24" i="16" s="1"/>
  <c r="K25" i="16" s="1"/>
  <c r="J23" i="16"/>
  <c r="J24" i="16" s="1"/>
  <c r="J25" i="16" s="1"/>
  <c r="I23" i="16"/>
  <c r="H23" i="16"/>
  <c r="G23" i="16"/>
  <c r="F23" i="16"/>
  <c r="E23" i="16"/>
  <c r="D23" i="16"/>
  <c r="D17" i="4" s="1"/>
  <c r="C23" i="16"/>
  <c r="E17" i="4" s="1"/>
  <c r="M21" i="16"/>
  <c r="L21" i="16"/>
  <c r="K21" i="16"/>
  <c r="J21" i="16"/>
  <c r="I21" i="16"/>
  <c r="H21" i="16"/>
  <c r="G21" i="16"/>
  <c r="F21" i="16"/>
  <c r="E21" i="16"/>
  <c r="E22" i="16" s="1"/>
  <c r="D21" i="16"/>
  <c r="D16" i="4" s="1"/>
  <c r="C21" i="16"/>
  <c r="E16" i="4" s="1"/>
  <c r="B21" i="16"/>
  <c r="M17" i="16"/>
  <c r="M17" i="20"/>
  <c r="L17" i="16"/>
  <c r="L17" i="20"/>
  <c r="K17" i="16"/>
  <c r="K17" i="20"/>
  <c r="J17" i="16"/>
  <c r="J17" i="20"/>
  <c r="I17" i="16"/>
  <c r="I17" i="20" s="1"/>
  <c r="H17" i="16"/>
  <c r="H17" i="20" s="1"/>
  <c r="G17" i="16"/>
  <c r="G17" i="20"/>
  <c r="F17" i="16"/>
  <c r="F17" i="20" s="1"/>
  <c r="E17" i="16"/>
  <c r="E17" i="20"/>
  <c r="E19" i="20" s="1"/>
  <c r="E20" i="20" s="1"/>
  <c r="D17" i="16"/>
  <c r="D17" i="20" s="1"/>
  <c r="D19" i="20" s="1"/>
  <c r="C17" i="16"/>
  <c r="C17" i="20"/>
  <c r="B17" i="16"/>
  <c r="B17" i="20" s="1"/>
  <c r="M15" i="16"/>
  <c r="L15" i="16"/>
  <c r="K15" i="16"/>
  <c r="J15" i="16"/>
  <c r="J19" i="16" s="1"/>
  <c r="J20" i="16" s="1"/>
  <c r="I15" i="16"/>
  <c r="I16" i="16" s="1"/>
  <c r="H15" i="16"/>
  <c r="G15" i="16"/>
  <c r="F15" i="16"/>
  <c r="E15" i="16"/>
  <c r="E19" i="16" s="1"/>
  <c r="D15" i="16"/>
  <c r="C15" i="16"/>
  <c r="M14" i="16"/>
  <c r="L14" i="16"/>
  <c r="K14" i="16"/>
  <c r="J14" i="16"/>
  <c r="I14" i="16"/>
  <c r="H14" i="16"/>
  <c r="G14" i="16"/>
  <c r="F14" i="16"/>
  <c r="E14" i="16"/>
  <c r="D14" i="16"/>
  <c r="D13" i="4" s="1"/>
  <c r="D15" i="4" s="1"/>
  <c r="C14" i="16"/>
  <c r="E13" i="4"/>
  <c r="C11" i="16"/>
  <c r="E8" i="4" s="1"/>
  <c r="E12" i="4" s="1"/>
  <c r="D11" i="16"/>
  <c r="E11" i="16"/>
  <c r="F11" i="16"/>
  <c r="G11" i="16"/>
  <c r="H11" i="16"/>
  <c r="I11" i="16"/>
  <c r="J11" i="16"/>
  <c r="J12" i="16" s="1"/>
  <c r="K11" i="16"/>
  <c r="L11" i="16"/>
  <c r="M11" i="16"/>
  <c r="C7" i="16"/>
  <c r="D7" i="16"/>
  <c r="D8" i="16" s="1"/>
  <c r="E7" i="16"/>
  <c r="F7" i="16"/>
  <c r="G7" i="16"/>
  <c r="G8" i="16" s="1"/>
  <c r="H7" i="16"/>
  <c r="I7" i="16"/>
  <c r="J7" i="16"/>
  <c r="K7" i="16"/>
  <c r="L7" i="16"/>
  <c r="M7" i="16"/>
  <c r="B7" i="16"/>
  <c r="M5" i="16"/>
  <c r="L5" i="16"/>
  <c r="K5" i="16"/>
  <c r="J5" i="16"/>
  <c r="I5" i="16"/>
  <c r="H5" i="16"/>
  <c r="G5" i="16"/>
  <c r="G24" i="16" s="1"/>
  <c r="F5" i="16"/>
  <c r="E5" i="16"/>
  <c r="E12" i="16" s="1"/>
  <c r="C51" i="10"/>
  <c r="D5" i="16"/>
  <c r="D6" i="4"/>
  <c r="C5" i="16"/>
  <c r="B5" i="16"/>
  <c r="M13" i="17"/>
  <c r="L13" i="17"/>
  <c r="K13" i="17"/>
  <c r="J13" i="17"/>
  <c r="I13" i="17"/>
  <c r="H13" i="17"/>
  <c r="G13" i="17"/>
  <c r="E13" i="17"/>
  <c r="D68" i="16"/>
  <c r="E68" i="16"/>
  <c r="F68" i="16"/>
  <c r="G68" i="16"/>
  <c r="H68" i="16"/>
  <c r="I68" i="16"/>
  <c r="K68" i="16"/>
  <c r="M71" i="16"/>
  <c r="L71" i="16"/>
  <c r="K71" i="16"/>
  <c r="J71" i="16"/>
  <c r="I71" i="16"/>
  <c r="H71" i="16"/>
  <c r="G71" i="16"/>
  <c r="F71" i="16"/>
  <c r="E71" i="16"/>
  <c r="D71" i="16"/>
  <c r="C71" i="16"/>
  <c r="B71" i="16"/>
  <c r="B67" i="16"/>
  <c r="M75" i="16"/>
  <c r="L75" i="16"/>
  <c r="K75" i="16"/>
  <c r="J75" i="16"/>
  <c r="I75" i="16"/>
  <c r="H75" i="16"/>
  <c r="G75" i="16"/>
  <c r="F75" i="16"/>
  <c r="E75" i="16"/>
  <c r="D75" i="16"/>
  <c r="C75" i="16"/>
  <c r="M67" i="16"/>
  <c r="J67" i="16"/>
  <c r="I67" i="16"/>
  <c r="H67" i="16"/>
  <c r="G67" i="16"/>
  <c r="F67" i="16"/>
  <c r="E67" i="16"/>
  <c r="D67" i="16"/>
  <c r="C67" i="16"/>
  <c r="C31" i="17"/>
  <c r="D31" i="17"/>
  <c r="E31" i="17"/>
  <c r="F31" i="17"/>
  <c r="G31" i="17"/>
  <c r="H31" i="17"/>
  <c r="I31" i="17"/>
  <c r="J31" i="17"/>
  <c r="L31" i="17"/>
  <c r="M31" i="17"/>
  <c r="C44" i="16"/>
  <c r="B44" i="20"/>
  <c r="B56" i="16"/>
  <c r="D50" i="17"/>
  <c r="D55" i="16"/>
  <c r="E50" i="17"/>
  <c r="E55" i="16"/>
  <c r="F50" i="17"/>
  <c r="F55" i="16"/>
  <c r="G50" i="17"/>
  <c r="G55" i="20"/>
  <c r="H50" i="17"/>
  <c r="H55" i="20"/>
  <c r="I50" i="17"/>
  <c r="I55" i="20"/>
  <c r="J50" i="17"/>
  <c r="J55" i="20"/>
  <c r="L50" i="17"/>
  <c r="L55" i="20"/>
  <c r="M50" i="17"/>
  <c r="M55" i="16"/>
  <c r="B55" i="16"/>
  <c r="C46" i="17"/>
  <c r="C51" i="16"/>
  <c r="D46" i="17"/>
  <c r="D51" i="16"/>
  <c r="E46" i="17"/>
  <c r="F51" i="20"/>
  <c r="G46" i="17"/>
  <c r="G51" i="20"/>
  <c r="H46" i="17"/>
  <c r="H51" i="20"/>
  <c r="I46" i="17"/>
  <c r="J46" i="17"/>
  <c r="J51" i="16"/>
  <c r="K46" i="17"/>
  <c r="K51" i="20"/>
  <c r="L46" i="17"/>
  <c r="L51" i="20"/>
  <c r="M46" i="17"/>
  <c r="M51" i="20"/>
  <c r="B51" i="16"/>
  <c r="AB38" i="17"/>
  <c r="B16" i="3"/>
  <c r="H29" i="1"/>
  <c r="K18" i="3"/>
  <c r="I19" i="16"/>
  <c r="F16" i="16"/>
  <c r="E16" i="16"/>
  <c r="D147" i="21"/>
  <c r="D16" i="16"/>
  <c r="G102" i="21"/>
  <c r="F149" i="21"/>
  <c r="J16" i="16"/>
  <c r="D8" i="4"/>
  <c r="D19" i="16"/>
  <c r="D20" i="16" s="1"/>
  <c r="D102" i="21"/>
  <c r="C149" i="21" s="1"/>
  <c r="G16" i="16"/>
  <c r="B14" i="3"/>
  <c r="H27" i="1" s="1"/>
  <c r="C37" i="17"/>
  <c r="I43" i="10"/>
  <c r="D20" i="20"/>
  <c r="E30" i="4"/>
  <c r="L58" i="16"/>
  <c r="M58" i="16"/>
  <c r="E23" i="4"/>
  <c r="E24" i="4"/>
  <c r="E51" i="16"/>
  <c r="E58" i="16"/>
  <c r="O18" i="3"/>
  <c r="L18" i="3"/>
  <c r="N9" i="3"/>
  <c r="O9" i="3"/>
  <c r="B17" i="3"/>
  <c r="H30" i="1" s="1"/>
  <c r="B15" i="3"/>
  <c r="C24" i="10"/>
  <c r="D13" i="17"/>
  <c r="C13" i="17"/>
  <c r="C14" i="17"/>
  <c r="C58" i="20"/>
  <c r="D58" i="20"/>
  <c r="D59" i="20" s="1"/>
  <c r="L58" i="20"/>
  <c r="E8" i="16"/>
  <c r="L34" i="20"/>
  <c r="M24" i="16"/>
  <c r="M25" i="16"/>
  <c r="M24" i="20"/>
  <c r="M25" i="20"/>
  <c r="J35" i="20"/>
  <c r="J36" i="20"/>
  <c r="J34" i="20"/>
  <c r="L51" i="16"/>
  <c r="E22" i="20"/>
  <c r="M22" i="20"/>
  <c r="L55" i="16"/>
  <c r="J24" i="20"/>
  <c r="L26" i="20"/>
  <c r="L29" i="20"/>
  <c r="L8" i="20"/>
  <c r="M29" i="20"/>
  <c r="I58" i="20"/>
  <c r="I6" i="20"/>
  <c r="M8" i="20"/>
  <c r="L24" i="20"/>
  <c r="F51" i="16"/>
  <c r="L22" i="16"/>
  <c r="M51" i="16"/>
  <c r="M16" i="16"/>
  <c r="B51" i="20"/>
  <c r="F24" i="16"/>
  <c r="F25" i="16" s="1"/>
  <c r="H55" i="16"/>
  <c r="D51" i="20"/>
  <c r="M8" i="16"/>
  <c r="G22" i="16"/>
  <c r="I55" i="16"/>
  <c r="D12" i="20"/>
  <c r="L19" i="20"/>
  <c r="L20" i="20"/>
  <c r="G34" i="20"/>
  <c r="E51" i="20"/>
  <c r="L8" i="16"/>
  <c r="J55" i="16"/>
  <c r="M19" i="20"/>
  <c r="M20" i="20"/>
  <c r="D34" i="20"/>
  <c r="I35" i="20"/>
  <c r="I36" i="20"/>
  <c r="I34" i="20"/>
  <c r="M34" i="20"/>
  <c r="D55" i="20"/>
  <c r="B56" i="20"/>
  <c r="E55" i="20"/>
  <c r="F55" i="20"/>
  <c r="F8" i="16"/>
  <c r="K9" i="20"/>
  <c r="K10" i="20"/>
  <c r="K6" i="20"/>
  <c r="C51" i="20"/>
  <c r="M9" i="20"/>
  <c r="M10" i="20"/>
  <c r="M6" i="20"/>
  <c r="L12" i="20"/>
  <c r="E58" i="20"/>
  <c r="E59" i="20" s="1"/>
  <c r="M58" i="20"/>
  <c r="G51" i="16"/>
  <c r="G55" i="16"/>
  <c r="M12" i="20"/>
  <c r="M13" i="20"/>
  <c r="F35" i="20"/>
  <c r="F36" i="20"/>
  <c r="C44" i="20"/>
  <c r="E12" i="20"/>
  <c r="H51" i="16"/>
  <c r="E16" i="20"/>
  <c r="J51" i="20"/>
  <c r="B55" i="20"/>
  <c r="I51" i="20"/>
  <c r="I51" i="16"/>
  <c r="J8" i="16"/>
  <c r="K51" i="16"/>
  <c r="L16" i="20"/>
  <c r="M55" i="20"/>
  <c r="K22" i="16"/>
  <c r="L24" i="16"/>
  <c r="L16" i="16"/>
  <c r="D12" i="16"/>
  <c r="J6" i="20"/>
  <c r="K22" i="20"/>
  <c r="C24" i="20"/>
  <c r="C25" i="20" s="1"/>
  <c r="D16" i="20"/>
  <c r="I9" i="20"/>
  <c r="I10" i="20"/>
  <c r="D9" i="20"/>
  <c r="D10" i="20"/>
  <c r="D24" i="20"/>
  <c r="L22" i="20"/>
  <c r="L6" i="20"/>
  <c r="L9" i="20"/>
  <c r="L10" i="20"/>
  <c r="E4" i="20"/>
  <c r="L35" i="20"/>
  <c r="L36" i="20"/>
  <c r="E35" i="20"/>
  <c r="E36" i="20"/>
  <c r="M35" i="20"/>
  <c r="M36" i="20"/>
  <c r="I26" i="20"/>
  <c r="G12" i="16"/>
  <c r="F22" i="16"/>
  <c r="D24" i="16"/>
  <c r="K12" i="16"/>
  <c r="J13" i="16" s="1"/>
  <c r="L12" i="16"/>
  <c r="J22" i="16"/>
  <c r="M12" i="16"/>
  <c r="M13" i="16"/>
  <c r="M22" i="16"/>
  <c r="B2" i="3"/>
  <c r="B5" i="17"/>
  <c r="B4" i="16"/>
  <c r="L47" i="1"/>
  <c r="M47" i="1"/>
  <c r="B55" i="1"/>
  <c r="B54" i="1"/>
  <c r="B53" i="1"/>
  <c r="B52" i="1"/>
  <c r="B51" i="1"/>
  <c r="B82" i="17"/>
  <c r="I26" i="10"/>
  <c r="C12" i="19"/>
  <c r="C13" i="19"/>
  <c r="C14" i="19"/>
  <c r="C15" i="19"/>
  <c r="C18" i="19"/>
  <c r="C19" i="19"/>
  <c r="C20" i="19"/>
  <c r="C21" i="19"/>
  <c r="C22" i="19"/>
  <c r="C7" i="19"/>
  <c r="C10" i="19"/>
  <c r="I12" i="10"/>
  <c r="I40" i="10"/>
  <c r="M22" i="17"/>
  <c r="C87" i="17"/>
  <c r="D87" i="17"/>
  <c r="AD53" i="17"/>
  <c r="AC53" i="17"/>
  <c r="AD52" i="17"/>
  <c r="AC52" i="17"/>
  <c r="AG49" i="17"/>
  <c r="AG52" i="17"/>
  <c r="AF49" i="17"/>
  <c r="AE49" i="17"/>
  <c r="AB49" i="17"/>
  <c r="AB52" i="17"/>
  <c r="AA49" i="17"/>
  <c r="AA52" i="17"/>
  <c r="Z49" i="17"/>
  <c r="Z52" i="17"/>
  <c r="E56" i="17"/>
  <c r="AD48" i="17"/>
  <c r="AC48" i="17"/>
  <c r="AB48" i="17"/>
  <c r="AA48" i="17"/>
  <c r="Z48" i="17"/>
  <c r="AG44" i="17"/>
  <c r="AG48" i="17"/>
  <c r="AF44" i="17"/>
  <c r="AF48" i="17"/>
  <c r="AE44" i="17"/>
  <c r="AE48" i="17"/>
  <c r="AG39" i="17"/>
  <c r="AF39" i="17"/>
  <c r="AE39" i="17"/>
  <c r="AD39" i="17"/>
  <c r="AC39" i="17"/>
  <c r="AB31" i="17"/>
  <c r="AB39" i="17"/>
  <c r="AA31" i="17"/>
  <c r="AA39" i="17"/>
  <c r="Z31" i="17"/>
  <c r="Z39" i="17"/>
  <c r="M14" i="17"/>
  <c r="L14" i="17"/>
  <c r="K14" i="17"/>
  <c r="I14" i="17"/>
  <c r="H14" i="17"/>
  <c r="G14" i="17"/>
  <c r="F14" i="17"/>
  <c r="E14" i="17"/>
  <c r="AA25" i="17"/>
  <c r="O74" i="17"/>
  <c r="AE12" i="17"/>
  <c r="AG11" i="17"/>
  <c r="AF11" i="17"/>
  <c r="AE11" i="17"/>
  <c r="AD11" i="17"/>
  <c r="L22" i="17"/>
  <c r="H22" i="17"/>
  <c r="J22" i="17"/>
  <c r="C72" i="21"/>
  <c r="F22" i="17"/>
  <c r="E22" i="17"/>
  <c r="E72" i="21"/>
  <c r="C22" i="17"/>
  <c r="G72" i="21"/>
  <c r="E21" i="4"/>
  <c r="E22" i="4"/>
  <c r="AG9" i="17"/>
  <c r="AF9" i="17"/>
  <c r="AD9" i="17"/>
  <c r="AC9" i="17"/>
  <c r="AB9" i="17"/>
  <c r="AA9" i="17"/>
  <c r="Z9" i="17"/>
  <c r="AG10" i="17"/>
  <c r="AF10" i="17"/>
  <c r="AE10" i="17"/>
  <c r="AD10" i="17"/>
  <c r="AC10" i="17"/>
  <c r="AB10" i="17"/>
  <c r="AA10" i="17"/>
  <c r="Z10" i="17"/>
  <c r="AG7" i="17"/>
  <c r="AG8" i="17"/>
  <c r="AF7" i="17"/>
  <c r="AF8" i="17"/>
  <c r="AE7" i="17"/>
  <c r="AE8" i="17"/>
  <c r="AD7" i="17"/>
  <c r="AD8" i="17"/>
  <c r="AC7" i="17"/>
  <c r="AC8" i="17"/>
  <c r="AB7" i="17"/>
  <c r="AB8" i="17"/>
  <c r="AA7" i="17"/>
  <c r="AA8" i="17"/>
  <c r="Z7" i="17"/>
  <c r="Z8" i="17"/>
  <c r="O7" i="17"/>
  <c r="A2" i="16"/>
  <c r="A1" i="16"/>
  <c r="M53" i="1" s="1"/>
  <c r="D9" i="3"/>
  <c r="Z13" i="17"/>
  <c r="Z14" i="17"/>
  <c r="C73" i="21"/>
  <c r="C77" i="21"/>
  <c r="D12" i="4"/>
  <c r="D7" i="4"/>
  <c r="D77" i="21"/>
  <c r="G73" i="21"/>
  <c r="F145" i="21"/>
  <c r="G77" i="21"/>
  <c r="E73" i="21"/>
  <c r="D145" i="21"/>
  <c r="E77" i="21"/>
  <c r="C5" i="17"/>
  <c r="D5" i="17"/>
  <c r="H28" i="1"/>
  <c r="B5" i="3"/>
  <c r="C115" i="21"/>
  <c r="B7" i="3"/>
  <c r="B6" i="3"/>
  <c r="H22" i="1" s="1"/>
  <c r="C116" i="21"/>
  <c r="B8" i="3"/>
  <c r="C59" i="20"/>
  <c r="L30" i="20"/>
  <c r="L31" i="20"/>
  <c r="L25" i="16"/>
  <c r="L25" i="20"/>
  <c r="M30" i="20"/>
  <c r="M31" i="20"/>
  <c r="L13" i="20"/>
  <c r="D13" i="20"/>
  <c r="H18" i="16"/>
  <c r="H18" i="20"/>
  <c r="E18" i="20"/>
  <c r="E18" i="16"/>
  <c r="L18" i="20"/>
  <c r="L18" i="16"/>
  <c r="D56" i="20"/>
  <c r="D56" i="16"/>
  <c r="K18" i="20"/>
  <c r="K18" i="16"/>
  <c r="G56" i="16"/>
  <c r="G56" i="20"/>
  <c r="C18" i="20"/>
  <c r="C18" i="16"/>
  <c r="C43" i="20"/>
  <c r="C43" i="16"/>
  <c r="J56" i="16"/>
  <c r="J56" i="20"/>
  <c r="F18" i="20"/>
  <c r="F18" i="16"/>
  <c r="E56" i="20"/>
  <c r="E56" i="16"/>
  <c r="B80" i="16"/>
  <c r="B69" i="20"/>
  <c r="B43" i="16"/>
  <c r="B43" i="20"/>
  <c r="B80" i="20"/>
  <c r="G18" i="16"/>
  <c r="G18" i="20"/>
  <c r="B64" i="16"/>
  <c r="C70" i="10" s="1"/>
  <c r="B63" i="20"/>
  <c r="H56" i="16"/>
  <c r="H56" i="20"/>
  <c r="I18" i="20"/>
  <c r="I18" i="16"/>
  <c r="B82" i="16"/>
  <c r="B71" i="20"/>
  <c r="B70" i="20"/>
  <c r="B81" i="16"/>
  <c r="J18" i="20"/>
  <c r="J18" i="16"/>
  <c r="L56" i="20"/>
  <c r="L56" i="16"/>
  <c r="M56" i="20"/>
  <c r="M56" i="16"/>
  <c r="F56" i="16"/>
  <c r="F56" i="20"/>
  <c r="I56" i="16"/>
  <c r="I56" i="20"/>
  <c r="M18" i="16"/>
  <c r="M18" i="20"/>
  <c r="D18" i="16"/>
  <c r="D18" i="20"/>
  <c r="F4" i="20"/>
  <c r="G4" i="20"/>
  <c r="H4" i="20"/>
  <c r="I4" i="20"/>
  <c r="J4" i="20"/>
  <c r="K4" i="20"/>
  <c r="L4" i="20"/>
  <c r="M4" i="20"/>
  <c r="L13" i="16"/>
  <c r="D13" i="16"/>
  <c r="AD13" i="17"/>
  <c r="AD14" i="17"/>
  <c r="AB53" i="17"/>
  <c r="AG53" i="17"/>
  <c r="Z53" i="17"/>
  <c r="AA13" i="17"/>
  <c r="AA14" i="17"/>
  <c r="AC13" i="17"/>
  <c r="AC14" i="17"/>
  <c r="AG13" i="17"/>
  <c r="AG14" i="17"/>
  <c r="AA53" i="17"/>
  <c r="AB13" i="17"/>
  <c r="AB14" i="17"/>
  <c r="AE13" i="17"/>
  <c r="AE14" i="17"/>
  <c r="AE53" i="17"/>
  <c r="AF13" i="17"/>
  <c r="AF14" i="17"/>
  <c r="AF53" i="17"/>
  <c r="AF52" i="17"/>
  <c r="AE52" i="17"/>
  <c r="C4" i="16"/>
  <c r="D4" i="16"/>
  <c r="E4" i="16"/>
  <c r="F4" i="16"/>
  <c r="B91" i="16"/>
  <c r="I39" i="10"/>
  <c r="B50" i="1"/>
  <c r="C80" i="20"/>
  <c r="D80" i="20"/>
  <c r="E5" i="17"/>
  <c r="E80" i="20"/>
  <c r="H21" i="1"/>
  <c r="B9" i="3"/>
  <c r="I24" i="10"/>
  <c r="G4" i="16"/>
  <c r="B49" i="1"/>
  <c r="F5" i="17"/>
  <c r="G5" i="17"/>
  <c r="I19" i="10"/>
  <c r="H4" i="16"/>
  <c r="B48" i="1"/>
  <c r="H5" i="17"/>
  <c r="I4" i="16"/>
  <c r="J4" i="16"/>
  <c r="B47" i="1"/>
  <c r="K42" i="21"/>
  <c r="K40" i="21"/>
  <c r="I7" i="4"/>
  <c r="I8" i="4"/>
  <c r="K39" i="21"/>
  <c r="I5" i="17"/>
  <c r="J5" i="17"/>
  <c r="K4" i="16"/>
  <c r="K5" i="17"/>
  <c r="L4" i="16"/>
  <c r="L5" i="17"/>
  <c r="M4" i="16"/>
  <c r="M5" i="17"/>
  <c r="D91" i="16"/>
  <c r="E91" i="16"/>
  <c r="M6" i="16"/>
  <c r="I34" i="16"/>
  <c r="G9" i="16"/>
  <c r="G10" i="16"/>
  <c r="C34" i="16"/>
  <c r="C91" i="16"/>
  <c r="K26" i="16"/>
  <c r="K29" i="16" s="1"/>
  <c r="K30" i="16" s="1"/>
  <c r="K31" i="16" s="1"/>
  <c r="L34" i="16"/>
  <c r="M34" i="16"/>
  <c r="M19" i="16"/>
  <c r="M20" i="16"/>
  <c r="L6" i="16"/>
  <c r="M9" i="16"/>
  <c r="M10" i="16"/>
  <c r="M29" i="16"/>
  <c r="M30" i="16"/>
  <c r="M31" i="16"/>
  <c r="E26" i="16"/>
  <c r="E29" i="16" s="1"/>
  <c r="M35" i="16"/>
  <c r="M36" i="16"/>
  <c r="L26" i="16"/>
  <c r="L29" i="16"/>
  <c r="C35" i="16"/>
  <c r="C36" i="16" s="1"/>
  <c r="L35" i="16"/>
  <c r="L36" i="16"/>
  <c r="F35" i="16"/>
  <c r="F36" i="16"/>
  <c r="F29" i="16"/>
  <c r="E9" i="16"/>
  <c r="E10" i="16"/>
  <c r="D6" i="16"/>
  <c r="D5" i="4" s="1"/>
  <c r="D36" i="16"/>
  <c r="J9" i="16"/>
  <c r="J10" i="16"/>
  <c r="J6" i="16"/>
  <c r="K6" i="16"/>
  <c r="L9" i="16"/>
  <c r="L10" i="16"/>
  <c r="L19" i="16"/>
  <c r="L20" i="16"/>
  <c r="D9" i="16"/>
  <c r="D10" i="16" s="1"/>
  <c r="F6" i="16"/>
  <c r="F34" i="16"/>
  <c r="E20" i="16"/>
  <c r="I32" i="10"/>
  <c r="M60" i="16"/>
  <c r="L60" i="16"/>
  <c r="L30" i="16"/>
  <c r="L31" i="16"/>
  <c r="Q51" i="1"/>
  <c r="Q52" i="1"/>
  <c r="Q53" i="1"/>
  <c r="Q49" i="1"/>
  <c r="F58" i="1"/>
  <c r="F56" i="1"/>
  <c r="F59" i="1"/>
  <c r="Q54" i="1"/>
  <c r="Q50" i="1"/>
  <c r="Q55" i="1"/>
  <c r="F57" i="1"/>
  <c r="F37" i="17"/>
  <c r="J56" i="17"/>
  <c r="J37" i="17"/>
  <c r="M44" i="16"/>
  <c r="M59" i="16"/>
  <c r="M36" i="17"/>
  <c r="M37" i="17"/>
  <c r="I44" i="16"/>
  <c r="I37" i="17"/>
  <c r="I43" i="16"/>
  <c r="E44" i="16"/>
  <c r="E37" i="17"/>
  <c r="G37" i="17"/>
  <c r="K37" i="17"/>
  <c r="H56" i="17"/>
  <c r="H37" i="17"/>
  <c r="L44" i="16"/>
  <c r="L59" i="16"/>
  <c r="L37" i="17"/>
  <c r="L43" i="16"/>
  <c r="L44" i="20"/>
  <c r="L59" i="20"/>
  <c r="G56" i="17"/>
  <c r="G64" i="16"/>
  <c r="G44" i="20"/>
  <c r="J44" i="16"/>
  <c r="J59" i="16"/>
  <c r="J44" i="20"/>
  <c r="H64" i="16"/>
  <c r="H63" i="20"/>
  <c r="K43" i="20"/>
  <c r="K43" i="16"/>
  <c r="F43" i="20"/>
  <c r="F43" i="16"/>
  <c r="J43" i="20"/>
  <c r="J43" i="16"/>
  <c r="G43" i="16"/>
  <c r="G43" i="20"/>
  <c r="M56" i="17"/>
  <c r="F56" i="17"/>
  <c r="H44" i="20"/>
  <c r="F44" i="20"/>
  <c r="K44" i="16"/>
  <c r="K59" i="16"/>
  <c r="F44" i="16"/>
  <c r="G44" i="16"/>
  <c r="H44" i="16"/>
  <c r="K44" i="20"/>
  <c r="K59" i="20"/>
  <c r="L43" i="20"/>
  <c r="I43" i="20"/>
  <c r="E44" i="20"/>
  <c r="L56" i="17"/>
  <c r="M44" i="20"/>
  <c r="M59" i="20"/>
  <c r="I44" i="20"/>
  <c r="I59" i="20"/>
  <c r="I56" i="17"/>
  <c r="G63" i="20"/>
  <c r="M64" i="16"/>
  <c r="M63" i="20"/>
  <c r="I64" i="16"/>
  <c r="I63" i="20"/>
  <c r="M43" i="16"/>
  <c r="M43" i="20"/>
  <c r="H43" i="20"/>
  <c r="H43" i="16"/>
  <c r="E43" i="16"/>
  <c r="E43" i="20"/>
  <c r="F64" i="16"/>
  <c r="F63" i="20"/>
  <c r="J64" i="16"/>
  <c r="J63" i="20"/>
  <c r="L64" i="16"/>
  <c r="L63" i="20"/>
  <c r="E64" i="16"/>
  <c r="E63" i="20"/>
  <c r="D37" i="17"/>
  <c r="D43" i="20"/>
  <c r="D56" i="17"/>
  <c r="D64" i="16"/>
  <c r="C56" i="17"/>
  <c r="C64" i="16"/>
  <c r="C56" i="16"/>
  <c r="C50" i="17"/>
  <c r="C56" i="20"/>
  <c r="C52" i="20"/>
  <c r="D43" i="16"/>
  <c r="D63" i="20"/>
  <c r="D44" i="20"/>
  <c r="D44" i="16"/>
  <c r="C55" i="16"/>
  <c r="C55" i="20"/>
  <c r="C52" i="16"/>
  <c r="C63" i="20"/>
  <c r="B68" i="16"/>
  <c r="B75" i="16"/>
  <c r="C68" i="16"/>
  <c r="E25" i="4"/>
  <c r="E26" i="4"/>
  <c r="E34" i="4"/>
  <c r="K55" i="20"/>
  <c r="K56" i="17"/>
  <c r="K56" i="16"/>
  <c r="K52" i="16"/>
  <c r="K55" i="16"/>
  <c r="K52" i="20"/>
  <c r="K64" i="16"/>
  <c r="K63" i="20"/>
  <c r="K56" i="20"/>
  <c r="K67" i="16"/>
  <c r="L63" i="17"/>
  <c r="L67" i="16"/>
  <c r="J68" i="16"/>
  <c r="L68" i="16"/>
  <c r="M68" i="16"/>
  <c r="J27" i="21"/>
  <c r="J24" i="21" s="1"/>
  <c r="M30" i="21"/>
  <c r="M28" i="21"/>
  <c r="M27" i="21"/>
  <c r="M24" i="21" s="1"/>
  <c r="W49" i="21"/>
  <c r="AB49" i="21"/>
  <c r="AG49" i="21"/>
  <c r="D11" i="4"/>
  <c r="G18" i="3" l="1"/>
  <c r="E9" i="3"/>
  <c r="D117" i="21"/>
  <c r="E117" i="21"/>
  <c r="C122" i="21" s="1"/>
  <c r="C119" i="21" s="1"/>
  <c r="D50" i="4" s="1"/>
  <c r="F50" i="4" s="1"/>
  <c r="AD45" i="4" s="1"/>
  <c r="B18" i="3"/>
  <c r="F9" i="20"/>
  <c r="F10" i="20" s="1"/>
  <c r="F24" i="20"/>
  <c r="F25" i="20" s="1"/>
  <c r="F22" i="20"/>
  <c r="F6" i="20"/>
  <c r="F12" i="20"/>
  <c r="E6" i="20"/>
  <c r="E129" i="21"/>
  <c r="E59" i="16"/>
  <c r="K8" i="16"/>
  <c r="K16" i="16"/>
  <c r="K25" i="20"/>
  <c r="J25" i="20"/>
  <c r="J59" i="20"/>
  <c r="G36" i="20"/>
  <c r="K26" i="20"/>
  <c r="K29" i="20" s="1"/>
  <c r="K30" i="20" s="1"/>
  <c r="K31" i="20" s="1"/>
  <c r="J26" i="20"/>
  <c r="J29" i="20" s="1"/>
  <c r="J30" i="20" s="1"/>
  <c r="J31" i="20" s="1"/>
  <c r="G108" i="21"/>
  <c r="G109" i="21" s="1"/>
  <c r="F150" i="21" s="1"/>
  <c r="E29" i="4"/>
  <c r="J30" i="16"/>
  <c r="J31" i="16" s="1"/>
  <c r="I19" i="20"/>
  <c r="I20" i="20" s="1"/>
  <c r="I8" i="16"/>
  <c r="I22" i="16"/>
  <c r="I6" i="16"/>
  <c r="I24" i="16"/>
  <c r="I25" i="16" s="1"/>
  <c r="I9" i="16"/>
  <c r="I10" i="16" s="1"/>
  <c r="D60" i="16"/>
  <c r="F129" i="21"/>
  <c r="C29" i="20"/>
  <c r="C30" i="20" s="1"/>
  <c r="C31" i="20" s="1"/>
  <c r="D30" i="16"/>
  <c r="D31" i="16" s="1"/>
  <c r="C29" i="16"/>
  <c r="C30" i="16" s="1"/>
  <c r="C31" i="16" s="1"/>
  <c r="C6" i="16"/>
  <c r="E6" i="4"/>
  <c r="C9" i="16"/>
  <c r="C10" i="16" s="1"/>
  <c r="C52" i="10"/>
  <c r="F147" i="21"/>
  <c r="C22" i="16"/>
  <c r="F12" i="16"/>
  <c r="F13" i="16" s="1"/>
  <c r="F19" i="16"/>
  <c r="F20" i="16" s="1"/>
  <c r="F9" i="16"/>
  <c r="F10" i="16" s="1"/>
  <c r="F59" i="16"/>
  <c r="F60" i="16"/>
  <c r="G19" i="20"/>
  <c r="G20" i="20" s="1"/>
  <c r="G16" i="20"/>
  <c r="G12" i="20"/>
  <c r="G9" i="20"/>
  <c r="G10" i="20" s="1"/>
  <c r="C16" i="16"/>
  <c r="C8" i="16"/>
  <c r="J13" i="20"/>
  <c r="E60" i="16"/>
  <c r="E30" i="16"/>
  <c r="E31" i="16" s="1"/>
  <c r="C12" i="16"/>
  <c r="C13" i="16" s="1"/>
  <c r="C24" i="16"/>
  <c r="C25" i="16" s="1"/>
  <c r="D59" i="16"/>
  <c r="D44" i="4"/>
  <c r="E13" i="20"/>
  <c r="E13" i="16"/>
  <c r="E25" i="20"/>
  <c r="I12" i="20"/>
  <c r="I13" i="20" s="1"/>
  <c r="J35" i="16"/>
  <c r="J36" i="16" s="1"/>
  <c r="G8" i="20"/>
  <c r="I20" i="16"/>
  <c r="C16" i="20"/>
  <c r="C9" i="20"/>
  <c r="C10" i="20" s="1"/>
  <c r="I26" i="16"/>
  <c r="I29" i="16" s="1"/>
  <c r="I30" i="16" s="1"/>
  <c r="I31" i="16" s="1"/>
  <c r="K13" i="16"/>
  <c r="D25" i="20"/>
  <c r="I12" i="16"/>
  <c r="I13" i="16" s="1"/>
  <c r="G60" i="16"/>
  <c r="K19" i="16"/>
  <c r="K20" i="16" s="1"/>
  <c r="K9" i="16"/>
  <c r="K10" i="16" s="1"/>
  <c r="F8" i="20"/>
  <c r="K12" i="20"/>
  <c r="K13" i="20" s="1"/>
  <c r="K19" i="20"/>
  <c r="K20" i="20" s="1"/>
  <c r="E24" i="16"/>
  <c r="E6" i="16"/>
  <c r="E15" i="4"/>
  <c r="C19" i="20"/>
  <c r="C20" i="20" s="1"/>
  <c r="D22" i="16"/>
  <c r="K16" i="20"/>
  <c r="E147" i="21"/>
  <c r="D30" i="4"/>
  <c r="D35" i="4" s="1"/>
  <c r="D36" i="4" s="1"/>
  <c r="J19" i="20"/>
  <c r="J20" i="20" s="1"/>
  <c r="J16" i="20"/>
  <c r="I16" i="20"/>
  <c r="J9" i="20"/>
  <c r="J10" i="20" s="1"/>
  <c r="G59" i="16"/>
  <c r="I22" i="20"/>
  <c r="C12" i="20"/>
  <c r="C13" i="20" s="1"/>
  <c r="C19" i="16"/>
  <c r="C20" i="16" s="1"/>
  <c r="G19" i="16"/>
  <c r="G20" i="16" s="1"/>
  <c r="C108" i="21"/>
  <c r="G35" i="16"/>
  <c r="G36" i="16" s="1"/>
  <c r="C58" i="16"/>
  <c r="E8" i="20"/>
  <c r="D6" i="20"/>
  <c r="E9" i="20"/>
  <c r="E10" i="20" s="1"/>
  <c r="J8" i="20"/>
  <c r="F19" i="20"/>
  <c r="F20" i="20" s="1"/>
  <c r="B26" i="20"/>
  <c r="B29" i="20" s="1"/>
  <c r="C102" i="21"/>
  <c r="C109" i="21"/>
  <c r="H101" i="21"/>
  <c r="H102" i="21" s="1"/>
  <c r="H37" i="10"/>
  <c r="H36" i="10"/>
  <c r="G37" i="10"/>
  <c r="G36" i="10"/>
  <c r="F36" i="10"/>
  <c r="F37" i="10"/>
  <c r="E36" i="10"/>
  <c r="E37" i="10"/>
  <c r="D36" i="10"/>
  <c r="D37" i="10"/>
  <c r="G145" i="21"/>
  <c r="H145" i="21" s="1"/>
  <c r="H77" i="21"/>
  <c r="B18" i="16"/>
  <c r="V46" i="4"/>
  <c r="Q46" i="4"/>
  <c r="AB47" i="4"/>
  <c r="W46" i="4"/>
  <c r="AA47" i="4"/>
  <c r="Q47" i="4"/>
  <c r="S46" i="4"/>
  <c r="AC45" i="4"/>
  <c r="M46" i="4"/>
  <c r="T83" i="21"/>
  <c r="U83" i="21" s="1"/>
  <c r="V83" i="21" s="1"/>
  <c r="W83" i="21" s="1"/>
  <c r="X83" i="21" s="1"/>
  <c r="R84" i="21"/>
  <c r="C58" i="10"/>
  <c r="F16" i="4"/>
  <c r="C59" i="10"/>
  <c r="C17" i="10" s="1"/>
  <c r="I17" i="10" s="1"/>
  <c r="F17" i="4"/>
  <c r="B16" i="16"/>
  <c r="K24" i="1" s="1"/>
  <c r="C56" i="10"/>
  <c r="N66" i="21"/>
  <c r="L66" i="21"/>
  <c r="J66" i="21"/>
  <c r="M66" i="21"/>
  <c r="K66" i="21"/>
  <c r="K65" i="21" s="1"/>
  <c r="D60" i="4"/>
  <c r="E60" i="4"/>
  <c r="H34" i="16"/>
  <c r="H35" i="16"/>
  <c r="H36" i="16" s="1"/>
  <c r="H24" i="20"/>
  <c r="H25" i="20" s="1"/>
  <c r="H34" i="20"/>
  <c r="H58" i="16"/>
  <c r="H59" i="16" s="1"/>
  <c r="B22" i="16"/>
  <c r="H8" i="16"/>
  <c r="H108" i="21"/>
  <c r="H109" i="21" s="1"/>
  <c r="G150" i="21" s="1"/>
  <c r="H150" i="21" s="1"/>
  <c r="D65" i="4" s="1"/>
  <c r="G148" i="21"/>
  <c r="H58" i="20"/>
  <c r="H59" i="20" s="1"/>
  <c r="B26" i="16"/>
  <c r="B29" i="16" s="1"/>
  <c r="B35" i="20"/>
  <c r="B36" i="20" s="1"/>
  <c r="B34" i="20"/>
  <c r="I36" i="21"/>
  <c r="G11" i="4"/>
  <c r="G20" i="4" s="1"/>
  <c r="J23" i="21"/>
  <c r="K29" i="21" s="1"/>
  <c r="H138" i="21"/>
  <c r="M58" i="21"/>
  <c r="L58" i="21"/>
  <c r="K58" i="21"/>
  <c r="K57" i="21" s="1"/>
  <c r="C57" i="10"/>
  <c r="B16" i="20"/>
  <c r="B34" i="16"/>
  <c r="I52" i="21"/>
  <c r="K52" i="21"/>
  <c r="I16" i="4"/>
  <c r="G9" i="4"/>
  <c r="G41" i="4" s="1"/>
  <c r="C139" i="21"/>
  <c r="H139" i="21" s="1"/>
  <c r="D54" i="4" s="1"/>
  <c r="G10" i="4" s="1"/>
  <c r="G38" i="4" s="1"/>
  <c r="C24" i="1"/>
  <c r="B9" i="20"/>
  <c r="B10" i="20" s="1"/>
  <c r="F26" i="4"/>
  <c r="F34" i="4" s="1"/>
  <c r="B12" i="20"/>
  <c r="B13" i="20" s="1"/>
  <c r="B35" i="16"/>
  <c r="B36" i="16" s="1"/>
  <c r="G26" i="20"/>
  <c r="G29" i="20" s="1"/>
  <c r="F30" i="20" s="1"/>
  <c r="F31" i="20" s="1"/>
  <c r="F30" i="4"/>
  <c r="F32" i="4" s="1"/>
  <c r="H29" i="20"/>
  <c r="B19" i="16"/>
  <c r="K22" i="1" s="1"/>
  <c r="H26" i="16"/>
  <c r="H29" i="16" s="1"/>
  <c r="B19" i="20"/>
  <c r="E23" i="1" s="1"/>
  <c r="B8" i="20"/>
  <c r="B22" i="20"/>
  <c r="B24" i="20"/>
  <c r="B25" i="20" s="1"/>
  <c r="H16" i="16"/>
  <c r="E20" i="1"/>
  <c r="B8" i="16"/>
  <c r="H12" i="16"/>
  <c r="B58" i="20"/>
  <c r="B59" i="20" s="1"/>
  <c r="B12" i="16"/>
  <c r="B13" i="16" s="1"/>
  <c r="C53" i="10"/>
  <c r="G147" i="21"/>
  <c r="B58" i="16"/>
  <c r="B24" i="16"/>
  <c r="F6" i="4"/>
  <c r="G5" i="4" s="1"/>
  <c r="B9" i="16"/>
  <c r="B10" i="16" s="1"/>
  <c r="L13" i="19"/>
  <c r="L7" i="19" s="1"/>
  <c r="H33" i="10"/>
  <c r="H34" i="10"/>
  <c r="H35" i="10"/>
  <c r="I10" i="10"/>
  <c r="M49" i="1"/>
  <c r="C49" i="10"/>
  <c r="H9" i="16"/>
  <c r="H10" i="16" s="1"/>
  <c r="H16" i="20"/>
  <c r="G6" i="16"/>
  <c r="L56" i="1"/>
  <c r="H35" i="20"/>
  <c r="H36" i="20" s="1"/>
  <c r="L49" i="1"/>
  <c r="M52" i="1"/>
  <c r="H22" i="16"/>
  <c r="F30" i="16"/>
  <c r="F31" i="16" s="1"/>
  <c r="M48" i="1"/>
  <c r="E21" i="1"/>
  <c r="M50" i="1"/>
  <c r="H6" i="16"/>
  <c r="K31" i="1"/>
  <c r="F15" i="4"/>
  <c r="H9" i="20"/>
  <c r="H10" i="20" s="1"/>
  <c r="C25" i="10"/>
  <c r="I25" i="10" s="1"/>
  <c r="C20" i="1" a="1"/>
  <c r="C20" i="1" s="1"/>
  <c r="C21" i="1" a="1"/>
  <c r="C21" i="1" s="1"/>
  <c r="E22" i="1" s="1"/>
  <c r="H8" i="20"/>
  <c r="H12" i="20"/>
  <c r="H19" i="20"/>
  <c r="H20" i="20" s="1"/>
  <c r="H19" i="16"/>
  <c r="H20" i="16" s="1"/>
  <c r="M56" i="1"/>
  <c r="H24" i="16"/>
  <c r="G35" i="10"/>
  <c r="G34" i="10"/>
  <c r="G33" i="10"/>
  <c r="F33" i="10"/>
  <c r="F35" i="10"/>
  <c r="F34" i="10"/>
  <c r="C35" i="10"/>
  <c r="E33" i="10"/>
  <c r="E35" i="10"/>
  <c r="E34" i="10"/>
  <c r="G6" i="20"/>
  <c r="H22" i="20"/>
  <c r="L51" i="1"/>
  <c r="M55" i="1"/>
  <c r="K30" i="1"/>
  <c r="L52" i="1"/>
  <c r="L48" i="1"/>
  <c r="K25" i="1"/>
  <c r="H47" i="1" a="1"/>
  <c r="L50" i="1"/>
  <c r="M51" i="1"/>
  <c r="L54" i="1"/>
  <c r="K23" i="1"/>
  <c r="E25" i="1"/>
  <c r="L55" i="1"/>
  <c r="L53" i="1"/>
  <c r="C47" i="1" a="1"/>
  <c r="M54" i="1"/>
  <c r="D33" i="10"/>
  <c r="D35" i="10"/>
  <c r="D34" i="10"/>
  <c r="B6" i="16"/>
  <c r="C45" i="10" a="1"/>
  <c r="C45" i="10" s="1"/>
  <c r="C54" i="10"/>
  <c r="D67" i="4" l="1"/>
  <c r="E67" i="4" s="1"/>
  <c r="L29" i="21"/>
  <c r="K27" i="21"/>
  <c r="T45" i="4"/>
  <c r="R46" i="4"/>
  <c r="AD46" i="4"/>
  <c r="P47" i="4"/>
  <c r="Y47" i="4"/>
  <c r="I46" i="4"/>
  <c r="M45" i="4"/>
  <c r="J47" i="4"/>
  <c r="AB46" i="4"/>
  <c r="G45" i="4"/>
  <c r="H45" i="4"/>
  <c r="K46" i="4"/>
  <c r="H47" i="4"/>
  <c r="AD47" i="4"/>
  <c r="AF46" i="4"/>
  <c r="K47" i="4"/>
  <c r="Q45" i="4"/>
  <c r="X47" i="4"/>
  <c r="M47" i="4"/>
  <c r="W47" i="4"/>
  <c r="V47" i="4"/>
  <c r="H46" i="4"/>
  <c r="O45" i="4"/>
  <c r="J46" i="4"/>
  <c r="Y46" i="4"/>
  <c r="I45" i="4"/>
  <c r="T47" i="4"/>
  <c r="AE45" i="4"/>
  <c r="J41" i="1"/>
  <c r="U47" i="4"/>
  <c r="AF47" i="4"/>
  <c r="R47" i="4"/>
  <c r="P46" i="4"/>
  <c r="S45" i="4"/>
  <c r="N46" i="4"/>
  <c r="N45" i="4"/>
  <c r="AA46" i="4"/>
  <c r="U45" i="4"/>
  <c r="S47" i="4"/>
  <c r="N47" i="4"/>
  <c r="P45" i="4"/>
  <c r="K45" i="4"/>
  <c r="Z45" i="4"/>
  <c r="Z47" i="4"/>
  <c r="X46" i="4"/>
  <c r="W45" i="4"/>
  <c r="G46" i="4"/>
  <c r="I47" i="4"/>
  <c r="AC46" i="4"/>
  <c r="Z46" i="4"/>
  <c r="F46" i="4"/>
  <c r="AC47" i="4"/>
  <c r="O46" i="4"/>
  <c r="V45" i="4"/>
  <c r="L46" i="4"/>
  <c r="AA45" i="4"/>
  <c r="F47" i="4"/>
  <c r="T46" i="4"/>
  <c r="O47" i="4"/>
  <c r="G47" i="4"/>
  <c r="AF45" i="4"/>
  <c r="L45" i="4"/>
  <c r="L9" i="3"/>
  <c r="K9" i="3"/>
  <c r="L47" i="4"/>
  <c r="AE46" i="4"/>
  <c r="X45" i="4"/>
  <c r="F45" i="4"/>
  <c r="J45" i="4"/>
  <c r="AB45" i="4"/>
  <c r="Y45" i="4"/>
  <c r="AE47" i="4"/>
  <c r="U46" i="4"/>
  <c r="R45" i="4"/>
  <c r="N18" i="3"/>
  <c r="M18" i="3"/>
  <c r="F13" i="20"/>
  <c r="E32" i="4"/>
  <c r="E35" i="4"/>
  <c r="E36" i="4" s="1"/>
  <c r="E43" i="4" s="1"/>
  <c r="H13" i="16"/>
  <c r="B25" i="16"/>
  <c r="E44" i="4"/>
  <c r="C59" i="16"/>
  <c r="C60" i="16"/>
  <c r="G129" i="21"/>
  <c r="D129" i="21"/>
  <c r="D32" i="4"/>
  <c r="E7" i="4"/>
  <c r="E5" i="4"/>
  <c r="D25" i="16"/>
  <c r="E25" i="16"/>
  <c r="C129" i="21"/>
  <c r="I30" i="20"/>
  <c r="I31" i="20" s="1"/>
  <c r="N29" i="21"/>
  <c r="J65" i="21"/>
  <c r="H103" i="21"/>
  <c r="G149" i="21"/>
  <c r="H149" i="21" s="1"/>
  <c r="D64" i="4" s="1"/>
  <c r="H147" i="21"/>
  <c r="D62" i="4" s="1"/>
  <c r="D59" i="4" s="1"/>
  <c r="F5" i="4"/>
  <c r="G14" i="4"/>
  <c r="H148" i="21"/>
  <c r="D63" i="4" s="1"/>
  <c r="Y83" i="21"/>
  <c r="Z83" i="21" s="1"/>
  <c r="AA83" i="21" s="1"/>
  <c r="AB83" i="21" s="1"/>
  <c r="AC83" i="21" s="1"/>
  <c r="AB84" i="21"/>
  <c r="W84" i="21"/>
  <c r="I47" i="1" a="1"/>
  <c r="S51" i="1" s="1"/>
  <c r="C33" i="10"/>
  <c r="I33" i="10" s="1"/>
  <c r="C15" i="10"/>
  <c r="I15" i="10" s="1"/>
  <c r="O66" i="21"/>
  <c r="P66" i="21" s="1"/>
  <c r="Q66" i="21" s="1"/>
  <c r="R66" i="21" s="1"/>
  <c r="S66" i="21" s="1"/>
  <c r="R67" i="21"/>
  <c r="N73" i="21"/>
  <c r="O73" i="21" s="1"/>
  <c r="P73" i="21" s="1"/>
  <c r="Q73" i="21" s="1"/>
  <c r="R73" i="21" s="1"/>
  <c r="S73" i="21" s="1"/>
  <c r="T73" i="21" s="1"/>
  <c r="U73" i="21" s="1"/>
  <c r="V73" i="21" s="1"/>
  <c r="W73" i="21" s="1"/>
  <c r="X73" i="21" s="1"/>
  <c r="M73" i="21"/>
  <c r="I73" i="21"/>
  <c r="J73" i="21"/>
  <c r="J72" i="21" s="1"/>
  <c r="H21" i="4" s="1"/>
  <c r="L73" i="21"/>
  <c r="K73" i="21"/>
  <c r="K72" i="21" s="1"/>
  <c r="I21" i="4" s="1"/>
  <c r="H60" i="16"/>
  <c r="H30" i="16"/>
  <c r="H31" i="16" s="1"/>
  <c r="G25" i="20"/>
  <c r="F35" i="4"/>
  <c r="F36" i="4" s="1"/>
  <c r="H110" i="21"/>
  <c r="L109" i="21" s="1"/>
  <c r="H30" i="20"/>
  <c r="H31" i="20" s="1"/>
  <c r="I150" i="21"/>
  <c r="E65" i="4" s="1"/>
  <c r="C13" i="10"/>
  <c r="I13" i="10" s="1"/>
  <c r="O58" i="21"/>
  <c r="P58" i="21" s="1"/>
  <c r="Q58" i="21" s="1"/>
  <c r="R58" i="21" s="1"/>
  <c r="I9" i="4"/>
  <c r="K30" i="21"/>
  <c r="H6" i="4"/>
  <c r="I5" i="4" s="1"/>
  <c r="J41" i="21"/>
  <c r="H16" i="21" s="1"/>
  <c r="J82" i="21"/>
  <c r="H11" i="4" s="1"/>
  <c r="H20" i="4" s="1"/>
  <c r="I40" i="21"/>
  <c r="I42" i="21"/>
  <c r="G7" i="4"/>
  <c r="J57" i="21"/>
  <c r="H9" i="4" s="1"/>
  <c r="H41" i="4" s="1"/>
  <c r="E47" i="1" a="1"/>
  <c r="E47" i="1" s="1"/>
  <c r="X58" i="21"/>
  <c r="T58" i="21"/>
  <c r="U58" i="21" s="1"/>
  <c r="V58" i="21" s="1"/>
  <c r="W58" i="21" s="1"/>
  <c r="G39" i="4"/>
  <c r="I139" i="21"/>
  <c r="E54" i="4" s="1"/>
  <c r="H10" i="4"/>
  <c r="H38" i="4" s="1"/>
  <c r="G30" i="20"/>
  <c r="G31" i="20" s="1"/>
  <c r="C31" i="10"/>
  <c r="I31" i="10" s="1"/>
  <c r="E28" i="1"/>
  <c r="C16" i="10"/>
  <c r="I16" i="10" s="1"/>
  <c r="C14" i="10"/>
  <c r="I14" i="10" s="1"/>
  <c r="B20" i="20"/>
  <c r="B30" i="16"/>
  <c r="B31" i="16" s="1"/>
  <c r="C28" i="10"/>
  <c r="I28" i="10" s="1"/>
  <c r="K29" i="1"/>
  <c r="F7" i="4"/>
  <c r="E29" i="1"/>
  <c r="G13" i="16"/>
  <c r="D47" i="1" a="1"/>
  <c r="O51" i="1" s="1"/>
  <c r="B20" i="16"/>
  <c r="E27" i="1" s="1"/>
  <c r="C55" i="10"/>
  <c r="C22" i="10" s="1"/>
  <c r="I22" i="10" s="1"/>
  <c r="C34" i="10"/>
  <c r="I34" i="10" s="1"/>
  <c r="E24" i="1"/>
  <c r="F44" i="4"/>
  <c r="C69" i="10"/>
  <c r="B59" i="16"/>
  <c r="E26" i="1" s="1"/>
  <c r="B30" i="20"/>
  <c r="B31" i="20" s="1"/>
  <c r="M25" i="1"/>
  <c r="M24" i="1"/>
  <c r="B60" i="16"/>
  <c r="C30" i="10"/>
  <c r="I30" i="10" s="1"/>
  <c r="C11" i="10"/>
  <c r="I11" i="10" s="1"/>
  <c r="C23" i="1"/>
  <c r="K28" i="1" s="1"/>
  <c r="H129" i="21"/>
  <c r="H130" i="21" s="1"/>
  <c r="M57" i="1"/>
  <c r="D73" i="4"/>
  <c r="C22" i="1"/>
  <c r="G30" i="16"/>
  <c r="G31" i="16" s="1"/>
  <c r="L57" i="1"/>
  <c r="G13" i="20"/>
  <c r="H13" i="20"/>
  <c r="B85" i="17"/>
  <c r="I35" i="10"/>
  <c r="C29" i="10"/>
  <c r="I29" i="10" s="1"/>
  <c r="C27" i="10"/>
  <c r="I27" i="10" s="1"/>
  <c r="N53" i="1"/>
  <c r="C58" i="1"/>
  <c r="C47" i="1"/>
  <c r="N48" i="1" s="1"/>
  <c r="N50" i="1"/>
  <c r="C59" i="1"/>
  <c r="N51" i="1"/>
  <c r="N55" i="1"/>
  <c r="N54" i="1"/>
  <c r="N49" i="1"/>
  <c r="N52" i="1"/>
  <c r="C47" i="10"/>
  <c r="I47" i="10" s="1"/>
  <c r="I45" i="10"/>
  <c r="H47" i="1"/>
  <c r="H58" i="1" s="1"/>
  <c r="R54" i="1"/>
  <c r="R55" i="1"/>
  <c r="H59" i="1"/>
  <c r="R53" i="1"/>
  <c r="R52" i="1"/>
  <c r="R50" i="1"/>
  <c r="R49" i="1"/>
  <c r="R51" i="1"/>
  <c r="G25" i="16"/>
  <c r="H25" i="16"/>
  <c r="K27" i="1"/>
  <c r="K26" i="1"/>
  <c r="F43" i="4" l="1"/>
  <c r="G13" i="4" s="1"/>
  <c r="G15" i="4" s="1"/>
  <c r="G17" i="4" s="1"/>
  <c r="G19" i="4" s="1"/>
  <c r="E31" i="1"/>
  <c r="I149" i="21"/>
  <c r="E64" i="4" s="1"/>
  <c r="H144" i="21"/>
  <c r="H143" i="21"/>
  <c r="I147" i="21"/>
  <c r="I144" i="21" s="1"/>
  <c r="O29" i="21"/>
  <c r="N24" i="21"/>
  <c r="K24" i="21"/>
  <c r="AG102" i="21"/>
  <c r="U102" i="21"/>
  <c r="X102" i="21"/>
  <c r="Z102" i="21"/>
  <c r="T102" i="21"/>
  <c r="AB102" i="21"/>
  <c r="S102" i="21"/>
  <c r="Q102" i="21"/>
  <c r="N102" i="21"/>
  <c r="Y102" i="21"/>
  <c r="AF102" i="21"/>
  <c r="R102" i="21"/>
  <c r="AC102" i="21"/>
  <c r="I102" i="21"/>
  <c r="I101" i="21" s="1"/>
  <c r="AE102" i="21"/>
  <c r="P102" i="21"/>
  <c r="L102" i="21"/>
  <c r="O102" i="21"/>
  <c r="J102" i="21"/>
  <c r="AD102" i="21"/>
  <c r="W102" i="21"/>
  <c r="AH102" i="21"/>
  <c r="AA102" i="21"/>
  <c r="K102" i="21"/>
  <c r="M102" i="21"/>
  <c r="V102" i="21"/>
  <c r="G31" i="4"/>
  <c r="G25" i="4"/>
  <c r="C37" i="10"/>
  <c r="I37" i="10" s="1"/>
  <c r="C36" i="10"/>
  <c r="I36" i="10" s="1"/>
  <c r="I72" i="21"/>
  <c r="G21" i="4" s="1"/>
  <c r="I148" i="21"/>
  <c r="E63" i="4" s="1"/>
  <c r="I24" i="4"/>
  <c r="G24" i="4"/>
  <c r="AD83" i="21"/>
  <c r="AE83" i="21" s="1"/>
  <c r="AF83" i="21" s="1"/>
  <c r="AG83" i="21" s="1"/>
  <c r="AH83" i="21" s="1"/>
  <c r="C57" i="1"/>
  <c r="S52" i="1"/>
  <c r="S55" i="1"/>
  <c r="M58" i="1"/>
  <c r="M59" i="1" s="1"/>
  <c r="I47" i="1"/>
  <c r="S49" i="1"/>
  <c r="S53" i="1"/>
  <c r="L58" i="1"/>
  <c r="L59" i="1" s="1"/>
  <c r="S54" i="1"/>
  <c r="S50" i="1"/>
  <c r="M41" i="21"/>
  <c r="W74" i="21"/>
  <c r="R74" i="21"/>
  <c r="I129" i="21"/>
  <c r="T66" i="21"/>
  <c r="U66" i="21" s="1"/>
  <c r="V66" i="21" s="1"/>
  <c r="W66" i="21" s="1"/>
  <c r="X66" i="21" s="1"/>
  <c r="W67" i="21"/>
  <c r="K77" i="21"/>
  <c r="H5" i="4"/>
  <c r="H14" i="4" s="1"/>
  <c r="I14" i="4" s="1"/>
  <c r="J109" i="21"/>
  <c r="I109" i="21"/>
  <c r="I108" i="21" s="1"/>
  <c r="R59" i="21"/>
  <c r="R60" i="21" s="1"/>
  <c r="K28" i="21"/>
  <c r="K109" i="21"/>
  <c r="M109" i="21"/>
  <c r="I143" i="21"/>
  <c r="M31" i="1"/>
  <c r="H23" i="4"/>
  <c r="H24" i="4"/>
  <c r="J36" i="21"/>
  <c r="H7" i="4" s="1"/>
  <c r="H8" i="4" s="1"/>
  <c r="J42" i="21"/>
  <c r="L27" i="21"/>
  <c r="G8" i="4"/>
  <c r="G12" i="4" s="1"/>
  <c r="G44" i="4" s="1"/>
  <c r="J77" i="21"/>
  <c r="J40" i="21"/>
  <c r="J39" i="21" s="1"/>
  <c r="I23" i="4"/>
  <c r="H39" i="4"/>
  <c r="G23" i="4"/>
  <c r="G40" i="4" s="1"/>
  <c r="W59" i="21"/>
  <c r="W60" i="21" s="1"/>
  <c r="Y73" i="21"/>
  <c r="Z73" i="21" s="1"/>
  <c r="AA73" i="21" s="1"/>
  <c r="AB73" i="21" s="1"/>
  <c r="AC73" i="21" s="1"/>
  <c r="AC58" i="21"/>
  <c r="Y58" i="21"/>
  <c r="Z58" i="21" s="1"/>
  <c r="AA58" i="21" s="1"/>
  <c r="AB58" i="21" s="1"/>
  <c r="I10" i="4"/>
  <c r="I12" i="4" s="1"/>
  <c r="I44" i="4" s="1"/>
  <c r="O54" i="1"/>
  <c r="O52" i="1"/>
  <c r="O49" i="1"/>
  <c r="D47" i="1"/>
  <c r="D58" i="1" s="1"/>
  <c r="O55" i="1"/>
  <c r="D59" i="1"/>
  <c r="O53" i="1"/>
  <c r="O50" i="1"/>
  <c r="C18" i="10"/>
  <c r="I18" i="10" s="1"/>
  <c r="G47" i="1" a="1"/>
  <c r="G47" i="1" s="1"/>
  <c r="C20" i="10"/>
  <c r="I20" i="10" s="1"/>
  <c r="C21" i="10"/>
  <c r="I21" i="10" s="1"/>
  <c r="C56" i="1"/>
  <c r="N56" i="1" s="1"/>
  <c r="N129" i="21"/>
  <c r="O129" i="21" s="1"/>
  <c r="P129" i="21" s="1"/>
  <c r="Q129" i="21" s="1"/>
  <c r="R129" i="21" s="1"/>
  <c r="S129" i="21" s="1"/>
  <c r="T129" i="21" s="1"/>
  <c r="U129" i="21" s="1"/>
  <c r="V129" i="21" s="1"/>
  <c r="W129" i="21" s="1"/>
  <c r="X129" i="21" s="1"/>
  <c r="Y129" i="21" s="1"/>
  <c r="Z129" i="21" s="1"/>
  <c r="AA129" i="21" s="1"/>
  <c r="AB129" i="21" s="1"/>
  <c r="AC129" i="21" s="1"/>
  <c r="AD129" i="21" s="1"/>
  <c r="AE129" i="21" s="1"/>
  <c r="AF129" i="21" s="1"/>
  <c r="AG129" i="21" s="1"/>
  <c r="AH129" i="21" s="1"/>
  <c r="J129" i="21"/>
  <c r="L129" i="21"/>
  <c r="M129" i="21"/>
  <c r="K129" i="21"/>
  <c r="H56" i="1"/>
  <c r="M29" i="1"/>
  <c r="C25" i="1"/>
  <c r="M26" i="1"/>
  <c r="S29" i="21"/>
  <c r="X29" i="21" s="1"/>
  <c r="N27" i="21"/>
  <c r="M32" i="1"/>
  <c r="C41" i="10" s="1"/>
  <c r="I41" i="10" s="1"/>
  <c r="I41" i="4"/>
  <c r="J101" i="21" l="1"/>
  <c r="E62" i="4"/>
  <c r="E59" i="4" s="1"/>
  <c r="W103" i="21"/>
  <c r="K101" i="21"/>
  <c r="AB103" i="21"/>
  <c r="AG103" i="21"/>
  <c r="R103" i="21"/>
  <c r="I77" i="21"/>
  <c r="AG84" i="21"/>
  <c r="H57" i="1"/>
  <c r="N41" i="21"/>
  <c r="R41" i="21" s="1"/>
  <c r="O41" i="21" s="1"/>
  <c r="M42" i="21"/>
  <c r="M36" i="21"/>
  <c r="K7" i="4" s="1"/>
  <c r="L41" i="21"/>
  <c r="L42" i="21" s="1"/>
  <c r="M40" i="21"/>
  <c r="M39" i="21" s="1"/>
  <c r="G28" i="4"/>
  <c r="Y66" i="21"/>
  <c r="Z66" i="21" s="1"/>
  <c r="AA66" i="21" s="1"/>
  <c r="AB66" i="21" s="1"/>
  <c r="AC66" i="21" s="1"/>
  <c r="L108" i="21"/>
  <c r="H31" i="4"/>
  <c r="I31" i="4" s="1"/>
  <c r="H25" i="4"/>
  <c r="I25" i="4" s="1"/>
  <c r="I26" i="4" s="1"/>
  <c r="H40" i="4"/>
  <c r="I40" i="4" s="1"/>
  <c r="G26" i="4"/>
  <c r="I38" i="4"/>
  <c r="L30" i="21"/>
  <c r="K108" i="21"/>
  <c r="L28" i="21"/>
  <c r="AD73" i="21"/>
  <c r="AE73" i="21" s="1"/>
  <c r="AF73" i="21" s="1"/>
  <c r="AG73" i="21" s="1"/>
  <c r="AH73" i="21" s="1"/>
  <c r="AB74" i="21"/>
  <c r="AD58" i="21"/>
  <c r="AE58" i="21" s="1"/>
  <c r="AF58" i="21" s="1"/>
  <c r="AG58" i="21" s="1"/>
  <c r="AH58" i="21"/>
  <c r="AG59" i="21"/>
  <c r="AG60" i="21" s="1"/>
  <c r="AB59" i="21"/>
  <c r="AB60" i="21" s="1"/>
  <c r="J10" i="4"/>
  <c r="J38" i="4" s="1"/>
  <c r="I39" i="4"/>
  <c r="O48" i="1"/>
  <c r="D57" i="1" s="1"/>
  <c r="D56" i="1"/>
  <c r="O56" i="1" s="1"/>
  <c r="S24" i="21"/>
  <c r="S27" i="21"/>
  <c r="T29" i="21"/>
  <c r="Y29" i="21"/>
  <c r="X27" i="21"/>
  <c r="X24" i="21"/>
  <c r="AC29" i="21"/>
  <c r="AH29" i="21" s="1"/>
  <c r="N28" i="21"/>
  <c r="N30" i="21"/>
  <c r="M28" i="1"/>
  <c r="M27" i="1"/>
  <c r="P29" i="21"/>
  <c r="O28" i="21"/>
  <c r="O27" i="21"/>
  <c r="O24" i="21" s="1"/>
  <c r="O30" i="21"/>
  <c r="H12" i="4"/>
  <c r="H44" i="4" s="1"/>
  <c r="L24" i="21" l="1"/>
  <c r="L23" i="21" s="1"/>
  <c r="L82" i="21" s="1"/>
  <c r="J11" i="4" s="1"/>
  <c r="J20" i="4" s="1"/>
  <c r="J108" i="21"/>
  <c r="N36" i="21"/>
  <c r="L7" i="4" s="1"/>
  <c r="N40" i="21"/>
  <c r="N39" i="21" s="1"/>
  <c r="L40" i="21"/>
  <c r="L39" i="21" s="1"/>
  <c r="L36" i="21"/>
  <c r="J7" i="4" s="1"/>
  <c r="AD66" i="21"/>
  <c r="AE66" i="21" s="1"/>
  <c r="AF66" i="21" s="1"/>
  <c r="AG66" i="21" s="1"/>
  <c r="AH66" i="21" s="1"/>
  <c r="AB67" i="21"/>
  <c r="G29" i="4"/>
  <c r="G22" i="4"/>
  <c r="G34" i="4" s="1"/>
  <c r="H26" i="4"/>
  <c r="G30" i="4"/>
  <c r="AG74" i="21"/>
  <c r="E53" i="4"/>
  <c r="J39" i="4"/>
  <c r="K10" i="4"/>
  <c r="K38" i="4" s="1"/>
  <c r="X28" i="21"/>
  <c r="X30" i="21"/>
  <c r="AH27" i="21"/>
  <c r="AH24" i="21"/>
  <c r="P30" i="21"/>
  <c r="Q29" i="21"/>
  <c r="P28" i="21"/>
  <c r="P27" i="21"/>
  <c r="P24" i="21" s="1"/>
  <c r="Z29" i="21"/>
  <c r="Y28" i="21"/>
  <c r="Y30" i="21"/>
  <c r="Y27" i="21"/>
  <c r="Y24" i="21" s="1"/>
  <c r="U29" i="21"/>
  <c r="T30" i="21"/>
  <c r="T27" i="21"/>
  <c r="T24" i="21" s="1"/>
  <c r="T28" i="21"/>
  <c r="AC27" i="21"/>
  <c r="AC24" i="21"/>
  <c r="AD29" i="21"/>
  <c r="S30" i="21"/>
  <c r="S28" i="21"/>
  <c r="I28" i="4"/>
  <c r="H28" i="4"/>
  <c r="O42" i="21"/>
  <c r="P41" i="21"/>
  <c r="O40" i="21"/>
  <c r="O36" i="21"/>
  <c r="M7" i="4" s="1"/>
  <c r="O39" i="21"/>
  <c r="R36" i="21"/>
  <c r="P7" i="4" s="1"/>
  <c r="S41" i="21"/>
  <c r="W41" i="21" s="1"/>
  <c r="R42" i="21"/>
  <c r="R40" i="21"/>
  <c r="R39" i="21" s="1"/>
  <c r="M25" i="21" l="1"/>
  <c r="L35" i="21"/>
  <c r="L47" i="21" s="1"/>
  <c r="J16" i="4" s="1"/>
  <c r="N42" i="21"/>
  <c r="M37" i="21"/>
  <c r="AG67" i="21"/>
  <c r="M23" i="21"/>
  <c r="L72" i="21"/>
  <c r="J21" i="4" s="1"/>
  <c r="J6" i="4"/>
  <c r="J5" i="4" s="1"/>
  <c r="J25" i="4" s="1"/>
  <c r="L57" i="21"/>
  <c r="J9" i="4" s="1"/>
  <c r="J41" i="4" s="1"/>
  <c r="L65" i="21"/>
  <c r="G32" i="4"/>
  <c r="G35" i="4"/>
  <c r="G36" i="4" s="1"/>
  <c r="G43" i="4" s="1"/>
  <c r="H13" i="4" s="1"/>
  <c r="H15" i="4" s="1"/>
  <c r="H17" i="4" s="1"/>
  <c r="L10" i="4"/>
  <c r="L38" i="4"/>
  <c r="K39" i="4"/>
  <c r="AH30" i="21"/>
  <c r="AH28" i="21"/>
  <c r="V29" i="21"/>
  <c r="U30" i="21"/>
  <c r="U27" i="21"/>
  <c r="U24" i="21" s="1"/>
  <c r="U28" i="21"/>
  <c r="AC30" i="21"/>
  <c r="AC28" i="21"/>
  <c r="Q27" i="21"/>
  <c r="Q24" i="21" s="1"/>
  <c r="R25" i="21" s="1"/>
  <c r="Q28" i="21"/>
  <c r="Q30" i="21"/>
  <c r="AD27" i="21"/>
  <c r="AD24" i="21" s="1"/>
  <c r="AD28" i="21"/>
  <c r="AD30" i="21"/>
  <c r="AE29" i="21"/>
  <c r="Z27" i="21"/>
  <c r="Z24" i="21" s="1"/>
  <c r="Z28" i="21"/>
  <c r="AA29" i="21"/>
  <c r="Z30" i="21"/>
  <c r="P36" i="21"/>
  <c r="N7" i="4" s="1"/>
  <c r="P42" i="21"/>
  <c r="P40" i="21"/>
  <c r="P39" i="21" s="1"/>
  <c r="Q41" i="21"/>
  <c r="S36" i="21"/>
  <c r="T41" i="21"/>
  <c r="M72" i="21" l="1"/>
  <c r="N72" i="21" s="1"/>
  <c r="L21" i="4" s="1"/>
  <c r="N23" i="21"/>
  <c r="H30" i="4"/>
  <c r="H19" i="4"/>
  <c r="H22" i="4" s="1"/>
  <c r="H34" i="4" s="1"/>
  <c r="M35" i="21"/>
  <c r="M47" i="21" s="1"/>
  <c r="L77" i="21"/>
  <c r="L101" i="21" s="1"/>
  <c r="J31" i="4"/>
  <c r="M65" i="21"/>
  <c r="N65" i="21" s="1"/>
  <c r="M57" i="21"/>
  <c r="K9" i="4" s="1"/>
  <c r="K41" i="4" s="1"/>
  <c r="K6" i="4"/>
  <c r="K8" i="4" s="1"/>
  <c r="M82" i="21"/>
  <c r="N82" i="21" s="1"/>
  <c r="L11" i="4" s="1"/>
  <c r="L20" i="4" s="1"/>
  <c r="J23" i="4"/>
  <c r="J40" i="4" s="1"/>
  <c r="J24" i="4"/>
  <c r="J14" i="4"/>
  <c r="H29" i="4"/>
  <c r="J8" i="4"/>
  <c r="J12" i="4" s="1"/>
  <c r="J44" i="4" s="1"/>
  <c r="J28" i="4" s="1"/>
  <c r="K21" i="4"/>
  <c r="L39" i="4"/>
  <c r="M10" i="4"/>
  <c r="M38" i="4" s="1"/>
  <c r="AE28" i="21"/>
  <c r="AE27" i="21"/>
  <c r="AE24" i="21" s="1"/>
  <c r="AE30" i="21"/>
  <c r="AF29" i="21"/>
  <c r="V30" i="21"/>
  <c r="V28" i="21"/>
  <c r="V27" i="21"/>
  <c r="V24" i="21" s="1"/>
  <c r="W25" i="21" s="1"/>
  <c r="AA28" i="21"/>
  <c r="AA27" i="21"/>
  <c r="AA24" i="21" s="1"/>
  <c r="AB25" i="21" s="1"/>
  <c r="AA30" i="21"/>
  <c r="L52" i="21"/>
  <c r="U41" i="21"/>
  <c r="T42" i="21"/>
  <c r="T40" i="21"/>
  <c r="T39" i="21"/>
  <c r="T36" i="21" s="1"/>
  <c r="R7" i="4" s="1"/>
  <c r="Q40" i="21"/>
  <c r="Q36" i="21"/>
  <c r="O7" i="4" s="1"/>
  <c r="Q39" i="21"/>
  <c r="Q42" i="21"/>
  <c r="Q7" i="4"/>
  <c r="S42" i="21"/>
  <c r="S40" i="21"/>
  <c r="S39" i="21" s="1"/>
  <c r="W40" i="21"/>
  <c r="W42" i="21"/>
  <c r="W39" i="21"/>
  <c r="W36" i="21" s="1"/>
  <c r="U7" i="4" s="1"/>
  <c r="X41" i="21"/>
  <c r="H32" i="4" l="1"/>
  <c r="N35" i="21"/>
  <c r="O35" i="21" s="1"/>
  <c r="O65" i="21"/>
  <c r="P65" i="21" s="1"/>
  <c r="Q65" i="21" s="1"/>
  <c r="R65" i="21" s="1"/>
  <c r="S65" i="21" s="1"/>
  <c r="T65" i="21" s="1"/>
  <c r="U65" i="21" s="1"/>
  <c r="V65" i="21" s="1"/>
  <c r="W65" i="21" s="1"/>
  <c r="X65" i="21" s="1"/>
  <c r="Y65" i="21" s="1"/>
  <c r="Z65" i="21" s="1"/>
  <c r="AA65" i="21" s="1"/>
  <c r="AB65" i="21" s="1"/>
  <c r="AC65" i="21" s="1"/>
  <c r="AD65" i="21" s="1"/>
  <c r="AE65" i="21" s="1"/>
  <c r="AF65" i="21" s="1"/>
  <c r="AG65" i="21" s="1"/>
  <c r="AH65" i="21" s="1"/>
  <c r="M108" i="21"/>
  <c r="N108" i="21" s="1"/>
  <c r="O108" i="21" s="1"/>
  <c r="P108" i="21" s="1"/>
  <c r="Q108" i="21" s="1"/>
  <c r="R108" i="21" s="1"/>
  <c r="S108" i="21" s="1"/>
  <c r="T108" i="21" s="1"/>
  <c r="U108" i="21" s="1"/>
  <c r="V108" i="21" s="1"/>
  <c r="W108" i="21" s="1"/>
  <c r="X108" i="21" s="1"/>
  <c r="Y108" i="21" s="1"/>
  <c r="Z108" i="21" s="1"/>
  <c r="AA108" i="21" s="1"/>
  <c r="AB108" i="21" s="1"/>
  <c r="AC108" i="21" s="1"/>
  <c r="AD108" i="21" s="1"/>
  <c r="AE108" i="21" s="1"/>
  <c r="AF108" i="21" s="1"/>
  <c r="AG108" i="21" s="1"/>
  <c r="AH108" i="21" s="1"/>
  <c r="K12" i="4"/>
  <c r="K44" i="4" s="1"/>
  <c r="K28" i="4" s="1"/>
  <c r="K11" i="4"/>
  <c r="K20" i="4" s="1"/>
  <c r="M77" i="21"/>
  <c r="M101" i="21" s="1"/>
  <c r="N101" i="21" s="1"/>
  <c r="O101" i="21" s="1"/>
  <c r="P101" i="21" s="1"/>
  <c r="Q101" i="21" s="1"/>
  <c r="R101" i="21" s="1"/>
  <c r="S101" i="21" s="1"/>
  <c r="T101" i="21" s="1"/>
  <c r="U101" i="21" s="1"/>
  <c r="V101" i="21" s="1"/>
  <c r="W101" i="21" s="1"/>
  <c r="X101" i="21" s="1"/>
  <c r="Y101" i="21" s="1"/>
  <c r="Z101" i="21" s="1"/>
  <c r="AA101" i="21" s="1"/>
  <c r="AB101" i="21" s="1"/>
  <c r="AC101" i="21" s="1"/>
  <c r="AD101" i="21" s="1"/>
  <c r="AE101" i="21" s="1"/>
  <c r="AF101" i="21" s="1"/>
  <c r="AG101" i="21" s="1"/>
  <c r="AH101" i="21" s="1"/>
  <c r="N57" i="21"/>
  <c r="L9" i="4" s="1"/>
  <c r="L41" i="4" s="1"/>
  <c r="K24" i="4"/>
  <c r="O82" i="21"/>
  <c r="M11" i="4" s="1"/>
  <c r="M20" i="4" s="1"/>
  <c r="K5" i="4"/>
  <c r="K14" i="4" s="1"/>
  <c r="K23" i="4"/>
  <c r="K40" i="4" s="1"/>
  <c r="L6" i="4"/>
  <c r="O23" i="21"/>
  <c r="J26" i="4"/>
  <c r="O72" i="21"/>
  <c r="P72" i="21" s="1"/>
  <c r="H35" i="4"/>
  <c r="H36" i="4" s="1"/>
  <c r="H43" i="4" s="1"/>
  <c r="I13" i="4" s="1"/>
  <c r="I15" i="4" s="1"/>
  <c r="I17" i="4" s="1"/>
  <c r="I30" i="4" s="1"/>
  <c r="N10" i="4"/>
  <c r="N38" i="4" s="1"/>
  <c r="M39" i="4"/>
  <c r="AF30" i="21"/>
  <c r="AF28" i="21"/>
  <c r="AF27" i="21"/>
  <c r="AF24" i="21" s="1"/>
  <c r="AG25" i="21" s="1"/>
  <c r="R37" i="21"/>
  <c r="Y41" i="21"/>
  <c r="AB41" i="21"/>
  <c r="X36" i="21"/>
  <c r="N47" i="21"/>
  <c r="K16" i="4"/>
  <c r="M52" i="21"/>
  <c r="U40" i="21"/>
  <c r="U39" i="21" s="1"/>
  <c r="U36" i="21" s="1"/>
  <c r="V41" i="21"/>
  <c r="U42" i="21"/>
  <c r="N52" i="21" l="1"/>
  <c r="P82" i="21"/>
  <c r="N11" i="4" s="1"/>
  <c r="N20" i="4" s="1"/>
  <c r="O57" i="21"/>
  <c r="M9" i="4" s="1"/>
  <c r="M41" i="4" s="1"/>
  <c r="N77" i="21"/>
  <c r="K31" i="4"/>
  <c r="K25" i="4"/>
  <c r="K26" i="4" s="1"/>
  <c r="M21" i="4"/>
  <c r="P23" i="21"/>
  <c r="M6" i="4"/>
  <c r="L5" i="4"/>
  <c r="L14" i="4" s="1"/>
  <c r="L8" i="4"/>
  <c r="L12" i="4" s="1"/>
  <c r="L44" i="4" s="1"/>
  <c r="L28" i="4" s="1"/>
  <c r="L24" i="4"/>
  <c r="L23" i="4"/>
  <c r="L40" i="4" s="1"/>
  <c r="I29" i="4"/>
  <c r="I35" i="4" s="1"/>
  <c r="I19" i="4"/>
  <c r="I22" i="4" s="1"/>
  <c r="I34" i="4" s="1"/>
  <c r="N39" i="4"/>
  <c r="O10" i="4"/>
  <c r="O38" i="4"/>
  <c r="P35" i="21"/>
  <c r="Y42" i="21"/>
  <c r="Y40" i="21"/>
  <c r="Z41" i="21"/>
  <c r="Y39" i="21"/>
  <c r="Y36" i="21" s="1"/>
  <c r="W7" i="4" s="1"/>
  <c r="O47" i="21"/>
  <c r="L16" i="4"/>
  <c r="S7" i="4"/>
  <c r="AB42" i="21"/>
  <c r="AC41" i="21"/>
  <c r="AB40" i="21"/>
  <c r="AB39" i="21" s="1"/>
  <c r="AB36" i="21" s="1"/>
  <c r="Z7" i="4" s="1"/>
  <c r="V40" i="21"/>
  <c r="V42" i="21"/>
  <c r="V39" i="21"/>
  <c r="V36" i="21" s="1"/>
  <c r="T7" i="4" s="1"/>
  <c r="Q72" i="21"/>
  <c r="R72" i="21" s="1"/>
  <c r="N21" i="4"/>
  <c r="X40" i="21"/>
  <c r="X39" i="21" s="1"/>
  <c r="X42" i="21"/>
  <c r="V7" i="4"/>
  <c r="Q82" i="21" l="1"/>
  <c r="O11" i="4" s="1"/>
  <c r="O20" i="4" s="1"/>
  <c r="O77" i="21"/>
  <c r="P57" i="21"/>
  <c r="N9" i="4" s="1"/>
  <c r="N41" i="4" s="1"/>
  <c r="Q23" i="21"/>
  <c r="N6" i="4"/>
  <c r="M24" i="4"/>
  <c r="M5" i="4"/>
  <c r="M8" i="4"/>
  <c r="M12" i="4" s="1"/>
  <c r="M44" i="4" s="1"/>
  <c r="M28" i="4" s="1"/>
  <c r="M23" i="4"/>
  <c r="M40" i="4" s="1"/>
  <c r="L25" i="4"/>
  <c r="L26" i="4" s="1"/>
  <c r="L31" i="4"/>
  <c r="I32" i="4"/>
  <c r="I36" i="4"/>
  <c r="I43" i="4" s="1"/>
  <c r="J13" i="4" s="1"/>
  <c r="J15" i="4" s="1"/>
  <c r="J17" i="4" s="1"/>
  <c r="J29" i="4" s="1"/>
  <c r="O39" i="4"/>
  <c r="P10" i="4"/>
  <c r="P38" i="4" s="1"/>
  <c r="P39" i="4"/>
  <c r="W37" i="21"/>
  <c r="AG41" i="21"/>
  <c r="AC36" i="21"/>
  <c r="AD41" i="21"/>
  <c r="Z40" i="21"/>
  <c r="Z42" i="21"/>
  <c r="AA41" i="21"/>
  <c r="Z39" i="21"/>
  <c r="Z36" i="21" s="1"/>
  <c r="Q35" i="21"/>
  <c r="M16" i="4"/>
  <c r="P47" i="21"/>
  <c r="O52" i="21"/>
  <c r="O21" i="4"/>
  <c r="R82" i="21" l="1"/>
  <c r="S82" i="21" s="1"/>
  <c r="Q57" i="21"/>
  <c r="Q77" i="21" s="1"/>
  <c r="P77" i="21"/>
  <c r="M31" i="4"/>
  <c r="M25" i="4"/>
  <c r="M26" i="4" s="1"/>
  <c r="M14" i="4"/>
  <c r="N8" i="4"/>
  <c r="N12" i="4" s="1"/>
  <c r="N44" i="4" s="1"/>
  <c r="N28" i="4" s="1"/>
  <c r="N5" i="4"/>
  <c r="N23" i="4"/>
  <c r="N40" i="4" s="1"/>
  <c r="N24" i="4"/>
  <c r="R23" i="21"/>
  <c r="O6" i="4"/>
  <c r="J30" i="4"/>
  <c r="J35" i="4" s="1"/>
  <c r="J19" i="4"/>
  <c r="J22" i="4" s="1"/>
  <c r="J34" i="4" s="1"/>
  <c r="Q10" i="4"/>
  <c r="Q38" i="4"/>
  <c r="Q39" i="4"/>
  <c r="AC40" i="21"/>
  <c r="AC39" i="21" s="1"/>
  <c r="AC42" i="21"/>
  <c r="AA7" i="4"/>
  <c r="AA40" i="21"/>
  <c r="AA42" i="21"/>
  <c r="AA39" i="21"/>
  <c r="AA36" i="21" s="1"/>
  <c r="Y7" i="4" s="1"/>
  <c r="X7" i="4"/>
  <c r="Q47" i="21"/>
  <c r="N16" i="4"/>
  <c r="AD40" i="21"/>
  <c r="AD39" i="21"/>
  <c r="AD36" i="21" s="1"/>
  <c r="AB7" i="4" s="1"/>
  <c r="AD42" i="21"/>
  <c r="AE41" i="21"/>
  <c r="R35" i="21"/>
  <c r="P21" i="4"/>
  <c r="S72" i="21"/>
  <c r="P52" i="21"/>
  <c r="AG42" i="21"/>
  <c r="AH41" i="21"/>
  <c r="AG40" i="21"/>
  <c r="AG39" i="21" s="1"/>
  <c r="AG36" i="21" s="1"/>
  <c r="AE7" i="4" s="1"/>
  <c r="R57" i="21" l="1"/>
  <c r="P9" i="4" s="1"/>
  <c r="O9" i="4"/>
  <c r="O41" i="4" s="1"/>
  <c r="P11" i="4"/>
  <c r="P20" i="4" s="1"/>
  <c r="J32" i="4"/>
  <c r="N14" i="4"/>
  <c r="S23" i="21"/>
  <c r="P6" i="4"/>
  <c r="N31" i="4"/>
  <c r="N25" i="4"/>
  <c r="N26" i="4" s="1"/>
  <c r="O24" i="4"/>
  <c r="O8" i="4"/>
  <c r="O5" i="4"/>
  <c r="O23" i="4"/>
  <c r="O40" i="4" s="1"/>
  <c r="J36" i="4"/>
  <c r="J43" i="4" s="1"/>
  <c r="K13" i="4" s="1"/>
  <c r="K15" i="4" s="1"/>
  <c r="K17" i="4" s="1"/>
  <c r="K19" i="4" s="1"/>
  <c r="K22" i="4" s="1"/>
  <c r="K34" i="4" s="1"/>
  <c r="R10" i="4"/>
  <c r="R39" i="4" s="1"/>
  <c r="R38" i="4"/>
  <c r="AE42" i="21"/>
  <c r="AF41" i="21"/>
  <c r="AE40" i="21"/>
  <c r="AE39" i="21" s="1"/>
  <c r="AE36" i="21" s="1"/>
  <c r="AH36" i="21"/>
  <c r="AB37" i="21"/>
  <c r="O16" i="4"/>
  <c r="R47" i="21"/>
  <c r="R52" i="21" s="1"/>
  <c r="Q52" i="21"/>
  <c r="Q11" i="4"/>
  <c r="Q20" i="4" s="1"/>
  <c r="T82" i="21"/>
  <c r="S35" i="21"/>
  <c r="T72" i="21"/>
  <c r="Q21" i="4"/>
  <c r="O12" i="4" l="1"/>
  <c r="O44" i="4" s="1"/>
  <c r="O28" i="4" s="1"/>
  <c r="P41" i="4"/>
  <c r="R77" i="21"/>
  <c r="S57" i="21"/>
  <c r="S77" i="21" s="1"/>
  <c r="P24" i="4"/>
  <c r="P5" i="4"/>
  <c r="P8" i="4"/>
  <c r="P12" i="4" s="1"/>
  <c r="P44" i="4" s="1"/>
  <c r="P23" i="4"/>
  <c r="P40" i="4" s="1"/>
  <c r="Q6" i="4"/>
  <c r="T23" i="21"/>
  <c r="O31" i="4"/>
  <c r="O25" i="4"/>
  <c r="O26" i="4" s="1"/>
  <c r="O14" i="4"/>
  <c r="K30" i="4"/>
  <c r="K29" i="4"/>
  <c r="S10" i="4"/>
  <c r="S39" i="4" s="1"/>
  <c r="AF42" i="21"/>
  <c r="AF40" i="21"/>
  <c r="AF39" i="21" s="1"/>
  <c r="AF36" i="21" s="1"/>
  <c r="AD7" i="4" s="1"/>
  <c r="AC7" i="4"/>
  <c r="U72" i="21"/>
  <c r="R21" i="4"/>
  <c r="U82" i="21"/>
  <c r="R11" i="4"/>
  <c r="R20" i="4" s="1"/>
  <c r="AF7" i="4"/>
  <c r="AH40" i="21"/>
  <c r="AH39" i="21" s="1"/>
  <c r="AH42" i="21"/>
  <c r="T35" i="21"/>
  <c r="S47" i="21"/>
  <c r="P16" i="4"/>
  <c r="P28" i="4" l="1"/>
  <c r="Q9" i="4"/>
  <c r="Q41" i="4" s="1"/>
  <c r="T57" i="21"/>
  <c r="R9" i="4" s="1"/>
  <c r="U23" i="21"/>
  <c r="R6" i="4"/>
  <c r="Q23" i="4"/>
  <c r="Q40" i="4" s="1"/>
  <c r="Q8" i="4"/>
  <c r="Q24" i="4"/>
  <c r="Q5" i="4"/>
  <c r="P31" i="4"/>
  <c r="P25" i="4"/>
  <c r="P26" i="4" s="1"/>
  <c r="P14" i="4"/>
  <c r="K35" i="4"/>
  <c r="K36" i="4" s="1"/>
  <c r="K43" i="4" s="1"/>
  <c r="L13" i="4" s="1"/>
  <c r="L15" i="4" s="1"/>
  <c r="L17" i="4" s="1"/>
  <c r="L30" i="4" s="1"/>
  <c r="K32" i="4"/>
  <c r="S38" i="4"/>
  <c r="V82" i="21"/>
  <c r="S11" i="4"/>
  <c r="S20" i="4" s="1"/>
  <c r="AG37" i="21"/>
  <c r="Q16" i="4"/>
  <c r="T47" i="21"/>
  <c r="T52" i="21" s="1"/>
  <c r="U35" i="21"/>
  <c r="S52" i="21"/>
  <c r="V72" i="21"/>
  <c r="S21" i="4"/>
  <c r="Q12" i="4" l="1"/>
  <c r="Q44" i="4" s="1"/>
  <c r="Q28" i="4" s="1"/>
  <c r="R41" i="4"/>
  <c r="T77" i="21"/>
  <c r="U57" i="21"/>
  <c r="S9" i="4" s="1"/>
  <c r="Q25" i="4"/>
  <c r="Q26" i="4" s="1"/>
  <c r="Q31" i="4"/>
  <c r="R8" i="4"/>
  <c r="R12" i="4" s="1"/>
  <c r="R44" i="4" s="1"/>
  <c r="R5" i="4"/>
  <c r="R23" i="4"/>
  <c r="R40" i="4" s="1"/>
  <c r="R24" i="4"/>
  <c r="Q14" i="4"/>
  <c r="V23" i="21"/>
  <c r="S6" i="4"/>
  <c r="L29" i="4"/>
  <c r="L32" i="4" s="1"/>
  <c r="L19" i="4"/>
  <c r="L22" i="4" s="1"/>
  <c r="L34" i="4" s="1"/>
  <c r="T10" i="4"/>
  <c r="T39" i="4" s="1"/>
  <c r="W72" i="21"/>
  <c r="T21" i="4"/>
  <c r="U47" i="21"/>
  <c r="U52" i="21" s="1"/>
  <c r="R16" i="4"/>
  <c r="T11" i="4"/>
  <c r="T20" i="4" s="1"/>
  <c r="W82" i="21"/>
  <c r="V35" i="21"/>
  <c r="R28" i="4" l="1"/>
  <c r="S41" i="4"/>
  <c r="U77" i="21"/>
  <c r="V57" i="21"/>
  <c r="V77" i="21" s="1"/>
  <c r="R14" i="4"/>
  <c r="R25" i="4"/>
  <c r="R26" i="4" s="1"/>
  <c r="R31" i="4"/>
  <c r="T6" i="4"/>
  <c r="W23" i="21"/>
  <c r="S8" i="4"/>
  <c r="S12" i="4" s="1"/>
  <c r="S44" i="4" s="1"/>
  <c r="S28" i="4" s="1"/>
  <c r="S5" i="4"/>
  <c r="S23" i="4"/>
  <c r="S40" i="4" s="1"/>
  <c r="S24" i="4"/>
  <c r="L35" i="4"/>
  <c r="L36" i="4" s="1"/>
  <c r="L43" i="4" s="1"/>
  <c r="M13" i="4" s="1"/>
  <c r="M15" i="4" s="1"/>
  <c r="M17" i="4" s="1"/>
  <c r="T38" i="4"/>
  <c r="U11" i="4"/>
  <c r="U20" i="4" s="1"/>
  <c r="X82" i="21"/>
  <c r="W35" i="21"/>
  <c r="S16" i="4"/>
  <c r="V47" i="21"/>
  <c r="X72" i="21"/>
  <c r="U21" i="4"/>
  <c r="W57" i="21" l="1"/>
  <c r="U9" i="4" s="1"/>
  <c r="T9" i="4"/>
  <c r="T41" i="4" s="1"/>
  <c r="T23" i="4"/>
  <c r="T40" i="4" s="1"/>
  <c r="T5" i="4"/>
  <c r="T8" i="4"/>
  <c r="T24" i="4"/>
  <c r="S31" i="4"/>
  <c r="S25" i="4"/>
  <c r="S26" i="4" s="1"/>
  <c r="S14" i="4"/>
  <c r="U6" i="4"/>
  <c r="X23" i="21"/>
  <c r="M19" i="4"/>
  <c r="M22" i="4" s="1"/>
  <c r="M34" i="4" s="1"/>
  <c r="M29" i="4"/>
  <c r="M30" i="4"/>
  <c r="U10" i="4"/>
  <c r="U39" i="4" s="1"/>
  <c r="Y72" i="21"/>
  <c r="V21" i="4"/>
  <c r="X35" i="21"/>
  <c r="V11" i="4"/>
  <c r="V20" i="4" s="1"/>
  <c r="Y82" i="21"/>
  <c r="W47" i="21"/>
  <c r="T16" i="4"/>
  <c r="V52" i="21"/>
  <c r="T12" i="4" l="1"/>
  <c r="T44" i="4" s="1"/>
  <c r="T28" i="4" s="1"/>
  <c r="U41" i="4"/>
  <c r="X57" i="21"/>
  <c r="W77" i="21"/>
  <c r="T14" i="4"/>
  <c r="M35" i="4"/>
  <c r="M36" i="4" s="1"/>
  <c r="M43" i="4" s="1"/>
  <c r="N13" i="4" s="1"/>
  <c r="N15" i="4" s="1"/>
  <c r="N17" i="4" s="1"/>
  <c r="N29" i="4" s="1"/>
  <c r="M32" i="4"/>
  <c r="U8" i="4"/>
  <c r="U12" i="4" s="1"/>
  <c r="U44" i="4" s="1"/>
  <c r="U23" i="4"/>
  <c r="U40" i="4" s="1"/>
  <c r="U24" i="4"/>
  <c r="U5" i="4"/>
  <c r="T25" i="4"/>
  <c r="T26" i="4" s="1"/>
  <c r="T31" i="4"/>
  <c r="Y23" i="21"/>
  <c r="V6" i="4"/>
  <c r="U38" i="4"/>
  <c r="V10" i="4"/>
  <c r="V38" i="4" s="1"/>
  <c r="V39" i="4"/>
  <c r="Z82" i="21"/>
  <c r="W11" i="4"/>
  <c r="W20" i="4" s="1"/>
  <c r="W21" i="4"/>
  <c r="Z72" i="21"/>
  <c r="Y35" i="21"/>
  <c r="U16" i="4"/>
  <c r="X47" i="21"/>
  <c r="W52" i="21"/>
  <c r="U28" i="4" l="1"/>
  <c r="X77" i="21"/>
  <c r="V9" i="4"/>
  <c r="V41" i="4" s="1"/>
  <c r="Y57" i="21"/>
  <c r="U14" i="4"/>
  <c r="N30" i="4"/>
  <c r="N35" i="4" s="1"/>
  <c r="N19" i="4"/>
  <c r="N22" i="4" s="1"/>
  <c r="N34" i="4" s="1"/>
  <c r="V23" i="4"/>
  <c r="V40" i="4" s="1"/>
  <c r="V8" i="4"/>
  <c r="V24" i="4"/>
  <c r="V5" i="4"/>
  <c r="U31" i="4"/>
  <c r="U25" i="4"/>
  <c r="U26" i="4" s="1"/>
  <c r="Z23" i="21"/>
  <c r="W6" i="4"/>
  <c r="W10" i="4"/>
  <c r="W38" i="4" s="1"/>
  <c r="W39" i="4"/>
  <c r="V16" i="4"/>
  <c r="Y47" i="21"/>
  <c r="Y52" i="21" s="1"/>
  <c r="X52" i="21"/>
  <c r="Z35" i="21"/>
  <c r="AA72" i="21"/>
  <c r="X21" i="4"/>
  <c r="AA82" i="21"/>
  <c r="X11" i="4"/>
  <c r="X20" i="4" s="1"/>
  <c r="V12" i="4" l="1"/>
  <c r="V44" i="4" s="1"/>
  <c r="V28" i="4" s="1"/>
  <c r="Y77" i="21"/>
  <c r="W9" i="4"/>
  <c r="W41" i="4" s="1"/>
  <c r="Z57" i="21"/>
  <c r="N36" i="4"/>
  <c r="N43" i="4" s="1"/>
  <c r="O13" i="4" s="1"/>
  <c r="O15" i="4" s="1"/>
  <c r="O17" i="4" s="1"/>
  <c r="O19" i="4" s="1"/>
  <c r="O22" i="4" s="1"/>
  <c r="O34" i="4" s="1"/>
  <c r="N32" i="4"/>
  <c r="W5" i="4"/>
  <c r="W24" i="4"/>
  <c r="W8" i="4"/>
  <c r="W23" i="4"/>
  <c r="W40" i="4" s="1"/>
  <c r="AA23" i="21"/>
  <c r="X6" i="4"/>
  <c r="V31" i="4"/>
  <c r="V25" i="4"/>
  <c r="V26" i="4" s="1"/>
  <c r="V14" i="4"/>
  <c r="X10" i="4"/>
  <c r="X38" i="4" s="1"/>
  <c r="W16" i="4"/>
  <c r="Z47" i="21"/>
  <c r="AA35" i="21"/>
  <c r="AB82" i="21"/>
  <c r="Y11" i="4"/>
  <c r="Y20" i="4" s="1"/>
  <c r="AB72" i="21"/>
  <c r="Y21" i="4"/>
  <c r="W12" i="4" l="1"/>
  <c r="W44" i="4" s="1"/>
  <c r="W28" i="4" s="1"/>
  <c r="AA57" i="21"/>
  <c r="X9" i="4"/>
  <c r="X41" i="4" s="1"/>
  <c r="Z77" i="21"/>
  <c r="W14" i="4"/>
  <c r="O29" i="4"/>
  <c r="O30" i="4"/>
  <c r="W25" i="4"/>
  <c r="W26" i="4" s="1"/>
  <c r="W31" i="4"/>
  <c r="X5" i="4"/>
  <c r="X23" i="4"/>
  <c r="X40" i="4" s="1"/>
  <c r="X24" i="4"/>
  <c r="X8" i="4"/>
  <c r="AB23" i="21"/>
  <c r="Y6" i="4"/>
  <c r="Y10" i="4"/>
  <c r="Y38" i="4"/>
  <c r="X39" i="4"/>
  <c r="AB35" i="21"/>
  <c r="AC82" i="21"/>
  <c r="Z11" i="4"/>
  <c r="Z20" i="4" s="1"/>
  <c r="X16" i="4"/>
  <c r="AA47" i="21"/>
  <c r="AA52" i="21" s="1"/>
  <c r="AC72" i="21"/>
  <c r="Z21" i="4"/>
  <c r="Z52" i="21"/>
  <c r="X12" i="4" l="1"/>
  <c r="X44" i="4" s="1"/>
  <c r="X28" i="4" s="1"/>
  <c r="AB57" i="21"/>
  <c r="Y9" i="4"/>
  <c r="Y41" i="4" s="1"/>
  <c r="AA77" i="21"/>
  <c r="O35" i="4"/>
  <c r="O36" i="4" s="1"/>
  <c r="O43" i="4" s="1"/>
  <c r="P13" i="4" s="1"/>
  <c r="P15" i="4" s="1"/>
  <c r="P17" i="4" s="1"/>
  <c r="P29" i="4" s="1"/>
  <c r="O32" i="4"/>
  <c r="Y5" i="4"/>
  <c r="Y8" i="4"/>
  <c r="Y24" i="4"/>
  <c r="Y23" i="4"/>
  <c r="Y40" i="4" s="1"/>
  <c r="X25" i="4"/>
  <c r="X26" i="4" s="1"/>
  <c r="X14" i="4"/>
  <c r="X31" i="4"/>
  <c r="AC23" i="21"/>
  <c r="Z6" i="4"/>
  <c r="Y39" i="4"/>
  <c r="Z10" i="4"/>
  <c r="Z38" i="4"/>
  <c r="AD82" i="21"/>
  <c r="AA11" i="4"/>
  <c r="AA20" i="4" s="1"/>
  <c r="AC35" i="21"/>
  <c r="AB47" i="21"/>
  <c r="AB52" i="21" s="1"/>
  <c r="Y16" i="4"/>
  <c r="AD72" i="21"/>
  <c r="AA21" i="4"/>
  <c r="Y12" i="4" l="1"/>
  <c r="Y44" i="4" s="1"/>
  <c r="Y28" i="4" s="1"/>
  <c r="Z9" i="4"/>
  <c r="Z41" i="4" s="1"/>
  <c r="AC57" i="21"/>
  <c r="AB77" i="21"/>
  <c r="P30" i="4"/>
  <c r="P32" i="4" s="1"/>
  <c r="P19" i="4"/>
  <c r="P22" i="4" s="1"/>
  <c r="P34" i="4" s="1"/>
  <c r="Y14" i="4"/>
  <c r="AA6" i="4"/>
  <c r="AD23" i="21"/>
  <c r="Z8" i="4"/>
  <c r="Z23" i="4"/>
  <c r="Z40" i="4" s="1"/>
  <c r="Z24" i="4"/>
  <c r="Z5" i="4"/>
  <c r="Y31" i="4"/>
  <c r="Y25" i="4"/>
  <c r="Y26" i="4" s="1"/>
  <c r="AA10" i="4"/>
  <c r="AA38" i="4"/>
  <c r="Z39" i="4"/>
  <c r="AA39" i="4" s="1"/>
  <c r="AD35" i="21"/>
  <c r="AE72" i="21"/>
  <c r="AB21" i="4"/>
  <c r="AE82" i="21"/>
  <c r="AB11" i="4"/>
  <c r="AB20" i="4" s="1"/>
  <c r="AC47" i="21"/>
  <c r="AC52" i="21" s="1"/>
  <c r="Z16" i="4"/>
  <c r="Z12" i="4" l="1"/>
  <c r="Z44" i="4" s="1"/>
  <c r="Z28" i="4" s="1"/>
  <c r="AA9" i="4"/>
  <c r="AA41" i="4" s="1"/>
  <c r="AD57" i="21"/>
  <c r="AC77" i="21"/>
  <c r="P35" i="4"/>
  <c r="P36" i="4" s="1"/>
  <c r="P43" i="4" s="1"/>
  <c r="Q13" i="4" s="1"/>
  <c r="Q15" i="4" s="1"/>
  <c r="Q17" i="4" s="1"/>
  <c r="Q29" i="4" s="1"/>
  <c r="AE23" i="21"/>
  <c r="AB6" i="4"/>
  <c r="AA5" i="4"/>
  <c r="AA23" i="4"/>
  <c r="AA40" i="4" s="1"/>
  <c r="AA8" i="4"/>
  <c r="AA24" i="4"/>
  <c r="Z14" i="4"/>
  <c r="Z31" i="4"/>
  <c r="Z25" i="4"/>
  <c r="Z26" i="4" s="1"/>
  <c r="AB10" i="4"/>
  <c r="AB39" i="4" s="1"/>
  <c r="AE35" i="21"/>
  <c r="AF72" i="21"/>
  <c r="AC21" i="4"/>
  <c r="AD47" i="21"/>
  <c r="AD52" i="21" s="1"/>
  <c r="AA16" i="4"/>
  <c r="AC11" i="4"/>
  <c r="AC20" i="4" s="1"/>
  <c r="AF82" i="21"/>
  <c r="AA12" i="4" l="1"/>
  <c r="AA44" i="4" s="1"/>
  <c r="AA28" i="4" s="1"/>
  <c r="AD77" i="21"/>
  <c r="AE57" i="21"/>
  <c r="AB9" i="4"/>
  <c r="AB41" i="4" s="1"/>
  <c r="AA14" i="4"/>
  <c r="Q19" i="4"/>
  <c r="Q22" i="4" s="1"/>
  <c r="Q34" i="4" s="1"/>
  <c r="Q30" i="4"/>
  <c r="Q32" i="4" s="1"/>
  <c r="AF23" i="21"/>
  <c r="AC6" i="4"/>
  <c r="AA31" i="4"/>
  <c r="AA25" i="4"/>
  <c r="AA26" i="4" s="1"/>
  <c r="AB8" i="4"/>
  <c r="AB24" i="4"/>
  <c r="AB5" i="4"/>
  <c r="AB23" i="4"/>
  <c r="AB40" i="4" s="1"/>
  <c r="AB38" i="4"/>
  <c r="AD21" i="4"/>
  <c r="AG72" i="21"/>
  <c r="AF35" i="21"/>
  <c r="AG82" i="21"/>
  <c r="AD11" i="4"/>
  <c r="AD20" i="4" s="1"/>
  <c r="AB16" i="4"/>
  <c r="AE47" i="21"/>
  <c r="AE52" i="21" s="1"/>
  <c r="AB12" i="4" l="1"/>
  <c r="AB44" i="4" s="1"/>
  <c r="AB28" i="4" s="1"/>
  <c r="AC9" i="4"/>
  <c r="AC41" i="4" s="1"/>
  <c r="AF57" i="21"/>
  <c r="AE77" i="21"/>
  <c r="Q35" i="4"/>
  <c r="Q36" i="4" s="1"/>
  <c r="Q43" i="4" s="1"/>
  <c r="R13" i="4" s="1"/>
  <c r="R15" i="4" s="1"/>
  <c r="R17" i="4" s="1"/>
  <c r="AG23" i="21"/>
  <c r="AD6" i="4"/>
  <c r="AB25" i="4"/>
  <c r="AB26" i="4" s="1"/>
  <c r="AB31" i="4"/>
  <c r="AB14" i="4"/>
  <c r="AC8" i="4"/>
  <c r="AC23" i="4"/>
  <c r="AC40" i="4" s="1"/>
  <c r="AC5" i="4"/>
  <c r="AC24" i="4"/>
  <c r="AC10" i="4"/>
  <c r="AC38" i="4"/>
  <c r="AH82" i="21"/>
  <c r="AF11" i="4" s="1"/>
  <c r="AF20" i="4" s="1"/>
  <c r="AE11" i="4"/>
  <c r="AE20" i="4" s="1"/>
  <c r="AG35" i="21"/>
  <c r="AF47" i="21"/>
  <c r="AF52" i="21" s="1"/>
  <c r="AC16" i="4"/>
  <c r="AH72" i="21"/>
  <c r="AF21" i="4" s="1"/>
  <c r="AE21" i="4"/>
  <c r="AD9" i="4" l="1"/>
  <c r="AD41" i="4" s="1"/>
  <c r="AG57" i="21"/>
  <c r="AF77" i="21"/>
  <c r="R29" i="4"/>
  <c r="R30" i="4"/>
  <c r="R19" i="4"/>
  <c r="R22" i="4" s="1"/>
  <c r="R34" i="4" s="1"/>
  <c r="AC25" i="4"/>
  <c r="AC26" i="4" s="1"/>
  <c r="AC31" i="4"/>
  <c r="AC14" i="4"/>
  <c r="AD5" i="4"/>
  <c r="AD23" i="4"/>
  <c r="AD40" i="4" s="1"/>
  <c r="AD8" i="4"/>
  <c r="AD24" i="4"/>
  <c r="AH23" i="21"/>
  <c r="AF6" i="4" s="1"/>
  <c r="AE6" i="4"/>
  <c r="AD10" i="4"/>
  <c r="AC39" i="4"/>
  <c r="AD39" i="4" s="1"/>
  <c r="AC12" i="4"/>
  <c r="AC44" i="4" s="1"/>
  <c r="AC28" i="4" s="1"/>
  <c r="AG47" i="21"/>
  <c r="AG52" i="21" s="1"/>
  <c r="AD16" i="4"/>
  <c r="AH35" i="21"/>
  <c r="AG77" i="21" l="1"/>
  <c r="AH57" i="21"/>
  <c r="AE9" i="4"/>
  <c r="AE41" i="4" s="1"/>
  <c r="R35" i="4"/>
  <c r="R36" i="4" s="1"/>
  <c r="R43" i="4" s="1"/>
  <c r="S13" i="4" s="1"/>
  <c r="S15" i="4" s="1"/>
  <c r="S17" i="4" s="1"/>
  <c r="R32" i="4"/>
  <c r="AD14" i="4"/>
  <c r="AD12" i="4"/>
  <c r="AD44" i="4" s="1"/>
  <c r="AD28" i="4" s="1"/>
  <c r="AE8" i="4"/>
  <c r="AE24" i="4"/>
  <c r="AE5" i="4"/>
  <c r="AE23" i="4"/>
  <c r="AD25" i="4"/>
  <c r="AD26" i="4" s="1"/>
  <c r="AD31" i="4"/>
  <c r="AF23" i="4"/>
  <c r="AF24" i="4"/>
  <c r="AF8" i="4"/>
  <c r="AF5" i="4"/>
  <c r="AD38" i="4"/>
  <c r="AE10" i="4"/>
  <c r="AH47" i="21"/>
  <c r="AF16" i="4" s="1"/>
  <c r="AE16" i="4"/>
  <c r="AH77" i="21" l="1"/>
  <c r="AF9" i="4"/>
  <c r="AF41" i="4" s="1"/>
  <c r="AG41" i="4" s="1"/>
  <c r="S19" i="4"/>
  <c r="S22" i="4" s="1"/>
  <c r="S34" i="4" s="1"/>
  <c r="S30" i="4"/>
  <c r="S29" i="4"/>
  <c r="AG23" i="4"/>
  <c r="AH24" i="4" s="1"/>
  <c r="AE12" i="4"/>
  <c r="AE44" i="4" s="1"/>
  <c r="AE28" i="4" s="1"/>
  <c r="AE40" i="4"/>
  <c r="AF40" i="4" s="1"/>
  <c r="AG40" i="4" s="1"/>
  <c r="AE25" i="4"/>
  <c r="AE31" i="4"/>
  <c r="AF31" i="4" s="1"/>
  <c r="AE14" i="4"/>
  <c r="AF14" i="4" s="1"/>
  <c r="AE38" i="4"/>
  <c r="AE39" i="4"/>
  <c r="AH52" i="21"/>
  <c r="S32" i="4" l="1"/>
  <c r="S35" i="4"/>
  <c r="S36" i="4" s="1"/>
  <c r="S43" i="4" s="1"/>
  <c r="T13" i="4" s="1"/>
  <c r="T15" i="4" s="1"/>
  <c r="T17" i="4" s="1"/>
  <c r="AE26" i="4"/>
  <c r="AF25" i="4"/>
  <c r="AF26" i="4" s="1"/>
  <c r="AF10" i="4"/>
  <c r="AF12" i="4" s="1"/>
  <c r="AF44" i="4" s="1"/>
  <c r="AF28" i="4" s="1"/>
  <c r="T29" i="4" l="1"/>
  <c r="T19" i="4"/>
  <c r="T22" i="4" s="1"/>
  <c r="T34" i="4" s="1"/>
  <c r="T30" i="4"/>
  <c r="AF38" i="4"/>
  <c r="AG38" i="4" s="1"/>
  <c r="AF39" i="4"/>
  <c r="AG39" i="4" s="1"/>
  <c r="T35" i="4" l="1"/>
  <c r="T36" i="4" s="1"/>
  <c r="T43" i="4" s="1"/>
  <c r="U13" i="4" s="1"/>
  <c r="U15" i="4" s="1"/>
  <c r="U17" i="4" s="1"/>
  <c r="T32" i="4"/>
  <c r="U30" i="4" l="1"/>
  <c r="U19" i="4"/>
  <c r="U22" i="4" s="1"/>
  <c r="U34" i="4" s="1"/>
  <c r="U29" i="4"/>
  <c r="U35" i="4" l="1"/>
  <c r="U36" i="4" s="1"/>
  <c r="U43" i="4" s="1"/>
  <c r="V13" i="4" s="1"/>
  <c r="V15" i="4" s="1"/>
  <c r="V17" i="4" s="1"/>
  <c r="U32" i="4"/>
  <c r="V30" i="4" l="1"/>
  <c r="V29" i="4"/>
  <c r="V19" i="4"/>
  <c r="V22" i="4" s="1"/>
  <c r="V34" i="4" s="1"/>
  <c r="V35" i="4" l="1"/>
  <c r="V36" i="4" s="1"/>
  <c r="V43" i="4" s="1"/>
  <c r="W13" i="4" s="1"/>
  <c r="W15" i="4" s="1"/>
  <c r="W17" i="4" s="1"/>
  <c r="V32" i="4"/>
  <c r="W29" i="4" l="1"/>
  <c r="W19" i="4"/>
  <c r="W22" i="4" s="1"/>
  <c r="W34" i="4" s="1"/>
  <c r="W30" i="4"/>
  <c r="W35" i="4" l="1"/>
  <c r="W36" i="4" s="1"/>
  <c r="W43" i="4" s="1"/>
  <c r="X13" i="4" s="1"/>
  <c r="X15" i="4" s="1"/>
  <c r="X17" i="4" s="1"/>
  <c r="W32" i="4"/>
  <c r="X29" i="4" l="1"/>
  <c r="X30" i="4"/>
  <c r="X19" i="4"/>
  <c r="X22" i="4" s="1"/>
  <c r="X34" i="4" s="1"/>
  <c r="X35" i="4" l="1"/>
  <c r="X36" i="4" s="1"/>
  <c r="X43" i="4" s="1"/>
  <c r="Y13" i="4" s="1"/>
  <c r="Y15" i="4" s="1"/>
  <c r="Y17" i="4" s="1"/>
  <c r="X32" i="4"/>
  <c r="Y30" i="4" l="1"/>
  <c r="Y19" i="4"/>
  <c r="Y22" i="4" s="1"/>
  <c r="Y34" i="4" s="1"/>
  <c r="Y29" i="4"/>
  <c r="Y35" i="4" l="1"/>
  <c r="Y36" i="4" s="1"/>
  <c r="Y43" i="4" s="1"/>
  <c r="Z13" i="4" s="1"/>
  <c r="Z15" i="4" s="1"/>
  <c r="Z17" i="4" s="1"/>
  <c r="Y32" i="4"/>
  <c r="Z30" i="4" l="1"/>
  <c r="Z29" i="4"/>
  <c r="Z19" i="4"/>
  <c r="Z22" i="4" s="1"/>
  <c r="Z34" i="4" s="1"/>
  <c r="Z35" i="4" l="1"/>
  <c r="Z36" i="4" s="1"/>
  <c r="Z43" i="4" s="1"/>
  <c r="AA13" i="4" s="1"/>
  <c r="AA15" i="4" s="1"/>
  <c r="AA17" i="4" s="1"/>
  <c r="Z32" i="4"/>
  <c r="AA19" i="4" l="1"/>
  <c r="AA22" i="4" s="1"/>
  <c r="AA34" i="4" s="1"/>
  <c r="AA30" i="4"/>
  <c r="AA29" i="4"/>
  <c r="AA35" i="4" l="1"/>
  <c r="AA36" i="4" s="1"/>
  <c r="AA43" i="4" s="1"/>
  <c r="AB13" i="4" s="1"/>
  <c r="AB15" i="4" s="1"/>
  <c r="AB17" i="4" s="1"/>
  <c r="AA32" i="4"/>
  <c r="AB30" i="4" l="1"/>
  <c r="AB29" i="4"/>
  <c r="AB19" i="4"/>
  <c r="AB22" i="4" s="1"/>
  <c r="AB34" i="4" s="1"/>
  <c r="AB35" i="4" l="1"/>
  <c r="AB36" i="4" s="1"/>
  <c r="AB43" i="4" s="1"/>
  <c r="AC13" i="4" s="1"/>
  <c r="AC15" i="4" s="1"/>
  <c r="AC17" i="4" s="1"/>
  <c r="AB32" i="4"/>
  <c r="AC29" i="4" l="1"/>
  <c r="AC30" i="4"/>
  <c r="AC19" i="4"/>
  <c r="AC22" i="4" s="1"/>
  <c r="AC34" i="4" s="1"/>
  <c r="AC35" i="4" l="1"/>
  <c r="AC36" i="4" s="1"/>
  <c r="AC43" i="4" s="1"/>
  <c r="AD13" i="4" s="1"/>
  <c r="AD15" i="4" s="1"/>
  <c r="AD17" i="4" s="1"/>
  <c r="AC32" i="4"/>
  <c r="AD29" i="4" l="1"/>
  <c r="AD30" i="4"/>
  <c r="AD19" i="4"/>
  <c r="AD22" i="4" s="1"/>
  <c r="AD34" i="4" s="1"/>
  <c r="AD35" i="4" l="1"/>
  <c r="AD36" i="4" s="1"/>
  <c r="AD43" i="4" s="1"/>
  <c r="AE13" i="4" s="1"/>
  <c r="AE15" i="4" s="1"/>
  <c r="AE17" i="4" s="1"/>
  <c r="AD32" i="4"/>
  <c r="AE30" i="4" l="1"/>
  <c r="AE19" i="4"/>
  <c r="AE22" i="4" s="1"/>
  <c r="AE34" i="4" s="1"/>
  <c r="AE29" i="4"/>
  <c r="AE35" i="4" l="1"/>
  <c r="AE36" i="4" s="1"/>
  <c r="AE43" i="4" s="1"/>
  <c r="AF13" i="4" s="1"/>
  <c r="AF15" i="4" s="1"/>
  <c r="AF17" i="4" s="1"/>
  <c r="AE32" i="4"/>
  <c r="AF29" i="4" l="1"/>
  <c r="AF19" i="4"/>
  <c r="AF22" i="4" s="1"/>
  <c r="AF34" i="4" s="1"/>
  <c r="D71" i="4" s="1"/>
  <c r="AF30" i="4"/>
  <c r="AF32" i="4" l="1"/>
  <c r="AF35" i="4"/>
  <c r="AF36" i="4" l="1"/>
  <c r="AF43" i="4" s="1"/>
  <c r="D77" i="4" l="1"/>
  <c r="D70" i="4"/>
  <c r="D78" i="4"/>
  <c r="D72" i="4" l="1"/>
  <c r="E70" i="4" s="1"/>
  <c r="E71" i="4" l="1"/>
  <c r="D75" i="4"/>
  <c r="E77" i="4" s="1"/>
  <c r="H41" i="1" l="1"/>
  <c r="D74" i="4"/>
  <c r="M41" i="1" s="1"/>
  <c r="E7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Eduardo Ferreira</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D46" authorId="3"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Miguel Alcobia</author>
  </authors>
  <commentList>
    <comment ref="B5" authorId="0" shapeId="0" xr:uid="{01E257D8-E3BD-3A45-B78A-71837EEF8961}">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https://www.costco.com/connection-stars-efforts-july-2022.html</t>
        </r>
      </text>
    </comment>
    <comment ref="I6" authorId="0" shapeId="0" xr:uid="{8AC994AE-D931-3F44-AF28-028A3C0371CF}">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https://mobilecontent.costco.com/live/resource/img/static-us-landing-pages/5aClimate-Action-Plan.pdf</t>
        </r>
      </text>
    </comment>
    <comment ref="H7" authorId="0" shapeId="0" xr:uid="{42C68F47-31E6-8A4D-84FE-1A28C08698BC}">
      <text>
        <r>
          <rPr>
            <b/>
            <sz val="10"/>
            <color rgb="FF000000"/>
            <rFont val="Tahoma"/>
            <family val="2"/>
          </rPr>
          <t>Miguel Alcobia:</t>
        </r>
        <r>
          <rPr>
            <sz val="10"/>
            <color rgb="FF000000"/>
            <rFont val="Tahoma"/>
            <family val="2"/>
          </rPr>
          <t xml:space="preserve">
</t>
        </r>
        <r>
          <rPr>
            <sz val="10"/>
            <color rgb="FF000000"/>
            <rFont val="Arial"/>
            <family val="2"/>
          </rPr>
          <t xml:space="preserve">By seeing how water is used throughout operations, Costco reduced use by 22% and avoided other hidden expenses 
</t>
        </r>
        <r>
          <rPr>
            <sz val="10"/>
            <color rgb="FF000000"/>
            <rFont val="Tahoma"/>
            <family val="2"/>
          </rPr>
          <t xml:space="preserve">
</t>
        </r>
        <r>
          <rPr>
            <sz val="10"/>
            <color rgb="FF000000"/>
            <rFont val="Tahoma"/>
            <family val="2"/>
          </rPr>
          <t>Source: https://www.apana.com/wp-content/uploads/2020/04/Apana-Case-Study-Costco-web.pdf</t>
        </r>
      </text>
    </comment>
    <comment ref="B8" authorId="0" shapeId="0" xr:uid="{DF8F9057-2065-114D-ABA7-D8884C1639A5}">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https://www.environmentalleader.com/2023/02/costco-is-cutting-its-co2-footprint-by-greening-its-energy-supply-and-using-energy-efficiency/</t>
        </r>
      </text>
    </comment>
    <comment ref="B12" authorId="0" shapeId="0" xr:uid="{31999391-B4C2-0842-A41C-D9C64FF298B9}">
      <text>
        <r>
          <rPr>
            <b/>
            <sz val="10"/>
            <color rgb="FF000000"/>
            <rFont val="Tahoma"/>
            <family val="2"/>
          </rPr>
          <t>Miguel Alcobia:</t>
        </r>
        <r>
          <rPr>
            <sz val="10"/>
            <color rgb="FF000000"/>
            <rFont val="Tahoma"/>
            <family val="2"/>
          </rPr>
          <t xml:space="preserve">
</t>
        </r>
        <r>
          <rPr>
            <sz val="10"/>
            <color rgb="FF000000"/>
            <rFont val="Tahoma"/>
            <family val="2"/>
          </rPr>
          <t>"</t>
        </r>
        <r>
          <rPr>
            <sz val="10"/>
            <color rgb="FF000000"/>
            <rFont val="Arial"/>
            <family val="2"/>
          </rPr>
          <t xml:space="preserve">According to data from Glassdoor, Costco employees rated the company a 4 out of 5, putting it well ahead of competitors like Sam’s Club and Target (TGT). Longtime CEO Craig Jelinek earned an approval rating of 85% from its staff, surpassing Amazon’s (AMZN) Andy Jassy and Walmart's (WMT) Doug McMillon"
</t>
        </r>
        <r>
          <rPr>
            <sz val="10"/>
            <color rgb="FF000000"/>
            <rFont val="Tahoma"/>
            <family val="2"/>
          </rPr>
          <t xml:space="preserve">
</t>
        </r>
        <r>
          <rPr>
            <sz val="10"/>
            <color rgb="FF000000"/>
            <rFont val="Tahoma"/>
            <family val="2"/>
          </rPr>
          <t xml:space="preserve">Source: Yahoo Finance
</t>
        </r>
      </text>
    </comment>
    <comment ref="H12" authorId="0" shapeId="0" xr:uid="{88C9C2AA-EBD6-3545-B950-3DE0F98DA08D}">
      <text>
        <r>
          <rPr>
            <b/>
            <sz val="10"/>
            <color rgb="FF000000"/>
            <rFont val="Tahoma"/>
            <family val="2"/>
          </rPr>
          <t>Miguel Alcobia:</t>
        </r>
        <r>
          <rPr>
            <sz val="10"/>
            <color rgb="FF000000"/>
            <rFont val="Tahoma"/>
            <family val="2"/>
          </rPr>
          <t xml:space="preserve">
</t>
        </r>
        <r>
          <rPr>
            <sz val="10"/>
            <color rgb="FF000000"/>
            <rFont val="Tahoma"/>
            <family val="2"/>
          </rPr>
          <t>https://mobilecontent.costco.com/live/resource/img/static-us-landing-pages/2b-Employee-Development.pdf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Miguel Alcobia</author>
  </authors>
  <commentList>
    <comment ref="C50" authorId="0" shapeId="0" xr:uid="{F1C8FFD1-B7BA-1844-8FAA-74CD783F60B0}">
      <text>
        <r>
          <rPr>
            <b/>
            <sz val="10"/>
            <color rgb="FF000000"/>
            <rFont val="Tahoma"/>
            <family val="2"/>
          </rPr>
          <t>Miguel Alcobia:</t>
        </r>
        <r>
          <rPr>
            <sz val="10"/>
            <color rgb="FF000000"/>
            <rFont val="Tahoma"/>
            <family val="2"/>
          </rPr>
          <t xml:space="preserve">
</t>
        </r>
        <r>
          <rPr>
            <sz val="10"/>
            <color rgb="FF000000"/>
            <rFont val="Tahoma"/>
            <family val="2"/>
          </rPr>
          <t>US 10y Treasury</t>
        </r>
      </text>
    </comment>
    <comment ref="C54" authorId="0" shapeId="0" xr:uid="{0250654C-40A1-D64F-859C-16ECB08B8B91}">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 xml:space="preserve">Assumption:
</t>
        </r>
        <r>
          <rPr>
            <sz val="10"/>
            <color rgb="FF000000"/>
            <rFont val="Tahoma"/>
            <family val="2"/>
          </rPr>
          <t xml:space="preserve">
</t>
        </r>
        <r>
          <rPr>
            <sz val="10"/>
            <color rgb="FF000000"/>
            <rFont val="Tahoma"/>
            <family val="2"/>
          </rPr>
          <t>Amort Factor = Dep Factor</t>
        </r>
      </text>
    </comment>
    <comment ref="D58" authorId="0" shapeId="0" xr:uid="{BF151FBD-317F-6241-863F-CA44AA2947C7}">
      <text>
        <r>
          <rPr>
            <b/>
            <sz val="10"/>
            <color rgb="FF000000"/>
            <rFont val="Tahoma"/>
            <family val="2"/>
          </rPr>
          <t>Miguel Alcobia:</t>
        </r>
        <r>
          <rPr>
            <sz val="10"/>
            <color rgb="FF000000"/>
            <rFont val="Tahoma"/>
            <family val="2"/>
          </rPr>
          <t xml:space="preserve">
</t>
        </r>
        <r>
          <rPr>
            <sz val="10"/>
            <color rgb="FF000000"/>
            <rFont val="Tahoma"/>
            <family val="2"/>
          </rPr>
          <t>US 5y Treasury Yield</t>
        </r>
      </text>
    </comment>
    <comment ref="E58" authorId="0" shapeId="0" xr:uid="{9A402CD1-BA71-0245-9698-DA513640ED57}">
      <text>
        <r>
          <rPr>
            <b/>
            <sz val="10"/>
            <color rgb="FF000000"/>
            <rFont val="Tahoma"/>
            <family val="2"/>
          </rPr>
          <t>Miguel Alcobia:</t>
        </r>
        <r>
          <rPr>
            <sz val="10"/>
            <color rgb="FF000000"/>
            <rFont val="Tahoma"/>
            <family val="2"/>
          </rPr>
          <t xml:space="preserve">
</t>
        </r>
        <r>
          <rPr>
            <sz val="10"/>
            <color rgb="FF000000"/>
            <rFont val="Tahoma"/>
            <family val="2"/>
          </rPr>
          <t>US 30y Treasury Yield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Miguel Alcobia</author>
  </authors>
  <commentList>
    <comment ref="C9" authorId="0" shapeId="0" xr:uid="{D985C3E5-B229-A24A-B99F-80849F268517}">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 xml:space="preserve">15y Av. Tev. Growth
</t>
        </r>
        <r>
          <rPr>
            <sz val="10"/>
            <color rgb="FF000000"/>
            <rFont val="Tahoma"/>
            <family val="2"/>
          </rPr>
          <t xml:space="preserve">
</t>
        </r>
        <r>
          <rPr>
            <sz val="10"/>
            <color rgb="FF000000"/>
            <rFont val="Tahoma"/>
            <family val="2"/>
          </rPr>
          <t>Source: https://seekingalpha.com/article/4560121-costco-buy-into-growth-improving-returns-quality</t>
        </r>
      </text>
    </comment>
    <comment ref="H14" authorId="0" shapeId="0" xr:uid="{5C309F3B-6826-0D40-BF2C-499C58370B37}">
      <text>
        <r>
          <rPr>
            <b/>
            <sz val="10"/>
            <color rgb="FF000000"/>
            <rFont val="Tahoma"/>
            <family val="2"/>
          </rPr>
          <t>Miguel Alcobia:</t>
        </r>
        <r>
          <rPr>
            <sz val="10"/>
            <color rgb="FF000000"/>
            <rFont val="Tahoma"/>
            <family val="2"/>
          </rPr>
          <t xml:space="preserve">
</t>
        </r>
        <r>
          <rPr>
            <sz val="10"/>
            <color rgb="FF000000"/>
            <rFont val="Tahoma"/>
            <family val="2"/>
          </rPr>
          <t xml:space="preserve">Assuming that Revenue % Growth will converge to the expected inftaion rate of 2% + 100bp. by the year of 2027.
</t>
        </r>
        <r>
          <rPr>
            <sz val="10"/>
            <color rgb="FF000000"/>
            <rFont val="Tahoma"/>
            <family val="2"/>
          </rPr>
          <t xml:space="preserve">
</t>
        </r>
        <r>
          <rPr>
            <sz val="10"/>
            <color rgb="FF000000"/>
            <rFont val="Tahoma"/>
            <family val="2"/>
          </rPr>
          <t>Much more conservative than optimistic, since Costco is a well-established company</t>
        </r>
      </text>
    </comment>
    <comment ref="I23" authorId="0" shapeId="0" xr:uid="{191FF679-B012-1C40-A54D-51DA34AF7F39}">
      <text>
        <r>
          <rPr>
            <b/>
            <sz val="10"/>
            <color rgb="FF000000"/>
            <rFont val="Tahoma"/>
            <family val="2"/>
          </rPr>
          <t>Miguel Alcobia:</t>
        </r>
        <r>
          <rPr>
            <sz val="10"/>
            <color rgb="FF000000"/>
            <rFont val="Tahoma"/>
            <family val="2"/>
          </rPr>
          <t xml:space="preserve">
</t>
        </r>
        <r>
          <rPr>
            <sz val="10"/>
            <color rgb="FF000000"/>
            <rFont val="Tahoma"/>
            <family val="2"/>
          </rPr>
          <t xml:space="preserve">Slightly larger than the TTM, which is around 235 442
</t>
        </r>
        <r>
          <rPr>
            <sz val="10"/>
            <color rgb="FF000000"/>
            <rFont val="Tahoma"/>
            <family val="2"/>
          </rPr>
          <t xml:space="preserve">
</t>
        </r>
        <r>
          <rPr>
            <sz val="10"/>
            <color rgb="FF000000"/>
            <rFont val="Tahoma"/>
            <family val="2"/>
          </rPr>
          <t>https://seekingalpha.com/symbol/COST/income-statement</t>
        </r>
      </text>
    </comment>
    <comment ref="K23" authorId="0" shapeId="0" xr:uid="{67A3D049-623F-A846-AE0F-4F4F28C4C0EC}">
      <text>
        <r>
          <rPr>
            <b/>
            <sz val="10"/>
            <color rgb="FF000000"/>
            <rFont val="Tahoma"/>
            <family val="2"/>
          </rPr>
          <t>Miguel Alcobia:</t>
        </r>
        <r>
          <rPr>
            <sz val="10"/>
            <color rgb="FF000000"/>
            <rFont val="Tahoma"/>
            <family val="2"/>
          </rPr>
          <t xml:space="preserve">
</t>
        </r>
        <r>
          <rPr>
            <sz val="10"/>
            <color rgb="FF000000"/>
            <rFont val="Tahoma"/>
            <family val="2"/>
          </rPr>
          <t xml:space="preserve">Estimation taken from:
</t>
        </r>
        <r>
          <rPr>
            <sz val="10"/>
            <color rgb="FF000000"/>
            <rFont val="Tahoma"/>
            <family val="2"/>
          </rPr>
          <t xml:space="preserve">
</t>
        </r>
        <r>
          <rPr>
            <sz val="10"/>
            <color rgb="FF000000"/>
            <rFont val="Tahoma"/>
            <family val="2"/>
          </rPr>
          <t xml:space="preserve">Simply Wall St
</t>
        </r>
        <r>
          <rPr>
            <sz val="10"/>
            <color rgb="FF000000"/>
            <rFont val="Tahoma"/>
            <family val="2"/>
          </rPr>
          <t xml:space="preserve">
</t>
        </r>
        <r>
          <rPr>
            <sz val="10"/>
            <color rgb="FF000000"/>
            <rFont val="Tahoma"/>
            <family val="2"/>
          </rPr>
          <t xml:space="preserve">https://simplywall.st/stocks/us/consumer-retailing/nasdaq-cost/costco-wholesale/future
</t>
        </r>
      </text>
    </comment>
    <comment ref="B24" authorId="0" shapeId="0" xr:uid="{38092A23-6BCA-C043-80C2-6C6183A6FFD2}">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Using the Base Scenario</t>
        </r>
      </text>
    </comment>
    <comment ref="I29" authorId="0" shapeId="0" xr:uid="{C525780A-9DCA-3643-A96D-3F27F0E268E5}">
      <text>
        <r>
          <rPr>
            <b/>
            <sz val="10"/>
            <color rgb="FF000000"/>
            <rFont val="Tahoma"/>
            <family val="2"/>
          </rPr>
          <t>Miguel Alcobia:</t>
        </r>
        <r>
          <rPr>
            <sz val="10"/>
            <color rgb="FF000000"/>
            <rFont val="Tahoma"/>
            <family val="2"/>
          </rPr>
          <t xml:space="preserve">
</t>
        </r>
        <r>
          <rPr>
            <sz val="10"/>
            <color rgb="FF000000"/>
            <rFont val="Arial"/>
            <family val="2"/>
          </rPr>
          <t xml:space="preserve">https://finance.yahoo.com/quote/COST/analysis?p=COST
</t>
        </r>
      </text>
    </comment>
    <comment ref="J29" authorId="0" shapeId="0" xr:uid="{65CFF40B-6215-5F4A-B0D3-493A2F2817E7}">
      <text>
        <r>
          <rPr>
            <b/>
            <sz val="10"/>
            <color rgb="FF000000"/>
            <rFont val="Tahoma"/>
            <family val="2"/>
          </rPr>
          <t>Miguel Alcobia:</t>
        </r>
        <r>
          <rPr>
            <sz val="10"/>
            <color rgb="FF000000"/>
            <rFont val="Tahoma"/>
            <family val="2"/>
          </rPr>
          <t xml:space="preserve">
</t>
        </r>
        <r>
          <rPr>
            <sz val="10"/>
            <color rgb="FF000000"/>
            <rFont val="Tahoma"/>
            <family val="2"/>
          </rPr>
          <t>https://finance.yahoo.com/quote/COST/analysis?p=COST</t>
        </r>
      </text>
    </comment>
    <comment ref="N29" authorId="0" shapeId="0" xr:uid="{67B25CA1-2DA2-4E48-A090-A0E443C8D29D}">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 xml:space="preserve">Expected increase of the membership fee
</t>
        </r>
        <r>
          <rPr>
            <sz val="10"/>
            <color rgb="FF000000"/>
            <rFont val="Tahoma"/>
            <family val="2"/>
          </rPr>
          <t xml:space="preserve">
</t>
        </r>
        <r>
          <rPr>
            <sz val="10"/>
            <color rgb="FF000000"/>
            <rFont val="Tahoma"/>
            <family val="2"/>
          </rPr>
          <t>Assuming it will have a similar behaviour as in 2017/18</t>
        </r>
      </text>
    </comment>
    <comment ref="S29" authorId="0" shapeId="0" xr:uid="{62B460F8-682F-B04A-9637-92E9E9CAAC46}">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X29" authorId="0" shapeId="0" xr:uid="{7B31381A-9BFB-B646-8942-FB5482686E8F}">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AC29" authorId="0" shapeId="0" xr:uid="{A96DF7D0-9149-CA49-887C-5A05B5F2FC8F}">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AH29" authorId="0" shapeId="0" xr:uid="{FD954217-D960-A84E-8D4C-AAEF40E1CDBB}">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I35" authorId="0" shapeId="0" xr:uid="{5069B452-8F1E-C64E-B230-CBAA591DEE26}">
      <text>
        <r>
          <rPr>
            <b/>
            <sz val="10"/>
            <color rgb="FF000000"/>
            <rFont val="Tahoma"/>
            <family val="2"/>
          </rPr>
          <t>Miguel Alcobia:</t>
        </r>
        <r>
          <rPr>
            <sz val="10"/>
            <color rgb="FF000000"/>
            <rFont val="Tahoma"/>
            <family val="2"/>
          </rPr>
          <t xml:space="preserve">
</t>
        </r>
        <r>
          <rPr>
            <sz val="10"/>
            <color rgb="FF000000"/>
            <rFont val="Tahoma"/>
            <family val="2"/>
          </rPr>
          <t xml:space="preserve">Estimations taken from:
</t>
        </r>
        <r>
          <rPr>
            <sz val="10"/>
            <color rgb="FF000000"/>
            <rFont val="Tahoma"/>
            <family val="2"/>
          </rPr>
          <t xml:space="preserve">
</t>
        </r>
        <r>
          <rPr>
            <sz val="10"/>
            <color rgb="FF000000"/>
            <rFont val="Tahoma"/>
            <family val="2"/>
          </rPr>
          <t xml:space="preserve">Simply Wall St
</t>
        </r>
        <r>
          <rPr>
            <sz val="10"/>
            <color rgb="FF000000"/>
            <rFont val="Tahoma"/>
            <family val="2"/>
          </rPr>
          <t xml:space="preserve">
</t>
        </r>
        <r>
          <rPr>
            <sz val="10"/>
            <color rgb="FF000000"/>
            <rFont val="Tahoma"/>
            <family val="2"/>
          </rPr>
          <t xml:space="preserve">https://simplywall.st/stocks/us/consumer-retailing/nasdaq-cost/costco-wholesale/future
</t>
        </r>
      </text>
    </comment>
    <comment ref="N41" authorId="0" shapeId="0" xr:uid="{A0F5FF57-34E2-F644-B5CE-E459DCD34AD1}">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S41" authorId="0" shapeId="0" xr:uid="{C7FE1F05-E5CB-674C-A24B-52DD9924FE58}">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X41" authorId="0" shapeId="0" xr:uid="{92894284-68F0-194F-8864-29D03590A9C6}">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AC41" authorId="0" shapeId="0" xr:uid="{A93DA1FB-E515-2C47-9877-7859CC86E122}">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AH41" authorId="0" shapeId="0" xr:uid="{521123E1-3B9A-544C-99A1-6F1F890DA778}">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B87" authorId="0" shapeId="0" xr:uid="{B9199EA7-2E7F-134B-BEFE-045BDA75EEDD}">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 xml:space="preserve">10-K Form 
</t>
        </r>
        <r>
          <rPr>
            <sz val="10"/>
            <color rgb="FF000000"/>
            <rFont val="Tahoma"/>
            <family val="2"/>
          </rPr>
          <t xml:space="preserve">
</t>
        </r>
        <r>
          <rPr>
            <sz val="10"/>
            <color rgb="FF000000"/>
            <rFont val="Tahoma"/>
            <family val="2"/>
          </rPr>
          <t>Pages 51-54</t>
        </r>
      </text>
    </comment>
    <comment ref="B101" authorId="0" shapeId="0" xr:uid="{23024C9D-9881-144B-AD62-B0DD5A839581}">
      <text>
        <r>
          <rPr>
            <b/>
            <sz val="10"/>
            <color rgb="FF000000"/>
            <rFont val="Tahoma"/>
            <family val="2"/>
          </rPr>
          <t>Miguel Alcobia:</t>
        </r>
        <r>
          <rPr>
            <sz val="10"/>
            <color rgb="FF000000"/>
            <rFont val="Tahoma"/>
            <family val="2"/>
          </rPr>
          <t xml:space="preserve">
</t>
        </r>
        <r>
          <rPr>
            <sz val="10"/>
            <color rgb="FF000000"/>
            <rFont val="Tahoma"/>
            <family val="2"/>
          </rPr>
          <t>Assuming constant payout ratio</t>
        </r>
      </text>
    </comment>
    <comment ref="B102" authorId="0" shapeId="0" xr:uid="{ACCA59AB-E2E5-0E45-885E-1648C828A545}">
      <text>
        <r>
          <rPr>
            <b/>
            <sz val="10"/>
            <color rgb="FF000000"/>
            <rFont val="Tahoma"/>
            <family val="2"/>
          </rPr>
          <t>Miguel Alcobia:</t>
        </r>
        <r>
          <rPr>
            <sz val="10"/>
            <color rgb="FF000000"/>
            <rFont val="Tahoma"/>
            <family val="2"/>
          </rPr>
          <t xml:space="preserve">
</t>
        </r>
        <r>
          <rPr>
            <sz val="10"/>
            <color rgb="FF000000"/>
            <rFont val="Tahoma"/>
            <family val="2"/>
          </rPr>
          <t>% NI (N-1)</t>
        </r>
      </text>
    </comment>
    <comment ref="D115" authorId="0" shapeId="0" xr:uid="{E18AB7AE-99E8-CC48-B0D3-97486BD0C551}">
      <text>
        <r>
          <rPr>
            <b/>
            <sz val="10"/>
            <color rgb="FF000000"/>
            <rFont val="Tahoma"/>
            <family val="2"/>
          </rPr>
          <t>Miguel Alcobia:</t>
        </r>
        <r>
          <rPr>
            <sz val="10"/>
            <color rgb="FF000000"/>
            <rFont val="Tahoma"/>
            <family val="2"/>
          </rPr>
          <t xml:space="preserve">
</t>
        </r>
        <r>
          <rPr>
            <sz val="10"/>
            <color rgb="FF000000"/>
            <rFont val="Tahoma"/>
            <family val="2"/>
          </rPr>
          <t>"theoretically there is no risk in the US"</t>
        </r>
      </text>
    </comment>
    <comment ref="B116" authorId="0" shapeId="0" xr:uid="{4A78616E-696A-8B4C-B55A-57BF1AEB9EA3}">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t>
        </r>
        <r>
          <rPr>
            <sz val="10"/>
            <color rgb="FF000000"/>
            <rFont val="Arial"/>
            <family val="2"/>
          </rPr>
          <t xml:space="preserve">During 2022, our international operations, including Canada, generated 27% and 32% of our net sales and operating income, respectively."
</t>
        </r>
        <r>
          <rPr>
            <sz val="10"/>
            <color rgb="FF000000"/>
            <rFont val="Arial"/>
            <family val="2"/>
          </rPr>
          <t xml:space="preserve">
</t>
        </r>
        <r>
          <rPr>
            <sz val="10"/>
            <color rgb="FF000000"/>
            <rFont val="Arial"/>
            <family val="2"/>
          </rPr>
          <t xml:space="preserve">"The Company is principally engaged in the operation of membership warehouses through wholly owned subsidiaries in the U.S., Canada, Mexico, Japan, U.K., Korea, Taiwan, Australia, Spain, France, China, and Iceland."
</t>
        </r>
        <r>
          <rPr>
            <sz val="10"/>
            <color rgb="FF000000"/>
            <rFont val="Tahoma"/>
            <family val="2"/>
          </rPr>
          <t xml:space="preserve">
</t>
        </r>
        <r>
          <rPr>
            <sz val="10"/>
            <color rgb="FF000000"/>
            <rFont val="Tahoma"/>
            <family val="2"/>
          </rPr>
          <t>10-K Form</t>
        </r>
      </text>
    </comment>
    <comment ref="B146" authorId="0" shapeId="0" xr:uid="{82D4F4A7-C1C3-1A4D-AA9D-7B7551120280}">
      <text>
        <r>
          <rPr>
            <b/>
            <sz val="10"/>
            <color rgb="FF000000"/>
            <rFont val="Tahoma"/>
            <family val="2"/>
          </rPr>
          <t>Miguel Alcobia:</t>
        </r>
        <r>
          <rPr>
            <sz val="10"/>
            <color rgb="FF000000"/>
            <rFont val="Tahoma"/>
            <family val="2"/>
          </rPr>
          <t xml:space="preserve">
</t>
        </r>
        <r>
          <rPr>
            <sz val="10"/>
            <color rgb="FF000000"/>
            <rFont val="Tahoma"/>
            <family val="2"/>
          </rPr>
          <t xml:space="preserve">Goodwill / Net Sales
</t>
        </r>
        <r>
          <rPr>
            <sz val="10"/>
            <color rgb="FF000000"/>
            <rFont val="Tahoma"/>
            <family val="2"/>
          </rPr>
          <t xml:space="preserve">
</t>
        </r>
        <r>
          <rPr>
            <sz val="10"/>
            <color rgb="FF000000"/>
            <rFont val="Tahoma"/>
            <family val="2"/>
          </rPr>
          <t>Source: Seeking Alpha</t>
        </r>
      </text>
    </comment>
    <comment ref="B151" authorId="0" shapeId="0" xr:uid="{2C4D7BE4-DE1F-A048-9B1C-EB8DC95777EF}">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 xml:space="preserve">Source: 10-K Forms
</t>
        </r>
        <r>
          <rPr>
            <sz val="10"/>
            <color rgb="FF000000"/>
            <rFont val="Tahoma"/>
            <family val="2"/>
          </rPr>
          <t xml:space="preserve">
</t>
        </r>
        <r>
          <rPr>
            <sz val="10"/>
            <color rgb="FF000000"/>
            <rFont val="Tahoma"/>
            <family val="2"/>
          </rPr>
          <t>Operating Lease Rates (page 53)</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futureMetadata>
  <futureMetadata name="XLDAPR" count="1">
    <bk>
      <extLst>
        <ext uri="{bdbb8cdc-fa1e-496e-a857-3c3f30c029c3}">
          <xda:dynamicArrayProperties fDynamic="1" fCollapsed="0"/>
        </ext>
      </extLst>
    </bk>
  </futureMetadata>
  <cellMetadata count="1">
    <bk>
      <rc t="2" v="0"/>
    </bk>
  </cellMetadata>
  <valueMetadata count="6">
    <bk>
      <rc t="1" v="0"/>
    </bk>
    <bk>
      <rc t="1" v="1"/>
    </bk>
    <bk>
      <rc t="1" v="2"/>
    </bk>
    <bk>
      <rc t="1" v="3"/>
    </bk>
    <bk>
      <rc t="1" v="4"/>
    </bk>
    <bk>
      <rc t="1" v="5"/>
    </bk>
  </valueMetadata>
</metadata>
</file>

<file path=xl/sharedStrings.xml><?xml version="1.0" encoding="utf-8"?>
<sst xmlns="http://schemas.openxmlformats.org/spreadsheetml/2006/main" count="1811" uniqueCount="852">
  <si>
    <t>Team 5</t>
  </si>
  <si>
    <t>NYSE</t>
  </si>
  <si>
    <t xml:space="preserve">SIC: </t>
  </si>
  <si>
    <t>COMPANY DESCRIPTION</t>
  </si>
  <si>
    <t>CEO &amp; BOARD OF DIRECTORS</t>
  </si>
  <si>
    <t>Name</t>
  </si>
  <si>
    <t>Gender</t>
  </si>
  <si>
    <t>Age</t>
  </si>
  <si>
    <t>Tenure</t>
  </si>
  <si>
    <t>Executive?</t>
  </si>
  <si>
    <t>Other roles</t>
  </si>
  <si>
    <t>W. Craig Jelinek</t>
  </si>
  <si>
    <t>Male</t>
  </si>
  <si>
    <t>Yes</t>
  </si>
  <si>
    <t>CEO &amp; Director</t>
  </si>
  <si>
    <t>Ron Vachris</t>
  </si>
  <si>
    <t>President</t>
  </si>
  <si>
    <t>Richard Galanti</t>
  </si>
  <si>
    <t>Executive VP</t>
  </si>
  <si>
    <t>Jeffrey Raikes</t>
  </si>
  <si>
    <t>No</t>
  </si>
  <si>
    <t>Independent Director</t>
  </si>
  <si>
    <t>Kenneth Denman</t>
  </si>
  <si>
    <t>Independent Vice Chairman of the Board</t>
  </si>
  <si>
    <t>Susan Decker</t>
  </si>
  <si>
    <t>Female</t>
  </si>
  <si>
    <t>Mary Wilderotter</t>
  </si>
  <si>
    <t>Charles Munger</t>
  </si>
  <si>
    <t>John Stanton</t>
  </si>
  <si>
    <t>Hamilton James</t>
  </si>
  <si>
    <t>Independent Chairman of the Board</t>
  </si>
  <si>
    <t>Sarah Margaret Jewell</t>
  </si>
  <si>
    <t>USD MILLIONS</t>
  </si>
  <si>
    <t>COMPANY OVERVIEW</t>
  </si>
  <si>
    <t>Stock</t>
  </si>
  <si>
    <t>Liquidity and Solvency</t>
  </si>
  <si>
    <t>Segments</t>
  </si>
  <si>
    <t>Profitability (2022)</t>
  </si>
  <si>
    <t>Multiples</t>
  </si>
  <si>
    <t>Last Price</t>
  </si>
  <si>
    <t>Total Assets</t>
  </si>
  <si>
    <t>Regions</t>
  </si>
  <si>
    <t>% Sales</t>
  </si>
  <si>
    <t>Reporting Year</t>
  </si>
  <si>
    <t>Float</t>
  </si>
  <si>
    <t>Outstanding Shares</t>
  </si>
  <si>
    <t>Total Liabilities</t>
  </si>
  <si>
    <t>End of Year</t>
  </si>
  <si>
    <t>1 October 2022</t>
  </si>
  <si>
    <t>Insiders Own</t>
  </si>
  <si>
    <t>Market Cap.</t>
  </si>
  <si>
    <t>Cash/Share</t>
  </si>
  <si>
    <t>EBITDA</t>
  </si>
  <si>
    <t>b (Yahoo)</t>
  </si>
  <si>
    <t>+Total Debt</t>
  </si>
  <si>
    <t>EBIDTA/Net Financial Cost (NFC)</t>
  </si>
  <si>
    <t>Depreciation &amp; Amortization</t>
  </si>
  <si>
    <t>Score (S&amp;P)</t>
  </si>
  <si>
    <t>A+</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</si>
  <si>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</si>
  <si>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</si>
  <si>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</si>
  <si>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</si>
  <si>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</si>
  <si>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</si>
  <si>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</si>
  <si>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</si>
  <si>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</si>
  <si>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</si>
  <si>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</si>
  <si>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</si>
  <si>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</si>
  <si>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</si>
  <si>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</si>
  <si>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</si>
  <si>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</si>
  <si>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</si>
  <si>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</si>
  <si>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Operating Margin (average)</t>
  </si>
  <si>
    <t>ROIC</t>
  </si>
  <si>
    <t>EV/Ebidta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</si>
  <si>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</si>
  <si>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</si>
  <si>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</si>
  <si>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</si>
  <si>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</si>
  <si>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</si>
  <si>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</si>
  <si>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</si>
  <si>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</si>
  <si>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</si>
  <si>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</si>
  <si>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</si>
  <si>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</si>
  <si>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</si>
  <si>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</si>
  <si>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</si>
  <si>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</si>
  <si>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</si>
  <si>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</si>
  <si>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BUY</t>
  </si>
  <si>
    <t>CHECK DCF + ASSUMPTIONS</t>
  </si>
  <si>
    <t>Expansion Projections</t>
  </si>
  <si>
    <t>Costco has entered in new markets by partening with local companies, which is apparentely a way to overcoming government regulations, setting up local infrastructure and managing different types of risks in foreign markets</t>
  </si>
  <si>
    <t>Market share stability</t>
  </si>
  <si>
    <t>Costco is one of the worlds leading global retailer with its presence in eight countries. In spite of heavy competition in the retail industry, Costco has built a strong brand image by offering high-quality products at low prices with excellent customer service, along with other key factors.</t>
  </si>
  <si>
    <t>Customer retention and loyalty</t>
  </si>
  <si>
    <t>Costco has a membership warehouse model, which enables high-quality products at lower prices to its consumers. Unlike other competitors in the market, Costco allowed its customers to cancel their membership any time of the year and also reimbursed the unused portion of the membership</t>
  </si>
  <si>
    <t>Relationship with employees</t>
  </si>
  <si>
    <t>Costco has been considered one of the best places to work in the US.</t>
  </si>
  <si>
    <t>Risks of Investment</t>
  </si>
  <si>
    <t>Price Target</t>
  </si>
  <si>
    <t>Valuation</t>
  </si>
  <si>
    <t>Risk</t>
  </si>
  <si>
    <t>Discount Rate</t>
  </si>
  <si>
    <t>Upside</t>
  </si>
  <si>
    <t>Growth &amp; Expansion Risk</t>
  </si>
  <si>
    <t>"Our growth is dependent, in part, on our ability to acquire property and build or lease new warehouses and depots. We compete with other retailers and businesses for suitable locations. Local land use and other regulations restricting the construction and operation of our warehouses and depots, as well as local community actions opposed to the location of our warehouses or depots at specific sites and the adoption of local laws restricting our operations and environmental regulations, may impact our ability to find suitable locations and increase the cost of sites and of constructing, leasing and operating warehouses and depots. We also may have difficulty negotiating leases or purchase agreements on acceptable terms. In addition, certain jurisdictions have enacted or proposed laws and regulations that would prevent or restrict the operation or expansion plans of certain large retailers and warehouse clubs, including us. Failure to effectively manage these and other similar factors may affect our ability to timely build or lease and operate new warehouses and depots, which could have a material adverse effect on our future growth and profitability." - 10-K Form</t>
  </si>
  <si>
    <t>Failure to maintain membership growth</t>
  </si>
  <si>
    <t>Membership loyalty and growth are essential to our business. The extent to which we achieve growth in our membership base, increase the penetration of Executive membership, and sustain high renewal rates materially influences our profitability. Damage to our brands or reputation may negatively impact comparable sales, diminish member trust, and reduce renewal rates and, accordingly, net sales and membership fee revenue, negatively impacting our results of operations.</t>
  </si>
  <si>
    <t xml:space="preserve">Risk of shifting consumer preference </t>
  </si>
  <si>
    <t>The company uses a warehouse approach as it buys certain items in large quantities and tries to sell them as quickly as possible. This method only works if it can maintain those high volumes. If consumer preferences change, Costco could be left with large amounts of unwanted, and possibly perishable, goods.</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</si>
  <si>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</si>
  <si>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</si>
  <si>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</si>
  <si>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</si>
  <si>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</si>
  <si>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</si>
  <si>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</si>
  <si>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</si>
  <si>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</si>
  <si>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</si>
  <si>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</si>
  <si>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</si>
  <si>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</si>
  <si>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</si>
  <si>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</si>
  <si>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</si>
  <si>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</si>
  <si>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</si>
  <si>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</si>
  <si>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</si>
  <si>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</si>
  <si>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</si>
  <si>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</si>
  <si>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</si>
  <si>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</si>
  <si>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</si>
  <si>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</si>
  <si>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</si>
  <si>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 Stake</t>
  </si>
  <si>
    <r>
      <rPr>
        <b/>
        <sz val="10"/>
        <rFont val="Arial"/>
        <family val="2"/>
      </rPr>
      <t xml:space="preserve">Efficient Supply Chain Management: </t>
    </r>
    <r>
      <rPr>
        <sz val="10"/>
        <rFont val="Arial"/>
        <family val="2"/>
      </rPr>
      <t>Costco invests heavily in technology to streamline its Supply Chain operations and ensure that products are delivered to its warehouses promptly and efficiently.</t>
    </r>
  </si>
  <si>
    <r>
      <rPr>
        <b/>
        <sz val="10"/>
        <rFont val="Arial"/>
        <family val="2"/>
      </rPr>
      <t xml:space="preserve">Limited product selection: </t>
    </r>
    <r>
      <rPr>
        <sz val="10"/>
        <rFont val="Arial"/>
        <family val="2"/>
      </rPr>
      <t>Costco’s focus on bulk items may lead to excluding some essential products from its inventory, which can be a significant disadvantage for customers looking for specific items.</t>
    </r>
  </si>
  <si>
    <t>Vanguard Group Inc</t>
  </si>
  <si>
    <r>
      <rPr>
        <b/>
        <sz val="10"/>
        <rFont val="Arial"/>
        <family val="2"/>
      </rPr>
      <t>Strong Brand reputation:</t>
    </r>
    <r>
      <rPr>
        <sz val="10"/>
        <rFont val="Arial"/>
        <family val="2"/>
      </rPr>
      <t xml:space="preserve"> known for its high-quality products, competitive prices, and excellent customer service, which has helped it build the consumer's loyalty</t>
    </r>
  </si>
  <si>
    <t>Blackrock Inc.</t>
  </si>
  <si>
    <r>
      <rPr>
        <b/>
        <sz val="10"/>
        <rFont val="Arial"/>
        <family val="2"/>
      </rPr>
      <t>Experienced workforce</t>
    </r>
    <r>
      <rPr>
        <sz val="10"/>
        <rFont val="Arial"/>
        <family val="2"/>
      </rPr>
      <t>: low employee turnover, emphasis on employee training and development, etc.</t>
    </r>
  </si>
  <si>
    <t>State Street Corporation</t>
  </si>
  <si>
    <r>
      <rPr>
        <b/>
        <sz val="10"/>
        <rFont val="Arial"/>
        <family val="2"/>
      </rPr>
      <t>Unique membership model:</t>
    </r>
    <r>
      <rPr>
        <sz val="10"/>
        <rFont val="Arial"/>
        <family val="2"/>
      </rPr>
      <t xml:space="preserve"> enables Costco to maintain low overhead costs while offering products at discounted prices</t>
    </r>
  </si>
  <si>
    <r>
      <rPr>
        <b/>
        <sz val="10"/>
        <rFont val="Arial"/>
        <family val="2"/>
      </rPr>
      <t>Minimal customer service:</t>
    </r>
    <r>
      <rPr>
        <sz val="10"/>
        <rFont val="Arial"/>
        <family val="2"/>
      </rPr>
      <t xml:space="preserve"> no-frills approach, which means it does not offer many personalized services like other retailers</t>
    </r>
  </si>
  <si>
    <t>FMR, LLC</t>
  </si>
  <si>
    <r>
      <rPr>
        <b/>
        <sz val="10"/>
        <rFont val="Arial"/>
        <family val="2"/>
      </rPr>
      <t>Commitment to sustainability:</t>
    </r>
    <r>
      <rPr>
        <sz val="10"/>
        <rFont val="Arial"/>
        <family val="2"/>
      </rPr>
      <t xml:space="preserve"> Costco has implemented several initiatives to reduce its environmental impact, such as reducing waste, using renewable energy sources, and promoting sustainable sourcing, which also helps to improve the brand awareness and reputation.</t>
    </r>
  </si>
  <si>
    <t>Morgan Stanley</t>
  </si>
  <si>
    <t>Geode Capital Management, LLC</t>
  </si>
  <si>
    <t>Bank of America Corporation</t>
  </si>
  <si>
    <t>Bank Of New York Mellon Corporation</t>
  </si>
  <si>
    <t>Northern Trust Corporation</t>
  </si>
  <si>
    <t>Norges Bank Investment Management</t>
  </si>
  <si>
    <t>Opportunities</t>
  </si>
  <si>
    <t>Risks</t>
  </si>
  <si>
    <r>
      <rPr>
        <b/>
        <sz val="10"/>
        <rFont val="Arial"/>
        <family val="2"/>
      </rPr>
      <t>Partnerships and Acquisitions</t>
    </r>
    <r>
      <rPr>
        <sz val="10"/>
        <rFont val="Arial"/>
        <family val="2"/>
      </rPr>
      <t>, in order to consolidate market share in locations that Costco is already established, or new markets in which the company wants to test.</t>
    </r>
  </si>
  <si>
    <r>
      <rPr>
        <b/>
        <sz val="10"/>
        <rFont val="Arial"/>
        <family val="2"/>
      </rPr>
      <t xml:space="preserve">Growth &amp; Expansion Risk: </t>
    </r>
    <r>
      <rPr>
        <sz val="10"/>
        <rFont val="Arial"/>
        <family val="2"/>
      </rPr>
      <t>the company has faced challenges opening new stores in some countries due to cultural differences, regulatory barriers, local competition, or economic and political instability. For example, in some regions, there may be concerns about the environmental impact of bulk packaging or the treatment of animals in Costco’s supply chain</t>
    </r>
  </si>
  <si>
    <r>
      <rPr>
        <b/>
        <sz val="10"/>
        <rFont val="Arial"/>
        <family val="2"/>
      </rPr>
      <t>Membership rewards:</t>
    </r>
    <r>
      <rPr>
        <sz val="10"/>
        <rFont val="Arial"/>
        <family val="2"/>
      </rPr>
      <t xml:space="preserve"> Costco can increase customer loyalty and retention by offering more attractive membership rewards, such as exclusive discounts, cashback programs, and free shipping.</t>
    </r>
  </si>
  <si>
    <r>
      <rPr>
        <b/>
        <sz val="10"/>
        <rFont val="Arial"/>
        <family val="2"/>
      </rPr>
      <t>Changes in trade policies and tariffs: a</t>
    </r>
    <r>
      <rPr>
        <sz val="10"/>
        <rFont val="Arial"/>
        <family val="2"/>
      </rPr>
      <t>s a retailer that imports a significant amount of goods from other countries, Costco is vulnerable to changes in trade policies or tariffs.</t>
    </r>
  </si>
  <si>
    <t>NOTES</t>
  </si>
  <si>
    <t>STOCK PERFORMANCE (5 years)</t>
  </si>
  <si>
    <t>PE</t>
  </si>
  <si>
    <t>Products</t>
  </si>
  <si>
    <t>Nominal value</t>
  </si>
  <si>
    <t>YoY Growth</t>
  </si>
  <si>
    <t>Weight</t>
  </si>
  <si>
    <t>Region</t>
  </si>
  <si>
    <t>United States and Canada</t>
  </si>
  <si>
    <t>Other International</t>
  </si>
  <si>
    <t>TOTAL</t>
  </si>
  <si>
    <t>Category</t>
  </si>
  <si>
    <t>Foods and Sundries</t>
  </si>
  <si>
    <t>Non-Foods</t>
  </si>
  <si>
    <t>Fresh Foods</t>
  </si>
  <si>
    <t>Warehouse Ancillary and Other Businesses</t>
  </si>
  <si>
    <t>Description</t>
  </si>
  <si>
    <t>Graphs</t>
  </si>
  <si>
    <t>This categorie includes sundries, dry grocery, candy, cooler, freezer, deli, liquor and tobacco</t>
  </si>
  <si>
    <t>Including major appliances, electronics, health and beauty aids, hardware, garden and patio, sporting goods, tires, toys and seasonal, office supplies, automotive care, postage, tickets, apparel, small appliances, furniture, domestics, housewares, special order kiosk and jewelry</t>
  </si>
  <si>
    <t>including meat, produce, service deli and bakery</t>
  </si>
  <si>
    <t>Warehouse ancillary includes gasoline, pharmacy, optical, food court, hearing aids and tire installation. Other Businesses includes e-commerce, business centers, travel and other</t>
  </si>
  <si>
    <t>Industry</t>
  </si>
  <si>
    <t>Graphs (Industry Forecasts)</t>
  </si>
  <si>
    <t>Drivers</t>
  </si>
  <si>
    <t>Consumer preferences</t>
  </si>
  <si>
    <t>Consumer Staples are in constant demand. Usually, economic cycles do not affect this sector, what makes the demand stable and predictable. Also, in 2022, consumer staples earned its reputation as a defensive sector, by outperforming the broad market.</t>
  </si>
  <si>
    <t>Merchandise Quality and Selection</t>
  </si>
  <si>
    <t>Distribution Strategy</t>
  </si>
  <si>
    <t>Price competition</t>
  </si>
  <si>
    <t>Price competition strategies are common in the sector, which requires economies of scale, as well as, some market share stability.</t>
  </si>
  <si>
    <t>Sales forecast</t>
  </si>
  <si>
    <t>Source</t>
  </si>
  <si>
    <t>Market Growth CGAR</t>
  </si>
  <si>
    <t>Period</t>
  </si>
  <si>
    <t>https://simplywall.st/markets/us/consumer-staples</t>
  </si>
  <si>
    <t>2023-2027</t>
  </si>
  <si>
    <t>Company's Strategy / Extra Notes</t>
  </si>
  <si>
    <t>Invertir</t>
  </si>
  <si>
    <t>NO invertir</t>
  </si>
  <si>
    <t>Mantener sin elevar posición</t>
  </si>
  <si>
    <t>Mantener (y seguir comprando)</t>
  </si>
  <si>
    <t>Liquidar</t>
  </si>
  <si>
    <t>PENDIENTE</t>
  </si>
  <si>
    <t>Peer Logo</t>
  </si>
  <si>
    <t>Peer Name</t>
  </si>
  <si>
    <t>With over 11,500 stores globally, Walmart is the largest retailer chain in the world and the top Costco competitor in 2021. The retail giant was founded in 1962 by Sam Walton and now employs over 2 million people across 27 countries. In FY2020, Walmart’s annual revenue was $524.4 billion and ranked 19th most valuable brand in the world on Forbes’ Global 2000 list.
Walmart offers apparel, appliances, electronics, home improvement, jewelry, games, household essentials, pharmaceutical products, and many more. It also owns Sam’s Club, which a membership-only wholesaler that competes against Costco for bulk buyers. Walmart is Costco’s top competitor for many reasons.</t>
  </si>
  <si>
    <t>Established in 1994 by Jeff Bezos, Amazon has grown to become the global powerhouse in the eCommerce sector. Costco’s private labels like Kirkland accounts for 25% of its $118.7 billion in annual sales. Amazon has invested heavily to expand its private-label offerings and currently has 146 private-label brands and 640 exclusive brands. These private labels can eliminate Costco’s main competitive edge. According to a price comparison by Cheapism, items offered by Costco are about 25% cheaper on average compared to Amazon’s prices. Offering consumers value for money can help Costco fend off Amazon’s threat.</t>
  </si>
  <si>
    <t>Founded in 1883 in Ohio, Kroger is one of the largest food retailers in the world. The retailer operates over 2,764 supermarkets across 35 states in the US. In 2018, Kroger’s partnership with online retailer Ocado delivered 20 automated fulfillment centers, more than 2,000 pickup locations, and 2,400 delivery locations by 2020.
These resources expanded Kroger’s reach to 97% of its customers and boosted its revenue for Q1 2020 by 11.5% year-over-year to $41.5 billion. Kroger has also built a stronger eCommerce than Costco, which boosted its digital sales by 92% in 2020. Kroger’s fulfillment centers and robust eCommerce makes it one of the top Costco competitors in 2021.</t>
  </si>
  <si>
    <t>Simply known as Walgreens, WBA was founded in 1901 by Charles Walgreen and provides drug store services primarily in the U.S. and Europe. It has 400 distribution centers and more than 18,750 stores spread across 11 countries.
Every year, the chain’s distribution centers reach more than 25,000 pharmacies, doctors, hospitals, and health centers across the world. In 2020, footfall in its stores dropped by about 85% due to the crisis leading to a net loss of $1.71 billion in the third quarter. Its overdependence on medical services is a major weakness over Costco.</t>
  </si>
  <si>
    <t>Founded in 1902, Target is one of the largest retailers in the world and a strong Costco competitor. It operates over 1,000 stores in the US alone and 360,000 employees spread across 50 states. Even though both Target and Costco are offering in-store and curbside pickup, Target’s initiatives are more effective and include Shipt, Drive Up services, and Target+ marketplace.
In 2020, Target’s gross margins averaged out to 29%, while Costco’s gross margins were only 13%. Target also has a membership program just like Costco. But Target does not charge annual membership fees, which gives it an edge over Costco.</t>
  </si>
  <si>
    <t>In Millions USD (exc Market Cap)</t>
  </si>
  <si>
    <t>AVERAGE</t>
  </si>
  <si>
    <t>Company Info</t>
  </si>
  <si>
    <t>Market Cap</t>
  </si>
  <si>
    <t>Net Sales (current)</t>
  </si>
  <si>
    <t>Profitability</t>
  </si>
  <si>
    <t>Sales Growth (ttm)</t>
  </si>
  <si>
    <t>Sales Growth (36m)</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</si>
  <si>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</si>
  <si>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</si>
  <si>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</si>
  <si>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</si>
  <si>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</si>
  <si>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</si>
  <si>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</si>
  <si>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</si>
  <si>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</si>
  <si>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</si>
  <si>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</si>
  <si>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</si>
  <si>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</si>
  <si>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</si>
  <si>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</si>
  <si>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</si>
  <si>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</si>
  <si>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</si>
  <si>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</si>
  <si>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</si>
  <si>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</si>
  <si>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</si>
  <si>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1.26</t>
  </si>
  <si>
    <t>0.67</t>
  </si>
  <si>
    <t>1.01</t>
  </si>
  <si>
    <t>Dividend Yield (yahoo finance)</t>
  </si>
  <si>
    <t>1.45%</t>
  </si>
  <si>
    <t>6.27%</t>
  </si>
  <si>
    <t>3.23%</t>
  </si>
  <si>
    <t>Stock Performance</t>
  </si>
  <si>
    <t>1y</t>
  </si>
  <si>
    <t>3y</t>
  </si>
  <si>
    <t>Current Price</t>
  </si>
  <si>
    <t>Average Target Price</t>
  </si>
  <si>
    <t>Upside/Downside</t>
  </si>
  <si>
    <t>Financial Data</t>
  </si>
  <si>
    <t>Walmart</t>
  </si>
  <si>
    <t>Amazon</t>
  </si>
  <si>
    <t>Kroger</t>
  </si>
  <si>
    <t>Wallgreens Boots Alliance</t>
  </si>
  <si>
    <t>Target</t>
  </si>
  <si>
    <t>IS</t>
  </si>
  <si>
    <t>Net Sales (36m ago)</t>
  </si>
  <si>
    <t>Net Sales (12m ago)</t>
  </si>
  <si>
    <t>COGS</t>
  </si>
  <si>
    <t>Operating Income</t>
  </si>
  <si>
    <t>Net Financial Cost</t>
  </si>
  <si>
    <t>Taxes</t>
  </si>
  <si>
    <t>BS</t>
  </si>
  <si>
    <t>Cash &amp; Eq.</t>
  </si>
  <si>
    <t>Acc. Receivables</t>
  </si>
  <si>
    <t>Inventory</t>
  </si>
  <si>
    <t>Current Assets</t>
  </si>
  <si>
    <t>Fixed Assets</t>
  </si>
  <si>
    <t>Acc. Payable</t>
  </si>
  <si>
    <t>Current Liabilities</t>
  </si>
  <si>
    <t>Total Debt</t>
  </si>
  <si>
    <t>Total Equity</t>
  </si>
  <si>
    <t>Company GICS Sector:</t>
  </si>
  <si>
    <t>Consumer Staples</t>
  </si>
  <si>
    <t>&lt;- Select Industry</t>
  </si>
  <si>
    <t>ESG Analysis</t>
  </si>
  <si>
    <t>Relative ESG Analysis</t>
  </si>
  <si>
    <t>Parameters</t>
  </si>
  <si>
    <t>Impact</t>
  </si>
  <si>
    <t>Do they report?</t>
  </si>
  <si>
    <t>Ranking</t>
  </si>
  <si>
    <t>Mitigation Plan</t>
  </si>
  <si>
    <t>Traffic Lights</t>
  </si>
  <si>
    <t>Improvement over time?</t>
  </si>
  <si>
    <t>Targets / Goals?</t>
  </si>
  <si>
    <t>Comments</t>
  </si>
  <si>
    <t>Costco</t>
  </si>
  <si>
    <t xml:space="preserve">Walmart </t>
  </si>
  <si>
    <t xml:space="preserve">Walgreens </t>
  </si>
  <si>
    <t xml:space="preserve">Target </t>
  </si>
  <si>
    <t>Environmental</t>
  </si>
  <si>
    <t>Ratios</t>
  </si>
  <si>
    <t>CO2 Direct Emissions</t>
  </si>
  <si>
    <t>Medium High</t>
  </si>
  <si>
    <t>High</t>
  </si>
  <si>
    <t xml:space="preserve">39% cumulative absolute CO2 reduction 2030 </t>
  </si>
  <si>
    <t xml:space="preserve">“We align our decarbonization objectives with our commitments to human rights, diversity, equity and inclusion, life above land and below water, water conservation, and waste reduction,” the company’s mission statement says. </t>
  </si>
  <si>
    <t>CO2 Emissions/$M Sales</t>
  </si>
  <si>
    <t>Total Water Consumption</t>
  </si>
  <si>
    <t>Medium</t>
  </si>
  <si>
    <t>HIgh</t>
  </si>
  <si>
    <t>Costco is committed to improving water use efficiency and reducing operational water waste.</t>
  </si>
  <si>
    <t>Water Consumption/$M Sales</t>
  </si>
  <si>
    <t>Total Energy Consumption</t>
  </si>
  <si>
    <t>Energy Consumption/$M Sales</t>
  </si>
  <si>
    <t>Waste Management</t>
  </si>
  <si>
    <t>"We have a goal to divert 80% of what might otherwise end up in a landfill, by reducing waste through donations, recycling and composting."</t>
  </si>
  <si>
    <t>Costco’s goal is to continually decrease the amount of waste going to landfills through reducing food waste at source, feeding hungry people and animals, supporting industrial programs (i.e., biofuel), composting and other recycling and donation programs.</t>
  </si>
  <si>
    <t>Waste Production/$M Sales</t>
  </si>
  <si>
    <t>Land Degradation/Deforestation/Biodiversity loss/Animal sufering/…</t>
  </si>
  <si>
    <t>Inputs</t>
  </si>
  <si>
    <t>Social</t>
  </si>
  <si>
    <t>Net Sales ($M)</t>
  </si>
  <si>
    <t>Employee Turnover %</t>
  </si>
  <si>
    <t>"Best in class"</t>
  </si>
  <si>
    <t>Over 60% of U.S. employees have five or more years with Costco, and over one-third have more than 10 years</t>
  </si>
  <si>
    <t>With respect to the compensation of their employees, the philosophy is not to seek to minimize their wages and benefits. Rather, Cosco believes that achieving their longer-term objectives of reducing employee turnover and enhancing employee satisfaction requires maintaining compensation levels that are better than the industry average for much of our workforce</t>
  </si>
  <si>
    <t>CO2 Emissions Total (Tonnes)</t>
  </si>
  <si>
    <t>Salaries &amp; Compensation</t>
  </si>
  <si>
    <t xml:space="preserve">
The employees are the foundation of Costco’s business, the heart of the Company’s culture, and the driver for their success. In the spirit of acknowledging and rewarding the excellence of  employees, in fiscal 2022, they instituted several wage increases and provided additional benefits to the majority of their employees.</t>
  </si>
  <si>
    <t>Water Consumption Total (Cubic Meters)</t>
  </si>
  <si>
    <t>Reputation</t>
  </si>
  <si>
    <t>Energy Consumption Total (Gigajoules)</t>
  </si>
  <si>
    <t>Discrimination Events</t>
  </si>
  <si>
    <t>Waste Production Total (Tonnes)</t>
  </si>
  <si>
    <t>Work Safety</t>
  </si>
  <si>
    <t>ESG Scores</t>
  </si>
  <si>
    <t>Damage to consumer health</t>
  </si>
  <si>
    <t>Refinitiv</t>
  </si>
  <si>
    <t>PXP?</t>
  </si>
  <si>
    <t>Sustainalytics</t>
  </si>
  <si>
    <t>Supply chain</t>
  </si>
  <si>
    <t>ISS</t>
  </si>
  <si>
    <t>C-</t>
  </si>
  <si>
    <t>C</t>
  </si>
  <si>
    <t>C+</t>
  </si>
  <si>
    <t>Community involvement</t>
  </si>
  <si>
    <t>CDP</t>
  </si>
  <si>
    <t>D</t>
  </si>
  <si>
    <t>B-</t>
  </si>
  <si>
    <t xml:space="preserve">B </t>
  </si>
  <si>
    <t>A-</t>
  </si>
  <si>
    <t>Public Sector</t>
  </si>
  <si>
    <t>Litigation</t>
  </si>
  <si>
    <t>Corporate Governance</t>
  </si>
  <si>
    <t>PARAMETERS</t>
  </si>
  <si>
    <t>Diversity (Gender, Age, Industry, Region)</t>
  </si>
  <si>
    <t>"Villain"</t>
  </si>
  <si>
    <t>IMPACT</t>
  </si>
  <si>
    <t>RANKING</t>
  </si>
  <si>
    <t>MITIGATION PLAN</t>
  </si>
  <si>
    <t>% Independence</t>
  </si>
  <si>
    <t>In 2022, they appointed a new Chief Diversity and Inclusion Officer. Embracing differences is important to the growth of their Company. It leads to more opportunities, innovation, and employee satisfaction and connects us to the communities where they do business.</t>
  </si>
  <si>
    <t>Low</t>
  </si>
  <si>
    <t>Evidence / plan?</t>
  </si>
  <si>
    <t>average time as independent directors</t>
  </si>
  <si>
    <t>Recent departures of directors / C-level executives?</t>
  </si>
  <si>
    <t>CEO/Chairman duality</t>
  </si>
  <si>
    <t>Very high</t>
  </si>
  <si>
    <t>Transparency (ESG, segments, acquisitions, other)</t>
  </si>
  <si>
    <t>Time taken to report after the end of the quarter / year</t>
  </si>
  <si>
    <t>Additional participation of the CEO in other boards or excessive participation of Ch.</t>
  </si>
  <si>
    <t>Audit / Consulting</t>
  </si>
  <si>
    <t>ESG-compensation related</t>
  </si>
  <si>
    <t>Management compensation schemes</t>
  </si>
  <si>
    <t>VALUATION MODEL</t>
  </si>
  <si>
    <t>Short Term</t>
  </si>
  <si>
    <t>Long Term</t>
  </si>
  <si>
    <t>Section</t>
  </si>
  <si>
    <t>Line #</t>
  </si>
  <si>
    <t>ITEM</t>
  </si>
  <si>
    <t>2020 (Real)</t>
  </si>
  <si>
    <t>2021 (Real)</t>
  </si>
  <si>
    <t>2022 (Real)</t>
  </si>
  <si>
    <t>INCOME STATEMENT</t>
  </si>
  <si>
    <t>Growth</t>
  </si>
  <si>
    <t>Revenues/Sales</t>
  </si>
  <si>
    <t>EBIT/Operating Margin</t>
  </si>
  <si>
    <t>5a</t>
  </si>
  <si>
    <t>(Dep)</t>
  </si>
  <si>
    <t>5b</t>
  </si>
  <si>
    <t>Amort</t>
  </si>
  <si>
    <t>5c</t>
  </si>
  <si>
    <t>(Stock based compensation)</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</si>
  <si>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</si>
  <si>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</si>
  <si>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</si>
  <si>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</si>
  <si>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</si>
  <si>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</si>
  <si>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</si>
  <si>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</si>
  <si>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</si>
  <si>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</si>
  <si>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</si>
  <si>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</si>
  <si>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</si>
  <si>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</si>
  <si>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</si>
  <si>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</si>
  <si>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</si>
  <si>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(Respurchases)/Issuance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</si>
  <si>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</si>
  <si>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</si>
  <si>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</si>
  <si>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</si>
  <si>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</si>
  <si>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</si>
  <si>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</si>
  <si>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</si>
  <si>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</si>
  <si>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</si>
  <si>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</si>
  <si>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</si>
  <si>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</si>
  <si>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</si>
  <si>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</si>
  <si>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</si>
  <si>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</si>
  <si>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</si>
  <si>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</si>
  <si>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</si>
  <si>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</si>
  <si>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</si>
  <si>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</si>
  <si>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</si>
  <si>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</si>
  <si>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</si>
  <si>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</si>
  <si>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 sales</t>
  </si>
  <si>
    <t>Amortization factor</t>
  </si>
  <si>
    <t>Stock-based comp</t>
  </si>
  <si>
    <t>% revenue</t>
  </si>
  <si>
    <t>Tax Rate</t>
  </si>
  <si>
    <t>% (line 9)</t>
  </si>
  <si>
    <t>Interest Rate on debt</t>
  </si>
  <si>
    <t>% debt (l29)</t>
  </si>
  <si>
    <t>Interest Rate on cash</t>
  </si>
  <si>
    <t>% of cash (l28)</t>
  </si>
  <si>
    <t>PPE+ROA</t>
  </si>
  <si>
    <t>Growing with capex</t>
  </si>
  <si>
    <t>Working capital flows</t>
  </si>
  <si>
    <t>% of change revenues (l2)</t>
  </si>
  <si>
    <t>Intangible Assets</t>
  </si>
  <si>
    <t>Growing with amortization</t>
  </si>
  <si>
    <t xml:space="preserve">Capex </t>
  </si>
  <si>
    <t>% revenue (l2)</t>
  </si>
  <si>
    <t>Acquisition factor</t>
  </si>
  <si>
    <t>% net income (11)</t>
  </si>
  <si>
    <t>Repurchases</t>
  </si>
  <si>
    <t>Leases</t>
  </si>
  <si>
    <t>Cash Costs for EBIT</t>
  </si>
  <si>
    <t>$ millions</t>
  </si>
  <si>
    <t>Value of flows</t>
  </si>
  <si>
    <t>Value of perpetuity</t>
  </si>
  <si>
    <t>Total Value</t>
  </si>
  <si>
    <t>Actual share price</t>
  </si>
  <si>
    <t>Total value vs Mkt Cap</t>
  </si>
  <si>
    <t>Estimated NPV per share</t>
  </si>
  <si>
    <t>Sensibility</t>
  </si>
  <si>
    <t>Sensitivity +0.1%</t>
  </si>
  <si>
    <t>Sensitivity +0.5%</t>
  </si>
  <si>
    <t>Notes</t>
  </si>
  <si>
    <t>Assumptions</t>
  </si>
  <si>
    <t>Future perspectives:</t>
  </si>
  <si>
    <t>Costco to increase its membership fee every 5y. The last time the company raised fees was in July 2017. Therefore, it is expected to raise it again in 2023, 2028, 2033, etc.</t>
  </si>
  <si>
    <t>Expeced growth opportunities on its international expansion</t>
  </si>
  <si>
    <t>Average Annual Net Sales Growth (past 5y)</t>
  </si>
  <si>
    <t>Forecast Annual Net Sales Growth (next 5y)</t>
  </si>
  <si>
    <t>Switches</t>
  </si>
  <si>
    <t>Scenarios</t>
  </si>
  <si>
    <t>Revenue</t>
  </si>
  <si>
    <t>Conservative</t>
  </si>
  <si>
    <t>Base</t>
  </si>
  <si>
    <t>Optimistic</t>
  </si>
  <si>
    <t>Revenue 2023</t>
  </si>
  <si>
    <t>Revenue 2027</t>
  </si>
  <si>
    <t>EBIT 2023</t>
  </si>
  <si>
    <t>EBIT 2027</t>
  </si>
  <si>
    <t>I/S</t>
  </si>
  <si>
    <t>Last 5 Years</t>
  </si>
  <si>
    <t>Short Term Forecast</t>
  </si>
  <si>
    <t>% Growth</t>
  </si>
  <si>
    <t>Actual 5y Average</t>
  </si>
  <si>
    <t>Target 5y Average</t>
  </si>
  <si>
    <t>% of Sales</t>
  </si>
  <si>
    <t>Averages</t>
  </si>
  <si>
    <t>% of EBIT</t>
  </si>
  <si>
    <t xml:space="preserve">NOPLAT </t>
  </si>
  <si>
    <t>Dep &amp; Amort</t>
  </si>
  <si>
    <t>Average Growth % Sales</t>
  </si>
  <si>
    <t>CAPEX</t>
  </si>
  <si>
    <t>Change in NWC</t>
  </si>
  <si>
    <t>Unlevered FCF</t>
  </si>
  <si>
    <t>Stock-based Compensation</t>
  </si>
  <si>
    <t>Weighted-average interest rate on debt and finance leases</t>
  </si>
  <si>
    <t>Interest rate</t>
  </si>
  <si>
    <t>Debt Amount</t>
  </si>
  <si>
    <t>Senior Notes due May 2024</t>
  </si>
  <si>
    <t>Senior Notes due May 2027</t>
  </si>
  <si>
    <t>Senior Notes due June 2027</t>
  </si>
  <si>
    <t>Senior Notes due April 2030</t>
  </si>
  <si>
    <t>Senior Notes due April 2032</t>
  </si>
  <si>
    <t>Finance Lease</t>
  </si>
  <si>
    <t>Payout Ratio</t>
  </si>
  <si>
    <t>Repurchase rate % Net Income (N-1)</t>
  </si>
  <si>
    <t>Country Risk Premium</t>
  </si>
  <si>
    <t>Country Equity Risk Premium</t>
  </si>
  <si>
    <t>US</t>
  </si>
  <si>
    <t xml:space="preserve">Source: </t>
  </si>
  <si>
    <t>https://pages.stern.nyu.edu/~adamodar/New_Home_Page/datafile/ctryprem.html</t>
  </si>
  <si>
    <t>Other Markets</t>
  </si>
  <si>
    <t>Beta</t>
  </si>
  <si>
    <t>Rf</t>
  </si>
  <si>
    <t>Rm</t>
  </si>
  <si>
    <t>Modelling Factors</t>
  </si>
  <si>
    <t>Long Term Forecast</t>
  </si>
  <si>
    <t>CAPEX % of Sales</t>
  </si>
  <si>
    <t>Results</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</si>
  <si>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</si>
  <si>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</si>
  <si>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</si>
  <si>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</si>
  <si>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</si>
  <si>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</si>
  <si>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</si>
  <si>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</si>
  <si>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</si>
  <si>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</si>
  <si>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</si>
  <si>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</si>
  <si>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</si>
  <si>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</si>
  <si>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</si>
  <si>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</si>
  <si>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</si>
  <si>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</si>
  <si>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</si>
  <si>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</si>
  <si>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</si>
  <si>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</si>
  <si>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</si>
  <si>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</si>
  <si>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</si>
  <si>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</si>
  <si>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</si>
  <si>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</si>
  <si>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</si>
  <si>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</si>
  <si>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</si>
  <si>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</si>
  <si>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</si>
  <si>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</si>
  <si>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</si>
  <si>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</si>
  <si>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</si>
  <si>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</si>
  <si>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</si>
  <si>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</si>
  <si>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</si>
  <si>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Depreciation and Amortization</t>
  </si>
  <si>
    <t>FNP</t>
  </si>
  <si>
    <t>Debt</t>
  </si>
  <si>
    <t>Figures in Millions of USD</t>
  </si>
  <si>
    <t>Company</t>
  </si>
  <si>
    <t>Report in millions</t>
  </si>
  <si>
    <t>RESULTS</t>
  </si>
  <si>
    <t>Hoja</t>
  </si>
  <si>
    <t>Nombre campo Bloomberg</t>
  </si>
  <si>
    <t>Cambio de signo</t>
  </si>
  <si>
    <t>Income Statement</t>
  </si>
  <si>
    <t>Sales</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</si>
  <si>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</si>
  <si>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</si>
  <si>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</si>
  <si>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</si>
  <si>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</si>
  <si>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</si>
  <si>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</si>
  <si>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</si>
  <si>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</si>
  <si>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</si>
  <si>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</si>
  <si>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</si>
  <si>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</si>
  <si>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</si>
  <si>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</si>
  <si>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</si>
  <si>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</si>
  <si>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</si>
  <si>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</si>
  <si>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cash flows</t>
  </si>
  <si>
    <t>NWC</t>
  </si>
  <si>
    <t>Net Working Capital</t>
  </si>
  <si>
    <t xml:space="preserve">  + Dividendos pagados</t>
  </si>
  <si>
    <t>Cambiar signo</t>
  </si>
  <si>
    <t xml:space="preserve">    + Aumento en capital</t>
  </si>
  <si>
    <t xml:space="preserve">    + Baja en capital</t>
  </si>
  <si>
    <t>Cambiar signo y hacer suma</t>
  </si>
  <si>
    <t>ASSETS</t>
  </si>
  <si>
    <t>Current</t>
  </si>
  <si>
    <t>Balance Sheet</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</si>
  <si>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</si>
  <si>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</si>
  <si>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</si>
  <si>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</si>
  <si>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</si>
  <si>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</si>
  <si>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</si>
  <si>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</si>
  <si>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</si>
  <si>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Equity Method Investments</t>
  </si>
  <si>
    <t>Other Non-Current Assets</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</si>
  <si>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</si>
  <si>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</si>
  <si>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</si>
  <si>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</si>
  <si>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</si>
  <si>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</si>
  <si>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</si>
  <si>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</si>
  <si>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</si>
  <si>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</si>
  <si>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</si>
  <si>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</si>
  <si>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</si>
  <si>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</si>
  <si>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</si>
  <si>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</si>
  <si>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Inflows (Outflows)</t>
  </si>
  <si>
    <t>Debt Borrowing</t>
  </si>
  <si>
    <t>Debt Repayment</t>
  </si>
  <si>
    <t>Lease Increases</t>
  </si>
  <si>
    <t>Lease Payments</t>
  </si>
  <si>
    <t>cash flows FINANCING</t>
  </si>
  <si>
    <t>Dividends paid</t>
  </si>
  <si>
    <t>(Vitalis will later fill this info)</t>
  </si>
  <si>
    <t xml:space="preserve">Other Data </t>
  </si>
  <si>
    <t xml:space="preserve">Average Price </t>
  </si>
  <si>
    <t>10-K</t>
  </si>
  <si>
    <t>bloomberg</t>
  </si>
  <si>
    <t>Shares Outstanding (Thousands)</t>
  </si>
  <si>
    <t>Yahoo finance</t>
  </si>
  <si>
    <t>Dividend Yield(Yahoo Finance)</t>
  </si>
  <si>
    <t>Yahoo Finance</t>
  </si>
  <si>
    <t>Projected annual inflation rate in the United States 2010-2028</t>
  </si>
  <si>
    <t>Projected annual inflation rate in the United States from 2010 to 2028</t>
  </si>
  <si>
    <t>2010</t>
  </si>
  <si>
    <t>in %</t>
  </si>
  <si>
    <t>2011</t>
  </si>
  <si>
    <t>2012</t>
  </si>
  <si>
    <t>2013</t>
  </si>
  <si>
    <t>2014</t>
  </si>
  <si>
    <t>2015</t>
  </si>
  <si>
    <t>2016</t>
  </si>
  <si>
    <t>2017</t>
  </si>
  <si>
    <t>2018</t>
  </si>
  <si>
    <t>2019</t>
  </si>
  <si>
    <t>2020</t>
  </si>
  <si>
    <t>2021</t>
  </si>
  <si>
    <t>2022</t>
  </si>
  <si>
    <t>2023*</t>
  </si>
  <si>
    <t>2024*</t>
  </si>
  <si>
    <t>2025*</t>
  </si>
  <si>
    <t>2026*</t>
  </si>
  <si>
    <t>2027*</t>
  </si>
  <si>
    <t>2028*</t>
  </si>
  <si>
    <t>Source:</t>
  </si>
  <si>
    <t>https://www.statista.com/statistics/244983/projected-inflation-rate-in-the-united-states/</t>
  </si>
  <si>
    <t>U.S. projected Consumer Price Index 2010-2028</t>
  </si>
  <si>
    <t>Projected Consumer Price Index in the United States from 2010 to 2028</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</si>
  <si>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</si>
  <si>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</si>
  <si>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</si>
  <si>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</si>
  <si>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</si>
  <si>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</si>
  <si>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</si>
  <si>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</si>
  <si>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</si>
  <si>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</si>
  <si>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</si>
  <si>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</si>
  <si>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</si>
  <si>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</si>
  <si>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</si>
  <si>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</si>
  <si>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</si>
  <si>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</si>
  <si>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</si>
  <si>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</si>
  <si>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</si>
  <si>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</si>
  <si>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</si>
  <si>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</si>
  <si>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</si>
  <si>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</si>
  <si>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</si>
  <si>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</si>
  <si>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</si>
  <si>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</si>
  <si>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</si>
  <si>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</si>
  <si>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</si>
  <si>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</si>
  <si>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</si>
  <si>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Industrials</t>
  </si>
  <si>
    <t>Publishing</t>
  </si>
  <si>
    <t>Information Technology</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</si>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</sst>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6" formatCode="&quot;$&quot;#,##0_);[Red]\(&quot;$&quot;#,##0\)"/>
    <numFmt numFmtId="164" formatCode="_-* #,##0.00_-;\-* #,##0.00_-;_-* &quot;-&quot;??_-;_-@_-"/>
    <numFmt numFmtId="165" formatCode="_-&quot;$&quot;* #,##0.00_-;\-&quot;$&quot;* #,##0.00_-;_-&quot;$&quot;* &quot;-&quot;??_-;_-@_-"/>
    <numFmt numFmtId="166" formatCode="&quot;$&quot;#,##0.00"/>
    <numFmt numFmtId="167" formatCode="&quot;$&quot;#,##0.0"/>
    <numFmt numFmtId="168" formatCode="&quot;$&quot;#,##0"/>
    <numFmt numFmtId="169" formatCode="0.0%"/>
    <numFmt numFmtId="170" formatCode="0.0"/>
    <numFmt numFmtId="171" formatCode="#,##0.0"/>
    <numFmt numFmtId="172" formatCode="[$$-409]#,##0.00_ ;\-[$$-409]#,##0.00\ "/>
    <numFmt numFmtId="173" formatCode="[$$-409]#,##0.00"/>
    <numFmt numFmtId="174" formatCode="[$$-409]#,##0"/>
    <numFmt numFmtId="175" formatCode="_-[$$-409]* #,##0.00_ ;_-[$$-409]* \-#,##0.00\ ;_-[$$-409]* &quot;-&quot;??_ ;_-@_ "/>
    <numFmt numFmtId="176" formatCode="0.000000"/>
    <numFmt numFmtId="177" formatCode="_([$$-409]* #,##0.00_);_([$$-409]* \(#,##0.00\);_([$$-409]* &quot;-&quot;??_);_(@_)"/>
    <numFmt numFmtId="178" formatCode="[$$-409]#,##0.0"/>
    <numFmt numFmtId="179" formatCode="0.000%"/>
  </numFmts>
  <fonts count="9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7.5"/>
      <color theme="0"/>
      <name val="Arial"/>
      <family val="2"/>
    </font>
    <font>
      <b/>
      <sz val="16"/>
      <name val="Arial"/>
      <family val="2"/>
    </font>
    <font>
      <b/>
      <u/>
      <sz val="10"/>
      <color theme="4"/>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sz val="12"/>
      <name val="Arial"/>
      <family val="2"/>
    </font>
    <font>
      <sz val="11"/>
      <color rgb="FFFF0000"/>
      <name val="Calibri"/>
      <family val="2"/>
    </font>
    <font>
      <sz val="14"/>
      <name val="Arial"/>
      <family val="2"/>
    </font>
    <font>
      <sz val="8"/>
      <color theme="0"/>
      <name val="Arial"/>
      <family val="2"/>
    </font>
    <font>
      <sz val="11"/>
      <color rgb="FF000000"/>
      <name val="Rubik"/>
      <family val="2"/>
      <charset val="1"/>
    </font>
    <font>
      <u/>
      <sz val="11"/>
      <color rgb="FF000000"/>
      <name val="Rubik"/>
      <family val="2"/>
      <charset val="1"/>
    </font>
    <font>
      <b/>
      <sz val="11"/>
      <color rgb="FF000000"/>
      <name val="Rubik"/>
    </font>
    <font>
      <b/>
      <sz val="11"/>
      <color theme="1"/>
      <name val="Rubik"/>
    </font>
    <font>
      <sz val="10"/>
      <name val="Arial"/>
      <family val="2"/>
    </font>
    <font>
      <sz val="10"/>
      <color theme="0" tint="-0.499984740745262"/>
      <name val="Arial"/>
      <family val="2"/>
    </font>
    <font>
      <sz val="11"/>
      <name val="Calibri"/>
      <family val="2"/>
      <scheme val="minor"/>
    </font>
    <font>
      <sz val="11"/>
      <color rgb="FF000000"/>
      <name val="Calibri"/>
      <family val="2"/>
      <scheme val="minor"/>
    </font>
    <font>
      <b/>
      <sz val="11"/>
      <color rgb="FF000000"/>
      <name val="Calibri"/>
      <family val="2"/>
      <scheme val="minor"/>
    </font>
    <font>
      <i/>
      <sz val="10"/>
      <name val="Arial"/>
      <family val="2"/>
    </font>
    <font>
      <i/>
      <sz val="10"/>
      <color theme="1"/>
      <name val="Arial"/>
      <family val="2"/>
    </font>
    <font>
      <sz val="10"/>
      <color theme="5"/>
      <name val="Arial"/>
      <family val="2"/>
    </font>
    <font>
      <sz val="10"/>
      <color rgb="FF000000"/>
      <name val="Tahoma"/>
      <family val="2"/>
    </font>
    <font>
      <b/>
      <sz val="10"/>
      <color rgb="FF000000"/>
      <name val="Tahoma"/>
      <family val="2"/>
    </font>
    <font>
      <i/>
      <sz val="10"/>
      <color theme="5"/>
      <name val="Arial"/>
      <family val="2"/>
    </font>
    <font>
      <u/>
      <sz val="10"/>
      <color theme="0" tint="-0.499984740745262"/>
      <name val="Arial"/>
      <family val="2"/>
    </font>
    <font>
      <b/>
      <sz val="11"/>
      <color theme="1"/>
      <name val="Calibri"/>
      <family val="2"/>
    </font>
    <font>
      <b/>
      <sz val="26"/>
      <color rgb="FF00B050"/>
      <name val="Arial"/>
      <family val="2"/>
    </font>
    <font>
      <b/>
      <sz val="26"/>
      <name val="Arial"/>
      <family val="2"/>
    </font>
    <font>
      <sz val="11"/>
      <color rgb="FFFF0000"/>
      <name val="Arial"/>
      <family val="2"/>
    </font>
    <font>
      <u/>
      <sz val="10"/>
      <color theme="10"/>
      <name val="Arial"/>
      <family val="2"/>
    </font>
  </fonts>
  <fills count="52">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DCE6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theme="3" tint="-0.499984740745262"/>
        <bgColor indexed="64"/>
      </patternFill>
    </fill>
    <fill>
      <patternFill patternType="solid">
        <fgColor theme="9" tint="0.79998168889431442"/>
        <bgColor indexed="64"/>
      </patternFill>
    </fill>
    <fill>
      <patternFill patternType="solid">
        <fgColor rgb="FFFFFD78"/>
        <bgColor indexed="64"/>
      </patternFill>
    </fill>
    <fill>
      <patternFill patternType="solid">
        <fgColor rgb="FFF2F2F2"/>
        <bgColor rgb="FF000000"/>
      </patternFill>
    </fill>
    <fill>
      <patternFill patternType="solid">
        <fgColor theme="6" tint="0.79998168889431442"/>
        <bgColor indexed="64"/>
      </patternFill>
    </fill>
    <fill>
      <patternFill patternType="solid">
        <fgColor theme="1" tint="0.34998626667073579"/>
        <bgColor indexed="64"/>
      </patternFill>
    </fill>
    <fill>
      <patternFill patternType="solid">
        <fgColor theme="8" tint="0.79998168889431442"/>
        <bgColor indexed="64"/>
      </patternFill>
    </fill>
  </fills>
  <borders count="217">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top/>
      <bottom style="medium">
        <color theme="3"/>
      </bottom>
      <diagonal/>
    </border>
    <border>
      <left/>
      <right style="medium">
        <color indexed="64"/>
      </right>
      <top style="medium">
        <color indexed="64"/>
      </top>
      <bottom/>
      <diagonal/>
    </border>
    <border>
      <left/>
      <right style="medium">
        <color theme="3"/>
      </right>
      <top/>
      <bottom style="thin">
        <color theme="0" tint="-0.249977111117893"/>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medium">
        <color rgb="FF1F497D"/>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style="medium">
        <color theme="3"/>
      </right>
      <top/>
      <bottom style="thin">
        <color theme="0" tint="-0.249977111117893"/>
      </bottom>
      <diagonal/>
    </border>
    <border>
      <left style="thin">
        <color theme="0" tint="-0.14999847407452621"/>
      </left>
      <right style="thin">
        <color theme="0" tint="-0.14999847407452621"/>
      </right>
      <top style="medium">
        <color theme="3"/>
      </top>
      <bottom/>
      <diagonal/>
    </border>
    <border>
      <left style="thin">
        <color theme="0" tint="-0.249977111117893"/>
      </left>
      <right/>
      <top style="medium">
        <color theme="3"/>
      </top>
      <bottom/>
      <diagonal/>
    </border>
    <border>
      <left/>
      <right style="thin">
        <color theme="0" tint="-0.249977111117893"/>
      </right>
      <top style="medium">
        <color theme="3"/>
      </top>
      <bottom/>
      <diagonal/>
    </border>
    <border>
      <left style="thin">
        <color theme="0" tint="-0.249977111117893"/>
      </left>
      <right style="thin">
        <color theme="0" tint="-0.249977111117893"/>
      </right>
      <top style="medium">
        <color theme="3"/>
      </top>
      <bottom/>
      <diagonal/>
    </border>
    <border>
      <left style="thin">
        <color theme="0" tint="-0.249977111117893"/>
      </left>
      <right style="medium">
        <color theme="3"/>
      </right>
      <top style="medium">
        <color theme="3"/>
      </top>
      <bottom/>
      <diagonal/>
    </border>
    <border>
      <left style="medium">
        <color rgb="FF1F497D"/>
      </left>
      <right style="thin">
        <color indexed="64"/>
      </right>
      <top style="thin">
        <color indexed="64"/>
      </top>
      <bottom style="thin">
        <color indexed="64"/>
      </bottom>
      <diagonal/>
    </border>
    <border>
      <left style="thin">
        <color indexed="64"/>
      </left>
      <right style="medium">
        <color rgb="FF1F497D"/>
      </right>
      <top style="thin">
        <color indexed="64"/>
      </top>
      <bottom style="thin">
        <color indexed="64"/>
      </bottom>
      <diagonal/>
    </border>
    <border>
      <left style="medium">
        <color rgb="FF1F497D"/>
      </left>
      <right style="thin">
        <color indexed="64"/>
      </right>
      <top style="thin">
        <color indexed="64"/>
      </top>
      <bottom style="medium">
        <color rgb="FF1F497D"/>
      </bottom>
      <diagonal/>
    </border>
    <border>
      <left style="thin">
        <color indexed="64"/>
      </left>
      <right style="thin">
        <color indexed="64"/>
      </right>
      <top style="thin">
        <color indexed="64"/>
      </top>
      <bottom style="medium">
        <color rgb="FF1F497D"/>
      </bottom>
      <diagonal/>
    </border>
    <border>
      <left style="thin">
        <color indexed="64"/>
      </left>
      <right style="medium">
        <color rgb="FF1F497D"/>
      </right>
      <top style="thin">
        <color indexed="64"/>
      </top>
      <bottom style="medium">
        <color rgb="FF1F497D"/>
      </bottom>
      <diagonal/>
    </border>
    <border>
      <left style="thin">
        <color indexed="64"/>
      </left>
      <right style="medium">
        <color rgb="FF1F497D"/>
      </right>
      <top/>
      <bottom style="thin">
        <color indexed="64"/>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right/>
      <top style="medium">
        <color theme="3"/>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thin">
        <color theme="0" tint="-0.24994659260841701"/>
      </top>
      <bottom style="medium">
        <color rgb="FF1F497D"/>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theme="3"/>
      </left>
      <right style="medium">
        <color theme="3"/>
      </right>
      <top style="medium">
        <color theme="3"/>
      </top>
      <bottom style="medium">
        <color theme="3"/>
      </bottom>
      <diagonal/>
    </border>
    <border>
      <left style="medium">
        <color rgb="FF1F497D"/>
      </left>
      <right style="medium">
        <color rgb="FF1F497D"/>
      </right>
      <top style="thin">
        <color theme="0" tint="-0.24994659260841701"/>
      </top>
      <bottom/>
      <diagonal/>
    </border>
    <border>
      <left style="medium">
        <color rgb="FF1F497D"/>
      </left>
      <right/>
      <top style="medium">
        <color theme="3"/>
      </top>
      <bottom style="medium">
        <color theme="3"/>
      </bottom>
      <diagonal/>
    </border>
    <border>
      <left style="medium">
        <color rgb="FF1F497D"/>
      </left>
      <right/>
      <top style="medium">
        <color theme="3"/>
      </top>
      <bottom style="medium">
        <color rgb="FF1F497D"/>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right style="medium">
        <color indexed="64"/>
      </right>
      <top style="medium">
        <color rgb="FF1F497D"/>
      </top>
      <bottom style="medium">
        <color rgb="FF1F497D"/>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right style="medium">
        <color rgb="FF1F497D"/>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style="medium">
        <color indexed="64"/>
      </top>
      <bottom style="medium">
        <color rgb="FF000000"/>
      </bottom>
      <diagonal/>
    </border>
    <border>
      <left/>
      <right style="thin">
        <color indexed="64"/>
      </right>
      <top style="medium">
        <color indexed="64"/>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rgb="FF000000"/>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medium">
        <color rgb="FF1F497D"/>
      </left>
      <right/>
      <top/>
      <bottom style="medium">
        <color theme="3"/>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rgb="FF000000"/>
      </bottom>
      <diagonal/>
    </border>
    <border>
      <left/>
      <right style="thin">
        <color rgb="FF1F497D"/>
      </right>
      <top/>
      <bottom style="thin">
        <color indexed="64"/>
      </bottom>
      <diagonal/>
    </border>
    <border>
      <left/>
      <right/>
      <top style="thin">
        <color rgb="FF1F497D"/>
      </top>
      <bottom style="thin">
        <color indexed="64"/>
      </bottom>
      <diagonal/>
    </border>
    <border>
      <left/>
      <right style="thin">
        <color rgb="FF1F497D"/>
      </right>
      <top style="thin">
        <color rgb="FF1F497D"/>
      </top>
      <bottom style="thin">
        <color indexed="64"/>
      </bottom>
      <diagonal/>
    </border>
    <border>
      <left style="thin">
        <color rgb="FF1F497D"/>
      </left>
      <right/>
      <top/>
      <bottom style="thin">
        <color indexed="64"/>
      </bottom>
      <diagonal/>
    </border>
    <border>
      <left style="thin">
        <color rgb="FF1F497D"/>
      </left>
      <right/>
      <top style="thin">
        <color rgb="FF1F497D"/>
      </top>
      <bottom style="thin">
        <color indexed="64"/>
      </bottom>
      <diagonal/>
    </border>
    <border>
      <left style="thin">
        <color rgb="FF1F497D"/>
      </left>
      <right/>
      <top style="thin">
        <color indexed="64"/>
      </top>
      <bottom style="thin">
        <color rgb="FF1F497D"/>
      </bottom>
      <diagonal/>
    </border>
    <border>
      <left/>
      <right/>
      <top style="thin">
        <color indexed="64"/>
      </top>
      <bottom style="thin">
        <color rgb="FF1F497D"/>
      </bottom>
      <diagonal/>
    </border>
    <border>
      <left/>
      <right style="thin">
        <color rgb="FF1F497D"/>
      </right>
      <top style="thin">
        <color indexed="64"/>
      </top>
      <bottom style="thin">
        <color rgb="FF1F497D"/>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right style="dashDot">
        <color indexed="64"/>
      </right>
      <top/>
      <bottom/>
      <diagonal/>
    </border>
    <border>
      <left/>
      <right/>
      <top style="thin">
        <color indexed="64"/>
      </top>
      <bottom style="double">
        <color indexed="64"/>
      </bottom>
      <diagonal/>
    </border>
    <border>
      <left/>
      <right style="medium">
        <color theme="3"/>
      </right>
      <top style="thin">
        <color theme="0" tint="-0.24994659260841701"/>
      </top>
      <bottom/>
      <diagonal/>
    </border>
    <border>
      <left/>
      <right style="medium">
        <color theme="3"/>
      </right>
      <top/>
      <bottom style="thin">
        <color theme="0" tint="-0.24994659260841701"/>
      </bottom>
      <diagonal/>
    </border>
  </borders>
  <cellStyleXfs count="35">
    <xf numFmtId="0" fontId="0" fillId="0" borderId="0"/>
    <xf numFmtId="0" fontId="15" fillId="2" borderId="1" applyNumberFormat="0" applyProtection="0">
      <alignment horizontal="left" vertical="center" readingOrder="1"/>
    </xf>
    <xf numFmtId="0" fontId="16" fillId="2" borderId="2">
      <alignment horizontal="left"/>
    </xf>
    <xf numFmtId="0" fontId="16" fillId="2" borderId="3">
      <alignment horizontal="right"/>
    </xf>
    <xf numFmtId="0" fontId="16" fillId="2" borderId="3">
      <alignment horizontal="left"/>
    </xf>
    <xf numFmtId="3" fontId="17" fillId="3" borderId="4">
      <alignment horizontal="right"/>
    </xf>
    <xf numFmtId="171" fontId="10" fillId="3" borderId="4">
      <alignment horizontal="right"/>
    </xf>
    <xf numFmtId="4" fontId="10" fillId="3" borderId="4">
      <alignment horizontal="right"/>
    </xf>
    <xf numFmtId="0" fontId="19" fillId="4" borderId="5" applyNumberFormat="0" applyAlignment="0" applyProtection="0"/>
    <xf numFmtId="0" fontId="17" fillId="3" borderId="6"/>
    <xf numFmtId="0" fontId="18" fillId="3" borderId="6"/>
    <xf numFmtId="165" fontId="21" fillId="0" borderId="0" applyFont="0" applyFill="0" applyBorder="0" applyAlignment="0" applyProtection="0"/>
    <xf numFmtId="165" fontId="11" fillId="0" borderId="0" applyFont="0" applyFill="0" applyBorder="0" applyAlignment="0" applyProtection="0"/>
    <xf numFmtId="0" fontId="23" fillId="0" borderId="0"/>
    <xf numFmtId="0" fontId="11" fillId="0" borderId="0"/>
    <xf numFmtId="9" fontId="7" fillId="0" borderId="0" applyFont="0" applyFill="0" applyBorder="0" applyAlignment="0" applyProtection="0"/>
    <xf numFmtId="9" fontId="21" fillId="0" borderId="0" applyFont="0" applyFill="0" applyBorder="0" applyAlignment="0" applyProtection="0"/>
    <xf numFmtId="9" fontId="11" fillId="0" borderId="0" applyFont="0" applyFill="0" applyBorder="0" applyAlignment="0" applyProtection="0"/>
    <xf numFmtId="9" fontId="23" fillId="0" borderId="0" applyFont="0" applyFill="0" applyBorder="0" applyAlignment="0" applyProtection="0"/>
    <xf numFmtId="0" fontId="6" fillId="0" borderId="0"/>
    <xf numFmtId="0" fontId="6"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5" fillId="0" borderId="0"/>
    <xf numFmtId="9" fontId="5" fillId="0" borderId="0" applyFont="0" applyFill="0" applyBorder="0" applyAlignment="0" applyProtection="0"/>
    <xf numFmtId="0" fontId="4" fillId="0" borderId="0"/>
    <xf numFmtId="0" fontId="3" fillId="0" borderId="0"/>
    <xf numFmtId="9" fontId="3" fillId="0" borderId="0" applyFont="0" applyFill="0" applyBorder="0" applyAlignment="0" applyProtection="0"/>
    <xf numFmtId="171" fontId="10" fillId="3" borderId="6">
      <alignment horizontal="right"/>
    </xf>
    <xf numFmtId="9" fontId="2" fillId="0" borderId="0" applyFont="0" applyFill="0" applyBorder="0" applyAlignment="0" applyProtection="0"/>
    <xf numFmtId="164" fontId="75" fillId="0" borderId="0" applyFont="0" applyFill="0" applyBorder="0" applyAlignment="0" applyProtection="0"/>
    <xf numFmtId="0" fontId="91" fillId="0" borderId="0" applyNumberFormat="0" applyFill="0" applyBorder="0" applyAlignment="0" applyProtection="0"/>
  </cellStyleXfs>
  <cellXfs count="1024">
    <xf numFmtId="0" fontId="0" fillId="0" borderId="0" xfId="0"/>
    <xf numFmtId="9" fontId="0" fillId="0" borderId="0" xfId="15" applyFont="1" applyAlignment="1">
      <alignment horizontal="center"/>
    </xf>
    <xf numFmtId="0" fontId="0" fillId="0" borderId="0" xfId="0" applyAlignment="1">
      <alignment horizontal="center"/>
    </xf>
    <xf numFmtId="168" fontId="0" fillId="0" borderId="0" xfId="0" applyNumberFormat="1"/>
    <xf numFmtId="10" fontId="0" fillId="0" borderId="0" xfId="0" applyNumberFormat="1" applyAlignment="1">
      <alignment horizontal="center"/>
    </xf>
    <xf numFmtId="169" fontId="0" fillId="0" borderId="0" xfId="0" applyNumberFormat="1" applyAlignment="1">
      <alignment horizontal="center"/>
    </xf>
    <xf numFmtId="0" fontId="12" fillId="0" borderId="0" xfId="0" applyFont="1" applyAlignment="1">
      <alignment horizontal="center"/>
    </xf>
    <xf numFmtId="0" fontId="25" fillId="0" borderId="0" xfId="0" applyFont="1"/>
    <xf numFmtId="0" fontId="14" fillId="0" borderId="19" xfId="0" applyFont="1" applyBorder="1"/>
    <xf numFmtId="0" fontId="12" fillId="0" borderId="22" xfId="0" applyFont="1" applyBorder="1" applyAlignment="1">
      <alignment horizontal="center"/>
    </xf>
    <xf numFmtId="0" fontId="22" fillId="0" borderId="0" xfId="0" applyFont="1"/>
    <xf numFmtId="0" fontId="7" fillId="0" borderId="0" xfId="0" applyFont="1"/>
    <xf numFmtId="0" fontId="7" fillId="0" borderId="19" xfId="0" applyFont="1" applyBorder="1"/>
    <xf numFmtId="0" fontId="7" fillId="0" borderId="19" xfId="0" applyFont="1" applyBorder="1" applyAlignment="1">
      <alignment horizontal="left"/>
    </xf>
    <xf numFmtId="0" fontId="12" fillId="0" borderId="0" xfId="0" applyFont="1"/>
    <xf numFmtId="168" fontId="12" fillId="0" borderId="0" xfId="0" applyNumberFormat="1" applyFont="1" applyAlignment="1">
      <alignment horizontal="center"/>
    </xf>
    <xf numFmtId="9" fontId="12" fillId="0" borderId="0" xfId="15" applyFont="1"/>
    <xf numFmtId="9" fontId="7" fillId="0" borderId="19" xfId="15" applyFont="1" applyFill="1" applyBorder="1" applyAlignment="1">
      <alignment horizontal="center"/>
    </xf>
    <xf numFmtId="9" fontId="7" fillId="8" borderId="19" xfId="15" applyFont="1" applyFill="1" applyBorder="1" applyAlignment="1">
      <alignment horizontal="center"/>
    </xf>
    <xf numFmtId="10" fontId="7" fillId="8" borderId="19" xfId="0" applyNumberFormat="1" applyFont="1" applyFill="1" applyBorder="1" applyAlignment="1">
      <alignment horizontal="center"/>
    </xf>
    <xf numFmtId="0" fontId="7" fillId="8" borderId="26" xfId="0" applyFont="1" applyFill="1" applyBorder="1" applyAlignment="1">
      <alignment horizontal="center" vertical="center"/>
    </xf>
    <xf numFmtId="0" fontId="25" fillId="8" borderId="0" xfId="0" applyFont="1" applyFill="1"/>
    <xf numFmtId="0" fontId="32" fillId="0" borderId="0" xfId="0" applyFont="1"/>
    <xf numFmtId="0" fontId="25" fillId="8" borderId="0" xfId="0" applyFont="1" applyFill="1" applyAlignment="1">
      <alignment horizontal="center"/>
    </xf>
    <xf numFmtId="0" fontId="34" fillId="0" borderId="0" xfId="0" applyFont="1"/>
    <xf numFmtId="0" fontId="34" fillId="12" borderId="0" xfId="0" applyFont="1" applyFill="1"/>
    <xf numFmtId="3" fontId="34" fillId="0" borderId="0" xfId="0" applyNumberFormat="1" applyFont="1" applyAlignment="1">
      <alignment horizontal="center"/>
    </xf>
    <xf numFmtId="0" fontId="34" fillId="0" borderId="0" xfId="0" applyFont="1" applyAlignment="1">
      <alignment horizontal="left"/>
    </xf>
    <xf numFmtId="0" fontId="34" fillId="19" borderId="0" xfId="0" applyFont="1" applyFill="1"/>
    <xf numFmtId="3" fontId="34" fillId="19" borderId="0" xfId="0" applyNumberFormat="1" applyFont="1" applyFill="1" applyAlignment="1">
      <alignment horizontal="center"/>
    </xf>
    <xf numFmtId="0" fontId="0" fillId="12" borderId="0" xfId="0" applyFill="1"/>
    <xf numFmtId="3" fontId="34" fillId="0" borderId="0" xfId="0" applyNumberFormat="1" applyFont="1"/>
    <xf numFmtId="3" fontId="35" fillId="19" borderId="0" xfId="0" applyNumberFormat="1" applyFont="1" applyFill="1" applyAlignment="1">
      <alignment horizontal="center"/>
    </xf>
    <xf numFmtId="3" fontId="34" fillId="12" borderId="0" xfId="0" applyNumberFormat="1" applyFont="1" applyFill="1" applyAlignment="1">
      <alignment horizontal="center"/>
    </xf>
    <xf numFmtId="3" fontId="35" fillId="12" borderId="0" xfId="0" applyNumberFormat="1" applyFont="1" applyFill="1" applyAlignment="1">
      <alignment horizontal="center"/>
    </xf>
    <xf numFmtId="0" fontId="18" fillId="3" borderId="6" xfId="10"/>
    <xf numFmtId="0" fontId="0" fillId="20" borderId="0" xfId="0" applyFill="1"/>
    <xf numFmtId="3" fontId="22" fillId="0" borderId="0" xfId="0" applyNumberFormat="1" applyFont="1" applyAlignment="1">
      <alignment horizontal="center"/>
    </xf>
    <xf numFmtId="3" fontId="22" fillId="0" borderId="0" xfId="0" applyNumberFormat="1" applyFont="1"/>
    <xf numFmtId="0" fontId="0" fillId="21" borderId="0" xfId="0" applyFill="1"/>
    <xf numFmtId="3" fontId="22" fillId="19" borderId="0" xfId="0" applyNumberFormat="1" applyFont="1" applyFill="1" applyAlignment="1">
      <alignment horizontal="center"/>
    </xf>
    <xf numFmtId="0" fontId="22" fillId="19" borderId="0" xfId="0" applyFont="1" applyFill="1"/>
    <xf numFmtId="0" fontId="0" fillId="22" borderId="0" xfId="0" applyFill="1"/>
    <xf numFmtId="171" fontId="34" fillId="0" borderId="0" xfId="0" applyNumberFormat="1" applyFont="1" applyAlignment="1">
      <alignment horizontal="center"/>
    </xf>
    <xf numFmtId="9" fontId="0" fillId="8" borderId="19" xfId="15" applyFont="1" applyFill="1" applyBorder="1" applyAlignment="1">
      <alignment horizontal="center"/>
    </xf>
    <xf numFmtId="0" fontId="0" fillId="0" borderId="44" xfId="0" applyBorder="1"/>
    <xf numFmtId="0" fontId="37" fillId="0" borderId="0" xfId="0" applyFont="1"/>
    <xf numFmtId="0" fontId="38" fillId="0" borderId="0" xfId="0" applyFont="1"/>
    <xf numFmtId="0" fontId="39" fillId="0" borderId="0" xfId="0" applyFont="1" applyAlignment="1">
      <alignment horizontal="center"/>
    </xf>
    <xf numFmtId="0" fontId="39" fillId="0" borderId="0" xfId="0" applyFont="1"/>
    <xf numFmtId="170" fontId="38" fillId="0" borderId="0" xfId="0" applyNumberFormat="1" applyFont="1" applyAlignment="1">
      <alignment horizontal="center"/>
    </xf>
    <xf numFmtId="0" fontId="40" fillId="0" borderId="0" xfId="0" applyFont="1"/>
    <xf numFmtId="0" fontId="41" fillId="0" borderId="0" xfId="0" applyFont="1"/>
    <xf numFmtId="0" fontId="42" fillId="0" borderId="0" xfId="0" applyFont="1"/>
    <xf numFmtId="0" fontId="0" fillId="0" borderId="12" xfId="0" applyBorder="1"/>
    <xf numFmtId="0" fontId="22" fillId="0" borderId="0" xfId="0" applyFont="1" applyAlignment="1">
      <alignment horizontal="center"/>
    </xf>
    <xf numFmtId="0" fontId="38" fillId="0" borderId="0" xfId="0" applyFont="1" applyAlignment="1">
      <alignment horizontal="center"/>
    </xf>
    <xf numFmtId="168" fontId="7" fillId="24" borderId="19" xfId="0" applyNumberFormat="1" applyFont="1" applyFill="1" applyBorder="1" applyAlignment="1">
      <alignment horizontal="center"/>
    </xf>
    <xf numFmtId="3" fontId="37" fillId="0" borderId="0" xfId="0" applyNumberFormat="1" applyFont="1"/>
    <xf numFmtId="0" fontId="39" fillId="17" borderId="0" xfId="0" applyFont="1" applyFill="1" applyAlignment="1">
      <alignment horizontal="center"/>
    </xf>
    <xf numFmtId="0" fontId="38" fillId="17" borderId="45" xfId="0" applyFont="1" applyFill="1" applyBorder="1"/>
    <xf numFmtId="3" fontId="0" fillId="25" borderId="1" xfId="0" applyNumberFormat="1" applyFill="1" applyBorder="1" applyAlignment="1">
      <alignment horizontal="center"/>
    </xf>
    <xf numFmtId="3" fontId="0" fillId="25" borderId="46" xfId="0" applyNumberFormat="1" applyFill="1" applyBorder="1" applyAlignment="1">
      <alignment horizontal="center"/>
    </xf>
    <xf numFmtId="0" fontId="38" fillId="0" borderId="45" xfId="0" applyFont="1" applyBorder="1" applyAlignment="1">
      <alignment horizontal="left" indent="1"/>
    </xf>
    <xf numFmtId="169" fontId="12" fillId="26" borderId="1" xfId="15" applyNumberFormat="1" applyFont="1" applyFill="1" applyBorder="1" applyAlignment="1">
      <alignment horizontal="center"/>
    </xf>
    <xf numFmtId="169" fontId="12" fillId="26" borderId="46" xfId="15" applyNumberFormat="1" applyFont="1" applyFill="1" applyBorder="1" applyAlignment="1">
      <alignment horizontal="center"/>
    </xf>
    <xf numFmtId="0" fontId="38" fillId="0" borderId="45" xfId="0" applyFont="1" applyBorder="1" applyAlignment="1">
      <alignment horizontal="left"/>
    </xf>
    <xf numFmtId="3" fontId="0" fillId="25" borderId="1" xfId="15" applyNumberFormat="1" applyFont="1" applyFill="1" applyBorder="1" applyAlignment="1">
      <alignment horizontal="center"/>
    </xf>
    <xf numFmtId="3" fontId="0" fillId="25" borderId="46" xfId="15" applyNumberFormat="1" applyFont="1" applyFill="1" applyBorder="1" applyAlignment="1">
      <alignment horizontal="center"/>
    </xf>
    <xf numFmtId="0" fontId="38" fillId="17" borderId="45" xfId="0" applyFont="1" applyFill="1" applyBorder="1" applyAlignment="1">
      <alignment horizontal="left" indent="1"/>
    </xf>
    <xf numFmtId="0" fontId="39" fillId="0" borderId="45" xfId="0" applyFont="1" applyBorder="1" applyAlignment="1">
      <alignment horizontal="left"/>
    </xf>
    <xf numFmtId="3" fontId="12" fillId="27" borderId="1" xfId="15" applyNumberFormat="1" applyFont="1" applyFill="1" applyBorder="1" applyAlignment="1">
      <alignment horizontal="center"/>
    </xf>
    <xf numFmtId="3" fontId="12" fillId="27" borderId="46" xfId="15" applyNumberFormat="1" applyFont="1" applyFill="1" applyBorder="1" applyAlignment="1">
      <alignment horizontal="center"/>
    </xf>
    <xf numFmtId="0" fontId="39" fillId="17" borderId="45" xfId="0" applyFont="1" applyFill="1" applyBorder="1"/>
    <xf numFmtId="0" fontId="38" fillId="0" borderId="45" xfId="0" applyFont="1" applyBorder="1"/>
    <xf numFmtId="3" fontId="0" fillId="0" borderId="0" xfId="0" applyNumberFormat="1" applyAlignment="1">
      <alignment horizontal="center"/>
    </xf>
    <xf numFmtId="170" fontId="0" fillId="0" borderId="0" xfId="0" applyNumberFormat="1" applyAlignment="1">
      <alignment horizontal="center"/>
    </xf>
    <xf numFmtId="10" fontId="34" fillId="19" borderId="0" xfId="15" applyNumberFormat="1" applyFont="1" applyFill="1" applyAlignment="1">
      <alignment horizontal="center"/>
    </xf>
    <xf numFmtId="9" fontId="34" fillId="19" borderId="0" xfId="15" applyFont="1" applyFill="1" applyAlignment="1">
      <alignment horizontal="center"/>
    </xf>
    <xf numFmtId="169" fontId="34" fillId="19" borderId="0" xfId="15" applyNumberFormat="1" applyFont="1" applyFill="1" applyAlignment="1">
      <alignment horizontal="center"/>
    </xf>
    <xf numFmtId="10" fontId="34" fillId="19" borderId="0" xfId="0" applyNumberFormat="1" applyFont="1" applyFill="1" applyAlignment="1">
      <alignment horizontal="center"/>
    </xf>
    <xf numFmtId="4" fontId="34" fillId="19" borderId="0" xfId="0" applyNumberFormat="1" applyFont="1" applyFill="1" applyAlignment="1">
      <alignment horizontal="center"/>
    </xf>
    <xf numFmtId="171" fontId="34" fillId="19" borderId="0" xfId="0" applyNumberFormat="1" applyFont="1" applyFill="1" applyAlignment="1">
      <alignment horizontal="center"/>
    </xf>
    <xf numFmtId="0" fontId="34" fillId="19" borderId="0" xfId="0" applyFont="1" applyFill="1" applyAlignment="1">
      <alignment horizontal="center"/>
    </xf>
    <xf numFmtId="169" fontId="34" fillId="19" borderId="0" xfId="0" applyNumberFormat="1" applyFont="1" applyFill="1" applyAlignment="1">
      <alignment horizontal="center"/>
    </xf>
    <xf numFmtId="9" fontId="34" fillId="0" borderId="0" xfId="15" applyFont="1" applyFill="1" applyAlignment="1">
      <alignment horizontal="center"/>
    </xf>
    <xf numFmtId="169" fontId="34" fillId="0" borderId="0" xfId="15" applyNumberFormat="1" applyFont="1" applyFill="1" applyAlignment="1">
      <alignment horizontal="center"/>
    </xf>
    <xf numFmtId="9" fontId="34" fillId="0" borderId="0" xfId="21" applyFont="1" applyFill="1" applyAlignment="1">
      <alignment horizontal="center"/>
    </xf>
    <xf numFmtId="173" fontId="7" fillId="24" borderId="19" xfId="0" applyNumberFormat="1" applyFont="1" applyFill="1" applyBorder="1" applyAlignment="1">
      <alignment horizontal="center"/>
    </xf>
    <xf numFmtId="169" fontId="32" fillId="24" borderId="19" xfId="15" applyNumberFormat="1" applyFont="1" applyFill="1" applyBorder="1" applyAlignment="1">
      <alignment horizontal="center"/>
    </xf>
    <xf numFmtId="0" fontId="12" fillId="0" borderId="37" xfId="0" applyFont="1" applyBorder="1"/>
    <xf numFmtId="0" fontId="16" fillId="5" borderId="8" xfId="4" applyFill="1" applyBorder="1" applyAlignment="1"/>
    <xf numFmtId="0" fontId="7" fillId="0" borderId="0" xfId="25"/>
    <xf numFmtId="0" fontId="26" fillId="5" borderId="7" xfId="25" applyFont="1" applyFill="1" applyBorder="1" applyAlignment="1">
      <alignment horizontal="center"/>
    </xf>
    <xf numFmtId="0" fontId="26" fillId="5" borderId="11" xfId="25" applyFont="1" applyFill="1" applyBorder="1" applyAlignment="1">
      <alignment horizontal="center"/>
    </xf>
    <xf numFmtId="0" fontId="28" fillId="3" borderId="10" xfId="10" applyFont="1" applyBorder="1"/>
    <xf numFmtId="0" fontId="7" fillId="0" borderId="0" xfId="25" applyAlignment="1">
      <alignment vertical="center"/>
    </xf>
    <xf numFmtId="0" fontId="28" fillId="3" borderId="13" xfId="10" applyFont="1" applyBorder="1"/>
    <xf numFmtId="0" fontId="28" fillId="0" borderId="10" xfId="10" applyFont="1" applyFill="1" applyBorder="1"/>
    <xf numFmtId="0" fontId="19" fillId="0" borderId="0" xfId="8" applyFill="1" applyBorder="1"/>
    <xf numFmtId="9" fontId="7" fillId="0" borderId="0" xfId="27" applyFont="1"/>
    <xf numFmtId="0" fontId="29" fillId="0" borderId="0" xfId="34" applyFont="1" applyAlignment="1" applyProtection="1"/>
    <xf numFmtId="4" fontId="24" fillId="28" borderId="0" xfId="7" applyFont="1" applyFill="1" applyBorder="1">
      <alignment horizontal="right"/>
    </xf>
    <xf numFmtId="4" fontId="31" fillId="9" borderId="0" xfId="7" applyFont="1" applyFill="1" applyBorder="1">
      <alignment horizontal="right"/>
    </xf>
    <xf numFmtId="0" fontId="26" fillId="29" borderId="0" xfId="25" applyFont="1" applyFill="1" applyAlignment="1">
      <alignment horizontal="center" vertical="center"/>
    </xf>
    <xf numFmtId="0" fontId="27" fillId="0" borderId="9" xfId="9" applyFont="1" applyFill="1" applyBorder="1"/>
    <xf numFmtId="0" fontId="18" fillId="3" borderId="13" xfId="10" applyBorder="1"/>
    <xf numFmtId="0" fontId="18" fillId="3" borderId="10" xfId="10" applyBorder="1"/>
    <xf numFmtId="0" fontId="25" fillId="0" borderId="0" xfId="25" applyFont="1"/>
    <xf numFmtId="0" fontId="12" fillId="0" borderId="32" xfId="0" applyFont="1" applyBorder="1"/>
    <xf numFmtId="0" fontId="12" fillId="0" borderId="38" xfId="0" applyFont="1" applyBorder="1"/>
    <xf numFmtId="0" fontId="0" fillId="0" borderId="4" xfId="0" applyBorder="1"/>
    <xf numFmtId="0" fontId="0" fillId="0" borderId="6" xfId="0" applyBorder="1"/>
    <xf numFmtId="0" fontId="0" fillId="0" borderId="36" xfId="0" applyBorder="1"/>
    <xf numFmtId="0" fontId="0" fillId="0" borderId="2" xfId="0" applyBorder="1"/>
    <xf numFmtId="0" fontId="0" fillId="0" borderId="37" xfId="0" applyBorder="1"/>
    <xf numFmtId="0" fontId="0" fillId="0" borderId="32" xfId="0" applyBorder="1"/>
    <xf numFmtId="0" fontId="0" fillId="0" borderId="38" xfId="0" applyBorder="1"/>
    <xf numFmtId="0" fontId="12" fillId="0" borderId="45" xfId="0" applyFont="1" applyBorder="1"/>
    <xf numFmtId="0" fontId="12" fillId="0" borderId="1" xfId="0" applyFont="1" applyBorder="1"/>
    <xf numFmtId="0" fontId="12" fillId="0" borderId="46" xfId="0" applyFont="1" applyBorder="1"/>
    <xf numFmtId="0" fontId="0" fillId="8" borderId="0" xfId="0" applyFill="1"/>
    <xf numFmtId="4" fontId="7" fillId="12" borderId="0" xfId="7" applyFont="1" applyFill="1" applyBorder="1">
      <alignment horizontal="right"/>
    </xf>
    <xf numFmtId="0" fontId="34" fillId="19" borderId="0" xfId="0" applyFont="1" applyFill="1" applyAlignment="1">
      <alignment horizontal="left" indent="1"/>
    </xf>
    <xf numFmtId="171" fontId="34" fillId="19" borderId="0" xfId="0" applyNumberFormat="1" applyFont="1" applyFill="1" applyAlignment="1">
      <alignment horizontal="left" indent="1"/>
    </xf>
    <xf numFmtId="0" fontId="34" fillId="30" borderId="0" xfId="0" applyFont="1" applyFill="1" applyAlignment="1">
      <alignment horizontal="left" indent="1"/>
    </xf>
    <xf numFmtId="0" fontId="22" fillId="0" borderId="0" xfId="0" applyFont="1" applyAlignment="1">
      <alignment horizontal="left"/>
    </xf>
    <xf numFmtId="0" fontId="26" fillId="32" borderId="28" xfId="0" applyFont="1" applyFill="1" applyBorder="1" applyAlignment="1">
      <alignment horizontal="center"/>
    </xf>
    <xf numFmtId="0" fontId="26" fillId="32" borderId="25" xfId="0" applyFont="1" applyFill="1" applyBorder="1" applyAlignment="1">
      <alignment horizontal="center"/>
    </xf>
    <xf numFmtId="0" fontId="12" fillId="0" borderId="53" xfId="0" applyFont="1" applyBorder="1" applyAlignment="1">
      <alignment horizontal="center"/>
    </xf>
    <xf numFmtId="9" fontId="7" fillId="8" borderId="54" xfId="15" applyFont="1" applyFill="1" applyBorder="1" applyAlignment="1">
      <alignment horizontal="center"/>
    </xf>
    <xf numFmtId="0" fontId="12" fillId="0" borderId="54" xfId="0" applyFont="1" applyBorder="1" applyAlignment="1">
      <alignment horizontal="center"/>
    </xf>
    <xf numFmtId="169" fontId="32" fillId="24" borderId="54" xfId="15" applyNumberFormat="1" applyFont="1" applyFill="1" applyBorder="1" applyAlignment="1">
      <alignment horizontal="center"/>
    </xf>
    <xf numFmtId="0" fontId="0" fillId="0" borderId="53" xfId="0" applyBorder="1" applyAlignment="1">
      <alignment horizontal="center"/>
    </xf>
    <xf numFmtId="0" fontId="26" fillId="32" borderId="19" xfId="0" applyFont="1" applyFill="1" applyBorder="1" applyAlignment="1">
      <alignment horizontal="center" vertical="center" wrapText="1"/>
    </xf>
    <xf numFmtId="0" fontId="26" fillId="32" borderId="19" xfId="0" applyFont="1" applyFill="1" applyBorder="1" applyAlignment="1">
      <alignment horizontal="center"/>
    </xf>
    <xf numFmtId="0" fontId="26" fillId="32" borderId="23" xfId="0" applyFont="1" applyFill="1" applyBorder="1" applyAlignment="1">
      <alignment horizontal="center" vertical="center" wrapText="1"/>
    </xf>
    <xf numFmtId="0" fontId="7" fillId="8" borderId="19" xfId="0" applyFont="1" applyFill="1" applyBorder="1" applyAlignment="1">
      <alignment vertical="center" wrapText="1"/>
    </xf>
    <xf numFmtId="0" fontId="26" fillId="32" borderId="53" xfId="0" applyFont="1" applyFill="1" applyBorder="1" applyAlignment="1">
      <alignment horizontal="center"/>
    </xf>
    <xf numFmtId="0" fontId="26" fillId="32" borderId="54" xfId="0" applyFont="1" applyFill="1" applyBorder="1" applyAlignment="1">
      <alignment horizontal="center"/>
    </xf>
    <xf numFmtId="3" fontId="7" fillId="0" borderId="0" xfId="0" applyNumberFormat="1" applyFont="1"/>
    <xf numFmtId="0" fontId="7" fillId="17" borderId="45" xfId="0" applyFont="1" applyFill="1" applyBorder="1"/>
    <xf numFmtId="0" fontId="7" fillId="0" borderId="45" xfId="0" applyFont="1" applyBorder="1" applyAlignment="1">
      <alignment horizontal="left" indent="1"/>
    </xf>
    <xf numFmtId="0" fontId="7" fillId="0" borderId="45" xfId="0" applyFont="1" applyBorder="1" applyAlignment="1">
      <alignment horizontal="left"/>
    </xf>
    <xf numFmtId="0" fontId="7" fillId="17" borderId="45" xfId="0" applyFont="1" applyFill="1" applyBorder="1" applyAlignment="1">
      <alignment horizontal="left" indent="1"/>
    </xf>
    <xf numFmtId="0" fontId="12" fillId="0" borderId="45" xfId="0" applyFont="1" applyBorder="1" applyAlignment="1">
      <alignment horizontal="left"/>
    </xf>
    <xf numFmtId="0" fontId="12" fillId="17" borderId="45" xfId="0" applyFont="1" applyFill="1" applyBorder="1"/>
    <xf numFmtId="0" fontId="7" fillId="0" borderId="45" xfId="0" applyFont="1" applyBorder="1"/>
    <xf numFmtId="174" fontId="7" fillId="24" borderId="19" xfId="0" applyNumberFormat="1" applyFont="1" applyFill="1" applyBorder="1" applyAlignment="1">
      <alignment horizontal="center"/>
    </xf>
    <xf numFmtId="173" fontId="7" fillId="0" borderId="19" xfId="0" applyNumberFormat="1" applyFont="1" applyBorder="1" applyAlignment="1">
      <alignment horizontal="center"/>
    </xf>
    <xf numFmtId="168" fontId="7" fillId="7" borderId="19" xfId="0" applyNumberFormat="1" applyFont="1" applyFill="1" applyBorder="1" applyAlignment="1">
      <alignment horizontal="center"/>
    </xf>
    <xf numFmtId="4" fontId="7" fillId="7" borderId="19" xfId="0" applyNumberFormat="1" applyFont="1" applyFill="1" applyBorder="1" applyAlignment="1">
      <alignment horizontal="center"/>
    </xf>
    <xf numFmtId="9" fontId="32" fillId="7" borderId="54" xfId="15" applyFont="1" applyFill="1" applyBorder="1" applyAlignment="1">
      <alignment horizontal="center"/>
    </xf>
    <xf numFmtId="0" fontId="7" fillId="7" borderId="19" xfId="0" applyFont="1" applyFill="1" applyBorder="1"/>
    <xf numFmtId="9" fontId="7" fillId="7" borderId="19" xfId="15" applyFont="1" applyFill="1" applyBorder="1" applyAlignment="1">
      <alignment horizontal="center"/>
    </xf>
    <xf numFmtId="169" fontId="7" fillId="7" borderId="19" xfId="15" applyNumberFormat="1" applyFont="1" applyFill="1" applyBorder="1" applyAlignment="1">
      <alignment horizontal="center"/>
    </xf>
    <xf numFmtId="9" fontId="7" fillId="7" borderId="19" xfId="15" applyFont="1" applyFill="1" applyBorder="1"/>
    <xf numFmtId="174" fontId="32" fillId="8" borderId="54" xfId="15" applyNumberFormat="1" applyFont="1" applyFill="1" applyBorder="1" applyAlignment="1">
      <alignment horizontal="center"/>
    </xf>
    <xf numFmtId="174" fontId="7" fillId="8" borderId="54" xfId="0" applyNumberFormat="1" applyFont="1" applyFill="1" applyBorder="1" applyAlignment="1">
      <alignment horizontal="center"/>
    </xf>
    <xf numFmtId="0" fontId="48" fillId="32" borderId="54" xfId="0" applyFont="1" applyFill="1" applyBorder="1" applyAlignment="1">
      <alignment horizontal="center"/>
    </xf>
    <xf numFmtId="0" fontId="49" fillId="32" borderId="54" xfId="0" applyFont="1" applyFill="1" applyBorder="1" applyAlignment="1">
      <alignment horizontal="center"/>
    </xf>
    <xf numFmtId="168" fontId="12" fillId="24" borderId="19" xfId="0" applyNumberFormat="1" applyFont="1" applyFill="1" applyBorder="1" applyAlignment="1">
      <alignment horizontal="center"/>
    </xf>
    <xf numFmtId="0" fontId="12" fillId="14" borderId="12" xfId="0" applyFont="1" applyFill="1" applyBorder="1" applyAlignment="1">
      <alignment horizontal="center"/>
    </xf>
    <xf numFmtId="0" fontId="0" fillId="0" borderId="51" xfId="0" applyBorder="1"/>
    <xf numFmtId="0" fontId="0" fillId="0" borderId="76" xfId="0" applyBorder="1"/>
    <xf numFmtId="0" fontId="12" fillId="0" borderId="94" xfId="0" applyFont="1" applyBorder="1" applyAlignment="1">
      <alignment horizontal="left"/>
    </xf>
    <xf numFmtId="0" fontId="12" fillId="0" borderId="95" xfId="0" applyFont="1" applyBorder="1" applyAlignment="1">
      <alignment horizontal="left"/>
    </xf>
    <xf numFmtId="168" fontId="12" fillId="0" borderId="81" xfId="0" applyNumberFormat="1" applyFont="1" applyBorder="1" applyAlignment="1">
      <alignment horizontal="center"/>
    </xf>
    <xf numFmtId="9" fontId="0" fillId="0" borderId="95" xfId="15" applyFont="1" applyBorder="1"/>
    <xf numFmtId="9" fontId="0" fillId="0" borderId="96" xfId="15" applyFont="1" applyBorder="1"/>
    <xf numFmtId="0" fontId="12" fillId="0" borderId="94" xfId="0" applyFont="1" applyBorder="1" applyAlignment="1">
      <alignment horizontal="center"/>
    </xf>
    <xf numFmtId="9" fontId="0" fillId="0" borderId="72" xfId="0" applyNumberFormat="1" applyBorder="1"/>
    <xf numFmtId="168" fontId="0" fillId="0" borderId="89" xfId="0" applyNumberFormat="1" applyBorder="1" applyAlignment="1">
      <alignment horizontal="center"/>
    </xf>
    <xf numFmtId="168" fontId="0" fillId="0" borderId="92" xfId="0" applyNumberFormat="1" applyBorder="1" applyAlignment="1">
      <alignment horizontal="center"/>
    </xf>
    <xf numFmtId="0" fontId="0" fillId="33" borderId="97" xfId="0" applyFill="1" applyBorder="1"/>
    <xf numFmtId="0" fontId="0" fillId="33" borderId="98" xfId="0" applyFill="1" applyBorder="1"/>
    <xf numFmtId="10" fontId="0" fillId="33" borderId="98" xfId="0" applyNumberFormat="1" applyFill="1" applyBorder="1"/>
    <xf numFmtId="10" fontId="0" fillId="33" borderId="99" xfId="0" applyNumberFormat="1" applyFill="1" applyBorder="1"/>
    <xf numFmtId="0" fontId="12" fillId="8" borderId="39" xfId="0" applyFont="1" applyFill="1" applyBorder="1" applyAlignment="1">
      <alignment horizontal="center"/>
    </xf>
    <xf numFmtId="9" fontId="0" fillId="0" borderId="100" xfId="15" applyFont="1" applyBorder="1"/>
    <xf numFmtId="0" fontId="12" fillId="0" borderId="100" xfId="0" applyFont="1" applyBorder="1"/>
    <xf numFmtId="0" fontId="12" fillId="14" borderId="71" xfId="0" applyFont="1" applyFill="1" applyBorder="1" applyAlignment="1">
      <alignment horizontal="center"/>
    </xf>
    <xf numFmtId="9" fontId="12" fillId="14" borderId="71" xfId="15" applyFont="1" applyFill="1" applyBorder="1" applyAlignment="1">
      <alignment horizontal="center"/>
    </xf>
    <xf numFmtId="0" fontId="12" fillId="0" borderId="71" xfId="0" applyFont="1" applyBorder="1" applyAlignment="1">
      <alignment horizontal="center"/>
    </xf>
    <xf numFmtId="168" fontId="0" fillId="0" borderId="101" xfId="0" applyNumberFormat="1" applyBorder="1" applyAlignment="1">
      <alignment horizontal="center"/>
    </xf>
    <xf numFmtId="0" fontId="12" fillId="0" borderId="103" xfId="0" applyFont="1" applyBorder="1"/>
    <xf numFmtId="0" fontId="12" fillId="0" borderId="102" xfId="0" applyFont="1" applyBorder="1" applyAlignment="1">
      <alignment horizontal="center"/>
    </xf>
    <xf numFmtId="0" fontId="0" fillId="0" borderId="73" xfId="0" applyBorder="1"/>
    <xf numFmtId="0" fontId="9" fillId="0" borderId="74" xfId="34" applyFont="1" applyBorder="1" applyAlignment="1" applyProtection="1">
      <alignment horizontal="center"/>
    </xf>
    <xf numFmtId="0" fontId="0" fillId="0" borderId="74" xfId="0" applyBorder="1" applyAlignment="1">
      <alignment horizontal="center"/>
    </xf>
    <xf numFmtId="0" fontId="0" fillId="0" borderId="74" xfId="0" applyBorder="1"/>
    <xf numFmtId="0" fontId="0" fillId="0" borderId="75" xfId="0" applyBorder="1"/>
    <xf numFmtId="0" fontId="0" fillId="0" borderId="52" xfId="0" applyBorder="1"/>
    <xf numFmtId="0" fontId="0" fillId="0" borderId="81" xfId="0" applyBorder="1"/>
    <xf numFmtId="0" fontId="0" fillId="0" borderId="81" xfId="0" applyBorder="1" applyAlignment="1">
      <alignment horizontal="center"/>
    </xf>
    <xf numFmtId="0" fontId="0" fillId="0" borderId="82" xfId="0" applyBorder="1"/>
    <xf numFmtId="9" fontId="0" fillId="0" borderId="0" xfId="0" applyNumberFormat="1"/>
    <xf numFmtId="0" fontId="12" fillId="14" borderId="99" xfId="0" applyFont="1" applyFill="1" applyBorder="1" applyAlignment="1">
      <alignment horizontal="center"/>
    </xf>
    <xf numFmtId="0" fontId="0" fillId="33" borderId="78" xfId="0" applyFill="1" applyBorder="1"/>
    <xf numFmtId="0" fontId="0" fillId="33" borderId="80" xfId="0" applyFill="1" applyBorder="1"/>
    <xf numFmtId="0" fontId="12" fillId="0" borderId="78" xfId="0" applyFont="1" applyBorder="1" applyAlignment="1">
      <alignment horizontal="center"/>
    </xf>
    <xf numFmtId="168" fontId="0" fillId="0" borderId="90" xfId="0" applyNumberFormat="1" applyBorder="1" applyAlignment="1">
      <alignment horizontal="center"/>
    </xf>
    <xf numFmtId="168" fontId="0" fillId="0" borderId="93" xfId="0" applyNumberFormat="1" applyBorder="1" applyAlignment="1">
      <alignment horizontal="center"/>
    </xf>
    <xf numFmtId="0" fontId="12" fillId="8" borderId="9" xfId="0" applyFont="1" applyFill="1" applyBorder="1" applyAlignment="1">
      <alignment horizontal="center"/>
    </xf>
    <xf numFmtId="174" fontId="0" fillId="0" borderId="106" xfId="0" applyNumberFormat="1" applyBorder="1" applyAlignment="1">
      <alignment horizontal="center"/>
    </xf>
    <xf numFmtId="174" fontId="0" fillId="0" borderId="108" xfId="0" applyNumberFormat="1" applyBorder="1" applyAlignment="1">
      <alignment horizontal="center"/>
    </xf>
    <xf numFmtId="0" fontId="0" fillId="31" borderId="79" xfId="0" applyFill="1" applyBorder="1"/>
    <xf numFmtId="0" fontId="26" fillId="31" borderId="79" xfId="0" applyFont="1" applyFill="1" applyBorder="1" applyAlignment="1">
      <alignment horizontal="left"/>
    </xf>
    <xf numFmtId="9" fontId="0" fillId="31" borderId="79" xfId="15" applyFont="1" applyFill="1" applyBorder="1" applyAlignment="1">
      <alignment horizontal="center" vertical="center"/>
    </xf>
    <xf numFmtId="172" fontId="26" fillId="31" borderId="80" xfId="0" applyNumberFormat="1" applyFont="1" applyFill="1" applyBorder="1" applyAlignment="1">
      <alignment horizontal="center" vertical="center"/>
    </xf>
    <xf numFmtId="0" fontId="12" fillId="17" borderId="112" xfId="0" applyFont="1" applyFill="1" applyBorder="1"/>
    <xf numFmtId="0" fontId="12" fillId="17" borderId="114" xfId="0" applyFont="1" applyFill="1" applyBorder="1"/>
    <xf numFmtId="174" fontId="0" fillId="0" borderId="115" xfId="0" applyNumberFormat="1" applyBorder="1" applyAlignment="1">
      <alignment horizontal="center"/>
    </xf>
    <xf numFmtId="174" fontId="0" fillId="0" borderId="113" xfId="0" applyNumberFormat="1" applyBorder="1" applyAlignment="1">
      <alignment horizontal="center"/>
    </xf>
    <xf numFmtId="174" fontId="0" fillId="0" borderId="116" xfId="0" applyNumberFormat="1" applyBorder="1" applyAlignment="1">
      <alignment horizontal="center"/>
    </xf>
    <xf numFmtId="0" fontId="26" fillId="32" borderId="117" xfId="0" applyFont="1" applyFill="1" applyBorder="1" applyAlignment="1">
      <alignment horizontal="center"/>
    </xf>
    <xf numFmtId="0" fontId="0" fillId="32" borderId="118" xfId="0" applyFill="1" applyBorder="1"/>
    <xf numFmtId="0" fontId="0" fillId="32" borderId="119" xfId="0" applyFill="1" applyBorder="1"/>
    <xf numFmtId="0" fontId="26" fillId="32" borderId="112" xfId="0" applyFont="1" applyFill="1" applyBorder="1" applyAlignment="1">
      <alignment horizontal="center"/>
    </xf>
    <xf numFmtId="0" fontId="0" fillId="32" borderId="108" xfId="0" applyFill="1" applyBorder="1"/>
    <xf numFmtId="0" fontId="0" fillId="32" borderId="113" xfId="0" applyFill="1" applyBorder="1"/>
    <xf numFmtId="174" fontId="0" fillId="24" borderId="107" xfId="0" applyNumberFormat="1" applyFill="1" applyBorder="1" applyAlignment="1">
      <alignment horizontal="center"/>
    </xf>
    <xf numFmtId="0" fontId="12" fillId="0" borderId="110" xfId="0" applyFont="1" applyBorder="1" applyAlignment="1">
      <alignment horizontal="left" vertical="center"/>
    </xf>
    <xf numFmtId="0" fontId="12" fillId="0" borderId="112" xfId="0" applyFont="1" applyBorder="1" applyAlignment="1">
      <alignment horizontal="left" vertical="center"/>
    </xf>
    <xf numFmtId="0" fontId="12" fillId="0" borderId="111" xfId="0" applyFont="1" applyBorder="1" applyAlignment="1">
      <alignment horizontal="left" vertical="center"/>
    </xf>
    <xf numFmtId="0" fontId="47" fillId="5" borderId="78" xfId="0" applyFont="1" applyFill="1" applyBorder="1" applyAlignment="1">
      <alignment horizontal="left" vertical="center"/>
    </xf>
    <xf numFmtId="0" fontId="47" fillId="31" borderId="78" xfId="0" applyFont="1" applyFill="1" applyBorder="1" applyAlignment="1">
      <alignment horizontal="left" vertical="center"/>
    </xf>
    <xf numFmtId="0" fontId="47" fillId="13" borderId="80" xfId="0" applyFont="1" applyFill="1" applyBorder="1" applyAlignment="1">
      <alignment horizontal="center"/>
    </xf>
    <xf numFmtId="0" fontId="13" fillId="8" borderId="112" xfId="0" applyFont="1" applyFill="1" applyBorder="1" applyAlignment="1">
      <alignment horizontal="left" vertical="center"/>
    </xf>
    <xf numFmtId="0" fontId="12" fillId="8" borderId="111" xfId="0" applyFont="1" applyFill="1" applyBorder="1" applyAlignment="1">
      <alignment horizontal="left" vertical="center"/>
    </xf>
    <xf numFmtId="0" fontId="12" fillId="8" borderId="110" xfId="0" applyFont="1" applyFill="1" applyBorder="1" applyAlignment="1">
      <alignment horizontal="left" vertical="center"/>
    </xf>
    <xf numFmtId="0" fontId="12" fillId="8" borderId="112" xfId="0" applyFont="1" applyFill="1" applyBorder="1" applyAlignment="1">
      <alignment horizontal="left" vertical="center"/>
    </xf>
    <xf numFmtId="0" fontId="12" fillId="8" borderId="114" xfId="0" applyFont="1" applyFill="1" applyBorder="1" applyAlignment="1">
      <alignment horizontal="left" vertical="center"/>
    </xf>
    <xf numFmtId="9" fontId="0" fillId="24" borderId="106" xfId="15" applyFont="1" applyFill="1" applyBorder="1" applyAlignment="1">
      <alignment horizontal="center"/>
    </xf>
    <xf numFmtId="9" fontId="0" fillId="24" borderId="108" xfId="15" applyFont="1" applyFill="1" applyBorder="1" applyAlignment="1">
      <alignment horizontal="center"/>
    </xf>
    <xf numFmtId="9" fontId="0" fillId="24" borderId="107" xfId="15" applyFont="1" applyFill="1" applyBorder="1" applyAlignment="1">
      <alignment horizontal="center"/>
    </xf>
    <xf numFmtId="0" fontId="0" fillId="31" borderId="79" xfId="0" applyFill="1" applyBorder="1" applyAlignment="1">
      <alignment horizontal="center"/>
    </xf>
    <xf numFmtId="174" fontId="25" fillId="18" borderId="106" xfId="0" applyNumberFormat="1" applyFont="1" applyFill="1" applyBorder="1" applyAlignment="1">
      <alignment horizontal="center"/>
    </xf>
    <xf numFmtId="174" fontId="25" fillId="18" borderId="107" xfId="0" applyNumberFormat="1" applyFont="1" applyFill="1" applyBorder="1" applyAlignment="1">
      <alignment horizontal="center"/>
    </xf>
    <xf numFmtId="9" fontId="25" fillId="31" borderId="79" xfId="15" applyFont="1" applyFill="1" applyBorder="1" applyAlignment="1">
      <alignment horizontal="center" vertical="center"/>
    </xf>
    <xf numFmtId="9" fontId="25" fillId="18" borderId="106" xfId="15" applyFont="1" applyFill="1" applyBorder="1" applyAlignment="1">
      <alignment horizontal="center"/>
    </xf>
    <xf numFmtId="9" fontId="25" fillId="18" borderId="108" xfId="15" applyFont="1" applyFill="1" applyBorder="1" applyAlignment="1">
      <alignment horizontal="center"/>
    </xf>
    <xf numFmtId="9" fontId="25" fillId="18" borderId="107" xfId="15" applyFont="1" applyFill="1" applyBorder="1" applyAlignment="1">
      <alignment horizontal="center"/>
    </xf>
    <xf numFmtId="0" fontId="25" fillId="31" borderId="79" xfId="0" applyFont="1" applyFill="1" applyBorder="1" applyAlignment="1">
      <alignment horizontal="center" vertical="center"/>
    </xf>
    <xf numFmtId="10" fontId="25" fillId="31" borderId="79" xfId="0" applyNumberFormat="1" applyFont="1" applyFill="1" applyBorder="1" applyAlignment="1">
      <alignment horizontal="center" vertical="center"/>
    </xf>
    <xf numFmtId="172" fontId="25" fillId="31" borderId="79" xfId="18" applyNumberFormat="1" applyFont="1" applyFill="1" applyBorder="1" applyAlignment="1">
      <alignment horizontal="center" vertical="center"/>
    </xf>
    <xf numFmtId="0" fontId="25" fillId="31" borderId="79" xfId="0" applyFont="1" applyFill="1" applyBorder="1" applyAlignment="1">
      <alignment horizontal="center"/>
    </xf>
    <xf numFmtId="0" fontId="7" fillId="0" borderId="73" xfId="0" applyFont="1" applyBorder="1"/>
    <xf numFmtId="0" fontId="50" fillId="5" borderId="70" xfId="0" applyFont="1" applyFill="1" applyBorder="1" applyAlignment="1">
      <alignment horizontal="center"/>
    </xf>
    <xf numFmtId="0" fontId="50" fillId="5" borderId="70" xfId="0" applyFont="1" applyFill="1" applyBorder="1"/>
    <xf numFmtId="0" fontId="0" fillId="0" borderId="70" xfId="0" applyBorder="1"/>
    <xf numFmtId="2" fontId="25" fillId="18" borderId="108" xfId="15" applyNumberFormat="1" applyFont="1" applyFill="1" applyBorder="1" applyAlignment="1">
      <alignment horizontal="center"/>
    </xf>
    <xf numFmtId="174" fontId="0" fillId="24" borderId="108" xfId="0" applyNumberFormat="1" applyFill="1" applyBorder="1" applyAlignment="1">
      <alignment horizontal="center"/>
    </xf>
    <xf numFmtId="174" fontId="0" fillId="24" borderId="115" xfId="0" applyNumberFormat="1" applyFill="1" applyBorder="1" applyAlignment="1">
      <alignment horizontal="center"/>
    </xf>
    <xf numFmtId="0" fontId="28" fillId="0" borderId="10" xfId="25" applyFont="1" applyBorder="1" applyAlignment="1">
      <alignment horizontal="center"/>
    </xf>
    <xf numFmtId="0" fontId="28" fillId="0" borderId="16" xfId="25" applyFont="1" applyBorder="1" applyAlignment="1">
      <alignment horizontal="center"/>
    </xf>
    <xf numFmtId="0" fontId="28" fillId="0" borderId="10" xfId="25" applyFont="1" applyBorder="1" applyAlignment="1">
      <alignment horizontal="center" vertical="center"/>
    </xf>
    <xf numFmtId="0" fontId="28" fillId="0" borderId="16" xfId="25" applyFont="1" applyBorder="1" applyAlignment="1">
      <alignment horizontal="center" vertical="center"/>
    </xf>
    <xf numFmtId="0" fontId="28" fillId="0" borderId="14" xfId="25" applyFont="1" applyBorder="1" applyAlignment="1">
      <alignment horizontal="center"/>
    </xf>
    <xf numFmtId="0" fontId="28" fillId="0" borderId="17" xfId="25" applyFont="1" applyBorder="1" applyAlignment="1">
      <alignment horizontal="center"/>
    </xf>
    <xf numFmtId="0" fontId="51" fillId="5" borderId="123" xfId="4" applyFont="1" applyFill="1" applyBorder="1" applyAlignment="1">
      <alignment horizontal="center" vertical="center"/>
    </xf>
    <xf numFmtId="0" fontId="51" fillId="5" borderId="123" xfId="3" applyFont="1" applyFill="1" applyBorder="1" applyAlignment="1">
      <alignment horizontal="center" vertical="center" wrapText="1"/>
    </xf>
    <xf numFmtId="0" fontId="51" fillId="5" borderId="123" xfId="3" applyFont="1" applyFill="1" applyBorder="1" applyAlignment="1">
      <alignment horizontal="center" vertical="center"/>
    </xf>
    <xf numFmtId="0" fontId="7" fillId="3" borderId="123" xfId="10" applyFont="1" applyBorder="1" applyAlignment="1">
      <alignment horizontal="center" vertical="center"/>
    </xf>
    <xf numFmtId="171" fontId="7" fillId="8" borderId="123" xfId="6" applyFont="1" applyFill="1" applyBorder="1" applyAlignment="1">
      <alignment horizontal="right" vertical="center" wrapText="1"/>
    </xf>
    <xf numFmtId="0" fontId="28" fillId="3" borderId="123" xfId="10" applyFont="1" applyBorder="1" applyAlignment="1">
      <alignment vertical="center"/>
    </xf>
    <xf numFmtId="171" fontId="7" fillId="3" borderId="123" xfId="6" applyFont="1" applyBorder="1" applyAlignment="1">
      <alignment horizontal="right" vertical="center" wrapText="1"/>
    </xf>
    <xf numFmtId="0" fontId="28" fillId="3" borderId="123" xfId="10" applyFont="1" applyBorder="1" applyAlignment="1">
      <alignment horizontal="center" vertical="center"/>
    </xf>
    <xf numFmtId="3" fontId="12" fillId="34" borderId="125" xfId="5" applyFont="1" applyFill="1" applyBorder="1" applyAlignment="1">
      <alignment horizontal="center" vertical="center"/>
    </xf>
    <xf numFmtId="0" fontId="12" fillId="0" borderId="0" xfId="25" applyFont="1" applyAlignment="1">
      <alignment vertical="center"/>
    </xf>
    <xf numFmtId="0" fontId="7" fillId="12" borderId="0" xfId="25" applyFill="1" applyAlignment="1">
      <alignment vertical="center"/>
    </xf>
    <xf numFmtId="0" fontId="27" fillId="0" borderId="123" xfId="9" applyFont="1" applyFill="1" applyBorder="1" applyAlignment="1">
      <alignment horizontal="center" vertical="center"/>
    </xf>
    <xf numFmtId="3" fontId="52" fillId="34" borderId="124" xfId="5" applyFont="1" applyFill="1" applyBorder="1" applyAlignment="1">
      <alignment horizontal="right" vertical="center"/>
    </xf>
    <xf numFmtId="3" fontId="52" fillId="34" borderId="125" xfId="5" applyFont="1" applyFill="1" applyBorder="1" applyAlignment="1">
      <alignment horizontal="right" vertical="center"/>
    </xf>
    <xf numFmtId="3" fontId="52" fillId="34" borderId="126" xfId="5" applyFont="1" applyFill="1" applyBorder="1" applyAlignment="1">
      <alignment horizontal="right" vertical="center"/>
    </xf>
    <xf numFmtId="171" fontId="7" fillId="3" borderId="123" xfId="6" applyFont="1" applyBorder="1" applyAlignment="1">
      <alignment horizontal="center" vertical="center"/>
    </xf>
    <xf numFmtId="4" fontId="31" fillId="0" borderId="123" xfId="7" applyFont="1" applyFill="1" applyBorder="1" applyAlignment="1">
      <alignment horizontal="right" vertical="center"/>
    </xf>
    <xf numFmtId="0" fontId="0" fillId="34" borderId="125" xfId="0" applyFill="1" applyBorder="1" applyAlignment="1">
      <alignment horizontal="center" vertical="center"/>
    </xf>
    <xf numFmtId="4" fontId="7" fillId="34" borderId="125" xfId="7" applyFont="1" applyFill="1" applyBorder="1" applyAlignment="1">
      <alignment horizontal="right" vertical="center"/>
    </xf>
    <xf numFmtId="3" fontId="12" fillId="34" borderId="126" xfId="5" applyFont="1" applyFill="1" applyBorder="1" applyAlignment="1">
      <alignment horizontal="right" vertical="center" wrapText="1"/>
    </xf>
    <xf numFmtId="4" fontId="7" fillId="8" borderId="123" xfId="7" applyFont="1" applyFill="1" applyBorder="1" applyAlignment="1">
      <alignment horizontal="right" vertical="center" wrapText="1"/>
    </xf>
    <xf numFmtId="4" fontId="7" fillId="3" borderId="123" xfId="7" applyFont="1" applyBorder="1" applyAlignment="1">
      <alignment horizontal="center" vertical="center"/>
    </xf>
    <xf numFmtId="4" fontId="7" fillId="3" borderId="123" xfId="7" applyFont="1" applyBorder="1" applyAlignment="1">
      <alignment horizontal="right" vertical="center" wrapText="1"/>
    </xf>
    <xf numFmtId="0" fontId="28" fillId="0" borderId="123" xfId="10" applyFont="1" applyFill="1" applyBorder="1" applyAlignment="1">
      <alignment vertical="center"/>
    </xf>
    <xf numFmtId="0" fontId="7" fillId="0" borderId="123" xfId="10" applyFont="1" applyFill="1" applyBorder="1" applyAlignment="1">
      <alignment horizontal="center" vertical="center"/>
    </xf>
    <xf numFmtId="0" fontId="7" fillId="0" borderId="123" xfId="26" applyFont="1" applyBorder="1" applyAlignment="1">
      <alignment horizontal="right" vertical="center" wrapText="1"/>
    </xf>
    <xf numFmtId="3" fontId="12" fillId="34" borderId="124" xfId="5" applyFont="1" applyFill="1" applyBorder="1" applyAlignment="1">
      <alignment horizontal="right" vertical="center"/>
    </xf>
    <xf numFmtId="4" fontId="7" fillId="6" borderId="123" xfId="7" applyFont="1" applyFill="1" applyBorder="1" applyAlignment="1">
      <alignment horizontal="right" vertical="center"/>
    </xf>
    <xf numFmtId="4" fontId="7" fillId="6" borderId="123" xfId="7" applyFont="1" applyFill="1" applyBorder="1" applyAlignment="1">
      <alignment horizontal="center" vertical="center"/>
    </xf>
    <xf numFmtId="4" fontId="7" fillId="0" borderId="123" xfId="7" applyFont="1" applyFill="1" applyBorder="1" applyAlignment="1">
      <alignment horizontal="right" vertical="center" wrapText="1"/>
    </xf>
    <xf numFmtId="0" fontId="28" fillId="3" borderId="123" xfId="10" applyFont="1" applyBorder="1" applyAlignment="1">
      <alignment vertical="center" wrapText="1"/>
    </xf>
    <xf numFmtId="4" fontId="7" fillId="0" borderId="123" xfId="7" applyFont="1" applyFill="1" applyBorder="1" applyAlignment="1">
      <alignment horizontal="center" vertical="center"/>
    </xf>
    <xf numFmtId="0" fontId="51" fillId="32" borderId="123" xfId="3" applyFont="1" applyFill="1" applyBorder="1" applyAlignment="1">
      <alignment horizontal="center" vertical="center" wrapText="1"/>
    </xf>
    <xf numFmtId="0" fontId="34" fillId="12" borderId="123" xfId="25" applyFont="1" applyFill="1" applyBorder="1" applyAlignment="1">
      <alignment horizontal="center" vertical="center"/>
    </xf>
    <xf numFmtId="2" fontId="0" fillId="8" borderId="108" xfId="15" applyNumberFormat="1" applyFont="1" applyFill="1" applyBorder="1" applyAlignment="1">
      <alignment horizontal="center"/>
    </xf>
    <xf numFmtId="0" fontId="26" fillId="5" borderId="30" xfId="25" applyFont="1" applyFill="1" applyBorder="1" applyAlignment="1">
      <alignment horizontal="center" vertical="center"/>
    </xf>
    <xf numFmtId="0" fontId="26" fillId="5" borderId="31" xfId="25" applyFont="1" applyFill="1" applyBorder="1" applyAlignment="1">
      <alignment horizontal="center" vertical="center"/>
    </xf>
    <xf numFmtId="0" fontId="54" fillId="0" borderId="0" xfId="0" applyFont="1"/>
    <xf numFmtId="0" fontId="56" fillId="0" borderId="38" xfId="0" applyFont="1" applyBorder="1"/>
    <xf numFmtId="0" fontId="56" fillId="0" borderId="0" xfId="0" applyFont="1"/>
    <xf numFmtId="0" fontId="12" fillId="0" borderId="38" xfId="0" applyFont="1" applyBorder="1" applyAlignment="1">
      <alignment horizontal="center"/>
    </xf>
    <xf numFmtId="0" fontId="12" fillId="0" borderId="36" xfId="0" applyFont="1" applyBorder="1" applyAlignment="1">
      <alignment horizontal="center"/>
    </xf>
    <xf numFmtId="0" fontId="56" fillId="0" borderId="38" xfId="0" applyFont="1" applyBorder="1" applyAlignment="1">
      <alignment horizontal="center"/>
    </xf>
    <xf numFmtId="0" fontId="56" fillId="0" borderId="36" xfId="0" applyFont="1" applyBorder="1" applyAlignment="1">
      <alignment horizontal="center"/>
    </xf>
    <xf numFmtId="0" fontId="56" fillId="0" borderId="32" xfId="0" applyFont="1" applyBorder="1"/>
    <xf numFmtId="0" fontId="56" fillId="0" borderId="127" xfId="0" applyFont="1" applyBorder="1" applyAlignment="1">
      <alignment horizontal="center" vertical="center"/>
    </xf>
    <xf numFmtId="0" fontId="56" fillId="0" borderId="131" xfId="0" applyFont="1" applyBorder="1" applyAlignment="1">
      <alignment horizontal="center" vertical="center"/>
    </xf>
    <xf numFmtId="0" fontId="7" fillId="0" borderId="32" xfId="0" applyFont="1" applyBorder="1"/>
    <xf numFmtId="0" fontId="12" fillId="12" borderId="133" xfId="0" applyFont="1" applyFill="1" applyBorder="1" applyAlignment="1">
      <alignment horizontal="center"/>
    </xf>
    <xf numFmtId="0" fontId="56" fillId="12" borderId="133" xfId="0" applyFont="1" applyFill="1" applyBorder="1"/>
    <xf numFmtId="0" fontId="56" fillId="12" borderId="140" xfId="0" applyFont="1" applyFill="1" applyBorder="1"/>
    <xf numFmtId="0" fontId="54" fillId="12" borderId="140" xfId="0" applyFont="1" applyFill="1" applyBorder="1"/>
    <xf numFmtId="10" fontId="0" fillId="0" borderId="137" xfId="0" applyNumberFormat="1" applyBorder="1" applyAlignment="1">
      <alignment horizontal="center" vertical="center"/>
    </xf>
    <xf numFmtId="10" fontId="0" fillId="0" borderId="141" xfId="0" applyNumberFormat="1" applyBorder="1" applyAlignment="1">
      <alignment horizontal="center" vertical="center"/>
    </xf>
    <xf numFmtId="10" fontId="0" fillId="0" borderId="142" xfId="0" applyNumberFormat="1" applyBorder="1" applyAlignment="1">
      <alignment horizontal="center" vertical="center"/>
    </xf>
    <xf numFmtId="10" fontId="0" fillId="0" borderId="143" xfId="0" applyNumberFormat="1" applyBorder="1" applyAlignment="1">
      <alignment horizontal="center" vertical="center"/>
    </xf>
    <xf numFmtId="0" fontId="56" fillId="0" borderId="144" xfId="0" applyFont="1" applyBorder="1" applyAlignment="1">
      <alignment horizontal="center" vertical="center"/>
    </xf>
    <xf numFmtId="0" fontId="56" fillId="0" borderId="145" xfId="0" applyFont="1" applyBorder="1" applyAlignment="1">
      <alignment horizontal="center" vertical="center"/>
    </xf>
    <xf numFmtId="0" fontId="26" fillId="5" borderId="146" xfId="25" applyFont="1" applyFill="1" applyBorder="1" applyAlignment="1">
      <alignment horizontal="center" vertical="center"/>
    </xf>
    <xf numFmtId="0" fontId="28" fillId="0" borderId="147" xfId="25" applyFont="1" applyBorder="1" applyAlignment="1">
      <alignment horizontal="center" vertical="center" wrapText="1"/>
    </xf>
    <xf numFmtId="0" fontId="28" fillId="0" borderId="148" xfId="25" applyFont="1" applyBorder="1" applyAlignment="1">
      <alignment horizontal="center" vertical="center" wrapText="1"/>
    </xf>
    <xf numFmtId="0" fontId="28" fillId="0" borderId="149" xfId="25" applyFont="1" applyBorder="1" applyAlignment="1">
      <alignment horizontal="center" vertical="center" wrapText="1"/>
    </xf>
    <xf numFmtId="0" fontId="26" fillId="5" borderId="8" xfId="25" applyFont="1" applyFill="1" applyBorder="1" applyAlignment="1">
      <alignment horizontal="center"/>
    </xf>
    <xf numFmtId="0" fontId="54" fillId="8" borderId="0" xfId="0" applyFont="1" applyFill="1"/>
    <xf numFmtId="0" fontId="58" fillId="43" borderId="0" xfId="0" applyFont="1" applyFill="1"/>
    <xf numFmtId="0" fontId="7" fillId="38" borderId="32" xfId="0" applyFont="1" applyFill="1" applyBorder="1"/>
    <xf numFmtId="0" fontId="56" fillId="0" borderId="150" xfId="0" applyFont="1" applyBorder="1" applyAlignment="1">
      <alignment horizontal="center"/>
    </xf>
    <xf numFmtId="0" fontId="54" fillId="12" borderId="151" xfId="0" applyFont="1" applyFill="1" applyBorder="1" applyAlignment="1">
      <alignment horizontal="center"/>
    </xf>
    <xf numFmtId="0" fontId="7" fillId="40" borderId="151" xfId="0" applyFont="1" applyFill="1" applyBorder="1"/>
    <xf numFmtId="0" fontId="56" fillId="0" borderId="152" xfId="0" applyFont="1" applyBorder="1" applyAlignment="1">
      <alignment horizontal="center"/>
    </xf>
    <xf numFmtId="0" fontId="57" fillId="0" borderId="153" xfId="0" applyFont="1" applyBorder="1" applyAlignment="1">
      <alignment horizontal="center"/>
    </xf>
    <xf numFmtId="0" fontId="12" fillId="0" borderId="154" xfId="0" applyFont="1" applyBorder="1" applyAlignment="1">
      <alignment horizontal="center"/>
    </xf>
    <xf numFmtId="0" fontId="12" fillId="0" borderId="157" xfId="0" applyFont="1" applyBorder="1" applyAlignment="1">
      <alignment horizontal="center"/>
    </xf>
    <xf numFmtId="0" fontId="7" fillId="40" borderId="0" xfId="0" applyFont="1" applyFill="1"/>
    <xf numFmtId="0" fontId="12" fillId="42" borderId="32" xfId="0" quotePrefix="1" applyFont="1" applyFill="1" applyBorder="1"/>
    <xf numFmtId="0" fontId="12" fillId="42" borderId="0" xfId="0" quotePrefix="1" applyFont="1" applyFill="1"/>
    <xf numFmtId="0" fontId="54" fillId="40" borderId="0" xfId="0" applyFont="1" applyFill="1"/>
    <xf numFmtId="0" fontId="12" fillId="38" borderId="32" xfId="0" applyFont="1" applyFill="1" applyBorder="1"/>
    <xf numFmtId="0" fontId="7" fillId="0" borderId="167" xfId="0" applyFont="1" applyBorder="1"/>
    <xf numFmtId="0" fontId="12" fillId="0" borderId="168" xfId="0" applyFont="1" applyBorder="1" applyAlignment="1">
      <alignment horizontal="center"/>
    </xf>
    <xf numFmtId="0" fontId="12" fillId="0" borderId="42" xfId="0" applyFont="1" applyBorder="1" applyAlignment="1">
      <alignment horizontal="center"/>
    </xf>
    <xf numFmtId="0" fontId="12" fillId="0" borderId="169" xfId="0" applyFont="1" applyBorder="1" applyAlignment="1">
      <alignment horizontal="center"/>
    </xf>
    <xf numFmtId="0" fontId="12" fillId="0" borderId="160" xfId="0" applyFont="1" applyBorder="1" applyAlignment="1">
      <alignment horizontal="center"/>
    </xf>
    <xf numFmtId="0" fontId="7" fillId="40" borderId="134" xfId="0" applyFont="1" applyFill="1" applyBorder="1"/>
    <xf numFmtId="14" fontId="12" fillId="0" borderId="21" xfId="0" applyNumberFormat="1" applyFont="1" applyBorder="1" applyAlignment="1">
      <alignment horizontal="center" vertical="center"/>
    </xf>
    <xf numFmtId="0" fontId="7" fillId="0" borderId="59" xfId="0" applyFont="1" applyBorder="1" applyAlignment="1">
      <alignment horizontal="center" vertical="center"/>
    </xf>
    <xf numFmtId="0" fontId="38" fillId="8" borderId="23" xfId="0" applyFont="1" applyFill="1" applyBorder="1" applyAlignment="1">
      <alignment horizontal="left" vertical="center" wrapText="1"/>
    </xf>
    <xf numFmtId="10" fontId="0" fillId="0" borderId="0" xfId="15" applyNumberFormat="1" applyFont="1"/>
    <xf numFmtId="9" fontId="32" fillId="39" borderId="162" xfId="15" applyFont="1" applyFill="1" applyBorder="1" applyAlignment="1">
      <alignment horizontal="center" vertical="center"/>
    </xf>
    <xf numFmtId="3" fontId="3" fillId="44" borderId="47" xfId="29" applyNumberFormat="1" applyFill="1" applyBorder="1" applyAlignment="1">
      <alignment horizontal="center" vertical="center"/>
    </xf>
    <xf numFmtId="3" fontId="22" fillId="0" borderId="0" xfId="0" applyNumberFormat="1" applyFont="1" applyAlignment="1">
      <alignment horizontal="center" vertical="center"/>
    </xf>
    <xf numFmtId="3" fontId="34" fillId="19" borderId="0" xfId="0" applyNumberFormat="1" applyFont="1" applyFill="1" applyAlignment="1">
      <alignment horizontal="center" vertical="center"/>
    </xf>
    <xf numFmtId="169" fontId="32" fillId="44" borderId="163" xfId="29" applyNumberFormat="1" applyFont="1" applyFill="1" applyBorder="1" applyAlignment="1">
      <alignment horizontal="center" vertical="center"/>
    </xf>
    <xf numFmtId="3" fontId="3" fillId="44" borderId="165" xfId="29" applyNumberFormat="1" applyFill="1" applyBorder="1" applyAlignment="1">
      <alignment horizontal="center" vertical="center"/>
    </xf>
    <xf numFmtId="0" fontId="59" fillId="0" borderId="163" xfId="0" applyFont="1" applyBorder="1" applyAlignment="1">
      <alignment horizontal="center" vertical="center"/>
    </xf>
    <xf numFmtId="0" fontId="59" fillId="0" borderId="165" xfId="0" applyFont="1" applyBorder="1" applyAlignment="1">
      <alignment horizontal="center" vertical="center"/>
    </xf>
    <xf numFmtId="0" fontId="59" fillId="0" borderId="47" xfId="0" applyFont="1" applyBorder="1" applyAlignment="1">
      <alignment horizontal="center" vertical="center"/>
    </xf>
    <xf numFmtId="0" fontId="59" fillId="42" borderId="47" xfId="0" applyFont="1" applyFill="1" applyBorder="1" applyAlignment="1">
      <alignment horizontal="center" vertical="center"/>
    </xf>
    <xf numFmtId="3" fontId="59" fillId="41" borderId="47" xfId="0" applyNumberFormat="1" applyFont="1" applyFill="1" applyBorder="1" applyAlignment="1">
      <alignment horizontal="center" vertical="center"/>
    </xf>
    <xf numFmtId="3" fontId="59" fillId="41" borderId="165" xfId="0" applyNumberFormat="1" applyFont="1" applyFill="1" applyBorder="1" applyAlignment="1">
      <alignment horizontal="center" vertical="center"/>
    </xf>
    <xf numFmtId="0" fontId="62" fillId="0" borderId="47" xfId="0" applyFont="1" applyBorder="1" applyAlignment="1">
      <alignment horizontal="center" vertical="center"/>
    </xf>
    <xf numFmtId="0" fontId="7" fillId="0" borderId="47" xfId="0" quotePrefix="1" applyFont="1" applyBorder="1" applyAlignment="1">
      <alignment horizontal="center" vertical="center"/>
    </xf>
    <xf numFmtId="0" fontId="7" fillId="0" borderId="156" xfId="0" quotePrefix="1" applyFont="1" applyBorder="1" applyAlignment="1">
      <alignment horizontal="center" vertical="center"/>
    </xf>
    <xf numFmtId="9" fontId="37" fillId="0" borderId="0" xfId="15" applyFont="1"/>
    <xf numFmtId="171" fontId="10" fillId="3" borderId="6" xfId="31">
      <alignment horizontal="right"/>
    </xf>
    <xf numFmtId="9" fontId="0" fillId="0" borderId="101" xfId="0" applyNumberFormat="1" applyBorder="1" applyAlignment="1">
      <alignment horizontal="center"/>
    </xf>
    <xf numFmtId="9" fontId="12" fillId="0" borderId="78" xfId="0" applyNumberFormat="1" applyFont="1" applyBorder="1" applyAlignment="1">
      <alignment horizontal="center"/>
    </xf>
    <xf numFmtId="9" fontId="12" fillId="0" borderId="79" xfId="0" applyNumberFormat="1" applyFont="1" applyBorder="1" applyAlignment="1">
      <alignment horizontal="center"/>
    </xf>
    <xf numFmtId="9" fontId="7" fillId="0" borderId="83" xfId="0" applyNumberFormat="1" applyFont="1" applyBorder="1" applyAlignment="1">
      <alignment horizontal="center"/>
    </xf>
    <xf numFmtId="9" fontId="7" fillId="0" borderId="88" xfId="0" applyNumberFormat="1" applyFont="1" applyBorder="1" applyAlignment="1">
      <alignment horizontal="center"/>
    </xf>
    <xf numFmtId="3" fontId="0" fillId="0" borderId="0" xfId="0" applyNumberFormat="1"/>
    <xf numFmtId="0" fontId="9" fillId="0" borderId="51" xfId="34" applyFont="1" applyBorder="1" applyAlignment="1" applyProtection="1"/>
    <xf numFmtId="10" fontId="0" fillId="0" borderId="0" xfId="0" applyNumberFormat="1"/>
    <xf numFmtId="4" fontId="31" fillId="12" borderId="123" xfId="7" applyFont="1" applyFill="1" applyBorder="1" applyAlignment="1">
      <alignment horizontal="right" vertical="center"/>
    </xf>
    <xf numFmtId="4" fontId="7" fillId="0" borderId="0" xfId="7" applyFont="1" applyFill="1" applyBorder="1">
      <alignment horizontal="right"/>
    </xf>
    <xf numFmtId="4" fontId="31" fillId="0" borderId="0" xfId="7" applyFont="1" applyFill="1" applyBorder="1">
      <alignment horizontal="right"/>
    </xf>
    <xf numFmtId="4" fontId="31" fillId="9" borderId="123" xfId="7" applyFont="1" applyFill="1" applyBorder="1" applyAlignment="1">
      <alignment horizontal="right" vertical="center"/>
    </xf>
    <xf numFmtId="4" fontId="31" fillId="28" borderId="123" xfId="7" applyFont="1" applyFill="1" applyBorder="1" applyAlignment="1">
      <alignment horizontal="right" vertical="center"/>
    </xf>
    <xf numFmtId="4" fontId="24" fillId="28" borderId="123" xfId="7" applyFont="1" applyFill="1" applyBorder="1" applyAlignment="1">
      <alignment horizontal="right" vertical="center"/>
    </xf>
    <xf numFmtId="1" fontId="59" fillId="42" borderId="156" xfId="0" applyNumberFormat="1" applyFont="1" applyFill="1" applyBorder="1" applyAlignment="1">
      <alignment horizontal="center" vertical="center"/>
    </xf>
    <xf numFmtId="3" fontId="59" fillId="41" borderId="47" xfId="0" quotePrefix="1" applyNumberFormat="1" applyFont="1" applyFill="1" applyBorder="1" applyAlignment="1">
      <alignment horizontal="center" vertical="center"/>
    </xf>
    <xf numFmtId="3" fontId="59" fillId="41" borderId="165" xfId="0" quotePrefix="1" applyNumberFormat="1" applyFont="1" applyFill="1" applyBorder="1" applyAlignment="1">
      <alignment horizontal="center" vertical="center"/>
    </xf>
    <xf numFmtId="1" fontId="54" fillId="41" borderId="38" xfId="0" applyNumberFormat="1" applyFont="1" applyFill="1" applyBorder="1" applyAlignment="1">
      <alignment horizontal="center" vertical="center"/>
    </xf>
    <xf numFmtId="4" fontId="4" fillId="0" borderId="47" xfId="28" applyNumberFormat="1" applyBorder="1" applyAlignment="1">
      <alignment horizontal="center"/>
    </xf>
    <xf numFmtId="0" fontId="25" fillId="0" borderId="0" xfId="0" applyFont="1" applyAlignment="1">
      <alignment horizontal="center"/>
    </xf>
    <xf numFmtId="0" fontId="66" fillId="0" borderId="0" xfId="0" applyFont="1"/>
    <xf numFmtId="0" fontId="0" fillId="0" borderId="47" xfId="0" applyBorder="1"/>
    <xf numFmtId="0" fontId="65" fillId="0" borderId="0" xfId="0" applyFont="1"/>
    <xf numFmtId="3" fontId="54" fillId="0" borderId="38" xfId="0" applyNumberFormat="1" applyFont="1" applyBorder="1" applyAlignment="1">
      <alignment horizontal="center" vertical="center"/>
    </xf>
    <xf numFmtId="0" fontId="54" fillId="0" borderId="38" xfId="0" applyFont="1" applyBorder="1" applyAlignment="1">
      <alignment horizontal="center" vertical="center"/>
    </xf>
    <xf numFmtId="3" fontId="54" fillId="8" borderId="32" xfId="0" applyNumberFormat="1" applyFont="1" applyFill="1" applyBorder="1" applyAlignment="1">
      <alignment horizontal="center" vertical="center"/>
    </xf>
    <xf numFmtId="3" fontId="7" fillId="8" borderId="15" xfId="0" applyNumberFormat="1" applyFont="1" applyFill="1" applyBorder="1" applyAlignment="1">
      <alignment horizontal="center"/>
    </xf>
    <xf numFmtId="169" fontId="32" fillId="39" borderId="47" xfId="15" applyNumberFormat="1" applyFont="1" applyFill="1" applyBorder="1" applyAlignment="1">
      <alignment horizontal="center" vertical="center"/>
    </xf>
    <xf numFmtId="3" fontId="62" fillId="0" borderId="47" xfId="0" applyNumberFormat="1" applyFont="1" applyBorder="1" applyAlignment="1">
      <alignment horizontal="center" vertical="center"/>
    </xf>
    <xf numFmtId="3" fontId="62" fillId="39" borderId="47" xfId="0" applyNumberFormat="1" applyFont="1" applyFill="1" applyBorder="1" applyAlignment="1">
      <alignment horizontal="center" vertical="center"/>
    </xf>
    <xf numFmtId="169" fontId="32" fillId="39" borderId="165" xfId="15" applyNumberFormat="1" applyFont="1" applyFill="1" applyBorder="1" applyAlignment="1">
      <alignment horizontal="center" vertical="center"/>
    </xf>
    <xf numFmtId="3" fontId="62" fillId="0" borderId="165" xfId="0" applyNumberFormat="1" applyFont="1" applyBorder="1" applyAlignment="1">
      <alignment horizontal="center" vertical="center"/>
    </xf>
    <xf numFmtId="3" fontId="62" fillId="39" borderId="165" xfId="0" applyNumberFormat="1" applyFont="1" applyFill="1" applyBorder="1" applyAlignment="1">
      <alignment horizontal="center" vertical="center"/>
    </xf>
    <xf numFmtId="0" fontId="62" fillId="39" borderId="180" xfId="0" applyFont="1" applyFill="1" applyBorder="1" applyAlignment="1">
      <alignment horizontal="center" vertical="center"/>
    </xf>
    <xf numFmtId="169" fontId="32" fillId="44" borderId="182" xfId="29" applyNumberFormat="1" applyFont="1" applyFill="1" applyBorder="1" applyAlignment="1">
      <alignment horizontal="center" vertical="center"/>
    </xf>
    <xf numFmtId="3" fontId="3" fillId="44" borderId="45" xfId="29" applyNumberFormat="1" applyFill="1" applyBorder="1" applyAlignment="1">
      <alignment horizontal="center" vertical="center"/>
    </xf>
    <xf numFmtId="169" fontId="32" fillId="39" borderId="45" xfId="15" applyNumberFormat="1" applyFont="1" applyFill="1" applyBorder="1" applyAlignment="1">
      <alignment horizontal="center" vertical="center"/>
    </xf>
    <xf numFmtId="3" fontId="62" fillId="0" borderId="45" xfId="0" applyNumberFormat="1" applyFont="1" applyBorder="1" applyAlignment="1">
      <alignment horizontal="center" vertical="center"/>
    </xf>
    <xf numFmtId="0" fontId="62" fillId="0" borderId="45" xfId="0" applyFont="1" applyBorder="1" applyAlignment="1">
      <alignment horizontal="center" vertical="center"/>
    </xf>
    <xf numFmtId="3" fontId="62" fillId="39" borderId="45" xfId="0" applyNumberFormat="1" applyFont="1" applyFill="1" applyBorder="1" applyAlignment="1">
      <alignment horizontal="center" vertical="center"/>
    </xf>
    <xf numFmtId="1" fontId="54" fillId="0" borderId="47" xfId="0" applyNumberFormat="1" applyFont="1" applyBorder="1" applyAlignment="1">
      <alignment horizontal="center" vertical="center"/>
    </xf>
    <xf numFmtId="1" fontId="59" fillId="0" borderId="47" xfId="0" applyNumberFormat="1" applyFont="1" applyBorder="1" applyAlignment="1">
      <alignment horizontal="center" vertical="center"/>
    </xf>
    <xf numFmtId="1" fontId="54" fillId="0" borderId="165" xfId="0" applyNumberFormat="1" applyFont="1" applyBorder="1" applyAlignment="1">
      <alignment horizontal="center" vertical="center"/>
    </xf>
    <xf numFmtId="1" fontId="54" fillId="0" borderId="156" xfId="0" applyNumberFormat="1" applyFont="1" applyBorder="1" applyAlignment="1">
      <alignment horizontal="center" vertical="center"/>
    </xf>
    <xf numFmtId="1" fontId="59" fillId="0" borderId="165" xfId="0" applyNumberFormat="1" applyFont="1" applyBorder="1" applyAlignment="1">
      <alignment horizontal="center" vertical="center"/>
    </xf>
    <xf numFmtId="1" fontId="59" fillId="0" borderId="156" xfId="0" applyNumberFormat="1" applyFont="1" applyBorder="1" applyAlignment="1">
      <alignment horizontal="center" vertical="center"/>
    </xf>
    <xf numFmtId="1" fontId="62" fillId="39" borderId="166" xfId="0" applyNumberFormat="1" applyFont="1" applyFill="1" applyBorder="1" applyAlignment="1">
      <alignment horizontal="center" vertical="center"/>
    </xf>
    <xf numFmtId="1" fontId="62" fillId="39" borderId="180" xfId="0" applyNumberFormat="1" applyFont="1" applyFill="1" applyBorder="1" applyAlignment="1">
      <alignment horizontal="center" vertical="center"/>
    </xf>
    <xf numFmtId="1" fontId="62" fillId="39" borderId="181" xfId="0" applyNumberFormat="1" applyFont="1" applyFill="1" applyBorder="1" applyAlignment="1">
      <alignment horizontal="center" vertical="center"/>
    </xf>
    <xf numFmtId="169" fontId="7" fillId="0" borderId="162" xfId="15" applyNumberFormat="1" applyFont="1" applyFill="1" applyBorder="1" applyAlignment="1">
      <alignment horizontal="center" vertical="center"/>
    </xf>
    <xf numFmtId="169" fontId="7" fillId="0" borderId="163" xfId="15" applyNumberFormat="1" applyFont="1" applyFill="1" applyBorder="1" applyAlignment="1">
      <alignment horizontal="center" vertical="center"/>
    </xf>
    <xf numFmtId="169" fontId="0" fillId="0" borderId="164" xfId="15" applyNumberFormat="1" applyFont="1" applyFill="1" applyBorder="1" applyAlignment="1">
      <alignment horizontal="center" vertical="center"/>
    </xf>
    <xf numFmtId="169" fontId="32" fillId="0" borderId="165" xfId="15" applyNumberFormat="1" applyFont="1" applyFill="1" applyBorder="1" applyAlignment="1">
      <alignment horizontal="center" vertical="center"/>
    </xf>
    <xf numFmtId="1" fontId="62" fillId="0" borderId="165" xfId="0" applyNumberFormat="1" applyFont="1" applyBorder="1" applyAlignment="1">
      <alignment horizontal="center" vertical="center"/>
    </xf>
    <xf numFmtId="1" fontId="62" fillId="0" borderId="47" xfId="0" applyNumberFormat="1" applyFont="1" applyBorder="1" applyAlignment="1">
      <alignment horizontal="center" vertical="center"/>
    </xf>
    <xf numFmtId="1" fontId="62" fillId="0" borderId="156" xfId="0" applyNumberFormat="1" applyFont="1" applyBorder="1" applyAlignment="1">
      <alignment horizontal="center" vertical="center"/>
    </xf>
    <xf numFmtId="0" fontId="59" fillId="0" borderId="182" xfId="0" applyFont="1" applyBorder="1" applyAlignment="1">
      <alignment horizontal="center" vertical="center"/>
    </xf>
    <xf numFmtId="0" fontId="59" fillId="0" borderId="45" xfId="0" applyFont="1" applyBorder="1" applyAlignment="1">
      <alignment horizontal="center" vertical="center"/>
    </xf>
    <xf numFmtId="0" fontId="59" fillId="42" borderId="45" xfId="0" applyFont="1" applyFill="1" applyBorder="1" applyAlignment="1">
      <alignment horizontal="center" vertical="center"/>
    </xf>
    <xf numFmtId="3" fontId="59" fillId="41" borderId="45" xfId="0" quotePrefix="1" applyNumberFormat="1" applyFont="1" applyFill="1" applyBorder="1" applyAlignment="1">
      <alignment horizontal="center" vertical="center"/>
    </xf>
    <xf numFmtId="3" fontId="59" fillId="41" borderId="45" xfId="0" applyNumberFormat="1" applyFont="1" applyFill="1" applyBorder="1" applyAlignment="1">
      <alignment horizontal="center" vertical="center"/>
    </xf>
    <xf numFmtId="1" fontId="59" fillId="42" borderId="47" xfId="0" applyNumberFormat="1" applyFont="1" applyFill="1" applyBorder="1" applyAlignment="1">
      <alignment horizontal="center" vertical="center"/>
    </xf>
    <xf numFmtId="1" fontId="59" fillId="42" borderId="165" xfId="0" applyNumberFormat="1" applyFont="1" applyFill="1" applyBorder="1" applyAlignment="1">
      <alignment horizontal="center" vertical="center"/>
    </xf>
    <xf numFmtId="0" fontId="7" fillId="0" borderId="165" xfId="0" quotePrefix="1" applyFont="1" applyBorder="1" applyAlignment="1">
      <alignment horizontal="center" vertical="center"/>
    </xf>
    <xf numFmtId="1" fontId="54" fillId="41" borderId="47" xfId="0" applyNumberFormat="1" applyFont="1" applyFill="1" applyBorder="1" applyAlignment="1">
      <alignment horizontal="center" vertical="center"/>
    </xf>
    <xf numFmtId="1" fontId="54" fillId="41" borderId="162" xfId="0" applyNumberFormat="1" applyFont="1" applyFill="1" applyBorder="1" applyAlignment="1">
      <alignment horizontal="center" vertical="center"/>
    </xf>
    <xf numFmtId="1" fontId="54" fillId="41" borderId="163" xfId="0" applyNumberFormat="1" applyFont="1" applyFill="1" applyBorder="1" applyAlignment="1">
      <alignment horizontal="center" vertical="center"/>
    </xf>
    <xf numFmtId="1" fontId="54" fillId="41" borderId="165" xfId="0" applyNumberFormat="1" applyFont="1" applyFill="1" applyBorder="1" applyAlignment="1">
      <alignment horizontal="center" vertical="center"/>
    </xf>
    <xf numFmtId="1" fontId="54" fillId="41" borderId="166" xfId="0" applyNumberFormat="1" applyFont="1" applyFill="1" applyBorder="1" applyAlignment="1">
      <alignment horizontal="center" vertical="center"/>
    </xf>
    <xf numFmtId="1" fontId="54" fillId="41" borderId="180" xfId="0" applyNumberFormat="1" applyFont="1" applyFill="1" applyBorder="1" applyAlignment="1">
      <alignment horizontal="center" vertical="center"/>
    </xf>
    <xf numFmtId="1" fontId="54" fillId="41" borderId="182" xfId="0" applyNumberFormat="1" applyFont="1" applyFill="1" applyBorder="1" applyAlignment="1">
      <alignment horizontal="center" vertical="center"/>
    </xf>
    <xf numFmtId="1" fontId="54" fillId="41" borderId="45" xfId="0" applyNumberFormat="1" applyFont="1" applyFill="1" applyBorder="1" applyAlignment="1">
      <alignment horizontal="center" vertical="center"/>
    </xf>
    <xf numFmtId="1" fontId="54" fillId="41" borderId="183" xfId="0" applyNumberFormat="1" applyFont="1" applyFill="1" applyBorder="1" applyAlignment="1">
      <alignment horizontal="center" vertical="center"/>
    </xf>
    <xf numFmtId="1" fontId="0" fillId="0" borderId="47" xfId="0" applyNumberFormat="1" applyBorder="1" applyAlignment="1">
      <alignment horizontal="center" vertical="center"/>
    </xf>
    <xf numFmtId="1" fontId="0" fillId="0" borderId="162" xfId="0" applyNumberFormat="1" applyBorder="1" applyAlignment="1">
      <alignment horizontal="center" vertical="center"/>
    </xf>
    <xf numFmtId="1" fontId="0" fillId="0" borderId="163" xfId="0" applyNumberFormat="1" applyBorder="1" applyAlignment="1">
      <alignment horizontal="center" vertical="center"/>
    </xf>
    <xf numFmtId="1" fontId="0" fillId="0" borderId="164" xfId="0" applyNumberFormat="1" applyBorder="1" applyAlignment="1">
      <alignment horizontal="center" vertical="center"/>
    </xf>
    <xf numFmtId="1" fontId="0" fillId="0" borderId="165" xfId="0" applyNumberFormat="1" applyBorder="1" applyAlignment="1">
      <alignment horizontal="center" vertical="center"/>
    </xf>
    <xf numFmtId="1" fontId="0" fillId="0" borderId="156" xfId="0" applyNumberFormat="1" applyBorder="1" applyAlignment="1">
      <alignment horizontal="center" vertical="center"/>
    </xf>
    <xf numFmtId="1" fontId="0" fillId="0" borderId="166" xfId="0" applyNumberFormat="1" applyBorder="1" applyAlignment="1">
      <alignment horizontal="center" vertical="center"/>
    </xf>
    <xf numFmtId="1" fontId="0" fillId="0" borderId="180" xfId="0" applyNumberFormat="1" applyBorder="1" applyAlignment="1">
      <alignment horizontal="center" vertical="center"/>
    </xf>
    <xf numFmtId="1" fontId="0" fillId="0" borderId="181" xfId="0" applyNumberFormat="1" applyBorder="1" applyAlignment="1">
      <alignment horizontal="center" vertical="center"/>
    </xf>
    <xf numFmtId="1" fontId="54" fillId="41" borderId="154" xfId="0" applyNumberFormat="1" applyFont="1" applyFill="1" applyBorder="1" applyAlignment="1">
      <alignment horizontal="center" vertical="center"/>
    </xf>
    <xf numFmtId="1" fontId="54" fillId="41" borderId="155" xfId="0" applyNumberFormat="1" applyFont="1" applyFill="1" applyBorder="1" applyAlignment="1">
      <alignment horizontal="center" vertical="center"/>
    </xf>
    <xf numFmtId="1" fontId="54" fillId="41" borderId="157" xfId="0" applyNumberFormat="1" applyFont="1" applyFill="1" applyBorder="1" applyAlignment="1">
      <alignment horizontal="center" vertical="center"/>
    </xf>
    <xf numFmtId="1" fontId="54" fillId="41" borderId="158" xfId="0" applyNumberFormat="1" applyFont="1" applyFill="1" applyBorder="1" applyAlignment="1">
      <alignment horizontal="center" vertical="center"/>
    </xf>
    <xf numFmtId="1" fontId="54" fillId="41" borderId="159" xfId="0" applyNumberFormat="1" applyFont="1" applyFill="1" applyBorder="1" applyAlignment="1">
      <alignment horizontal="center" vertical="center"/>
    </xf>
    <xf numFmtId="0" fontId="54" fillId="0" borderId="32" xfId="0" applyFont="1" applyBorder="1" applyAlignment="1">
      <alignment horizontal="center" vertical="center"/>
    </xf>
    <xf numFmtId="1" fontId="54" fillId="0" borderId="162" xfId="0" applyNumberFormat="1" applyFont="1" applyBorder="1" applyAlignment="1">
      <alignment horizontal="center" vertical="center"/>
    </xf>
    <xf numFmtId="1" fontId="54" fillId="0" borderId="163" xfId="0" applyNumberFormat="1" applyFont="1" applyBorder="1" applyAlignment="1">
      <alignment horizontal="center" vertical="center"/>
    </xf>
    <xf numFmtId="1" fontId="54" fillId="0" borderId="164" xfId="0" applyNumberFormat="1" applyFont="1" applyBorder="1" applyAlignment="1">
      <alignment horizontal="center" vertical="center"/>
    </xf>
    <xf numFmtId="4" fontId="4" fillId="0" borderId="165" xfId="28" applyNumberFormat="1" applyBorder="1" applyAlignment="1">
      <alignment horizontal="center"/>
    </xf>
    <xf numFmtId="4" fontId="4" fillId="0" borderId="156" xfId="28" applyNumberFormat="1" applyBorder="1" applyAlignment="1">
      <alignment horizontal="center"/>
    </xf>
    <xf numFmtId="4" fontId="4" fillId="0" borderId="166" xfId="28" applyNumberFormat="1" applyBorder="1" applyAlignment="1">
      <alignment horizontal="center"/>
    </xf>
    <xf numFmtId="4" fontId="4" fillId="0" borderId="180" xfId="28" applyNumberFormat="1" applyBorder="1" applyAlignment="1">
      <alignment horizontal="center"/>
    </xf>
    <xf numFmtId="4" fontId="4" fillId="0" borderId="181" xfId="28" applyNumberFormat="1" applyBorder="1" applyAlignment="1">
      <alignment horizontal="center"/>
    </xf>
    <xf numFmtId="9" fontId="0" fillId="0" borderId="0" xfId="15" applyFont="1" applyBorder="1" applyAlignment="1">
      <alignment horizontal="left"/>
    </xf>
    <xf numFmtId="3" fontId="59" fillId="0" borderId="45" xfId="0" applyNumberFormat="1" applyFont="1" applyBorder="1" applyAlignment="1">
      <alignment horizontal="center" vertical="center"/>
    </xf>
    <xf numFmtId="3" fontId="59" fillId="0" borderId="47" xfId="0" applyNumberFormat="1" applyFont="1" applyBorder="1" applyAlignment="1">
      <alignment horizontal="center" vertical="center"/>
    </xf>
    <xf numFmtId="3" fontId="59" fillId="0" borderId="165" xfId="0" applyNumberFormat="1" applyFont="1" applyBorder="1" applyAlignment="1">
      <alignment horizontal="center" vertical="center"/>
    </xf>
    <xf numFmtId="2" fontId="7" fillId="24" borderId="19" xfId="0" applyNumberFormat="1" applyFont="1" applyFill="1" applyBorder="1" applyAlignment="1">
      <alignment horizontal="center"/>
    </xf>
    <xf numFmtId="0" fontId="22" fillId="0" borderId="0" xfId="0" applyFont="1" applyAlignment="1">
      <alignment horizontal="center" vertical="center"/>
    </xf>
    <xf numFmtId="3" fontId="34" fillId="19" borderId="0" xfId="20" applyNumberFormat="1" applyFont="1" applyFill="1" applyAlignment="1">
      <alignment horizontal="center" vertical="center"/>
    </xf>
    <xf numFmtId="3" fontId="35" fillId="19" borderId="0" xfId="20" applyNumberFormat="1" applyFont="1" applyFill="1" applyAlignment="1">
      <alignment horizontal="center" vertical="center"/>
    </xf>
    <xf numFmtId="3" fontId="35" fillId="19" borderId="0" xfId="0" applyNumberFormat="1" applyFont="1" applyFill="1" applyAlignment="1">
      <alignment horizontal="center" vertical="center"/>
    </xf>
    <xf numFmtId="3" fontId="34" fillId="0" borderId="0" xfId="0" applyNumberFormat="1" applyFont="1" applyAlignment="1">
      <alignment horizontal="center" vertical="center"/>
    </xf>
    <xf numFmtId="171" fontId="22" fillId="0" borderId="0" xfId="0" applyNumberFormat="1" applyFont="1" applyAlignment="1">
      <alignment horizontal="center" vertical="center"/>
    </xf>
    <xf numFmtId="4" fontId="34" fillId="19" borderId="0" xfId="0" applyNumberFormat="1" applyFont="1" applyFill="1" applyAlignment="1">
      <alignment horizontal="center" vertical="center"/>
    </xf>
    <xf numFmtId="3" fontId="22" fillId="19" borderId="0" xfId="0" applyNumberFormat="1" applyFont="1" applyFill="1" applyAlignment="1">
      <alignment horizontal="center" vertical="center"/>
    </xf>
    <xf numFmtId="0" fontId="0" fillId="0" borderId="0" xfId="0" applyAlignment="1">
      <alignment horizontal="center" vertical="center"/>
    </xf>
    <xf numFmtId="0" fontId="25" fillId="0" borderId="0" xfId="0" applyFont="1" applyAlignment="1">
      <alignment horizontal="center" vertical="center"/>
    </xf>
    <xf numFmtId="0" fontId="7" fillId="8" borderId="19" xfId="0" applyFont="1" applyFill="1" applyBorder="1" applyAlignment="1">
      <alignment horizontal="center" vertical="center" wrapText="1"/>
    </xf>
    <xf numFmtId="0" fontId="33" fillId="8" borderId="19" xfId="0" applyFont="1" applyFill="1" applyBorder="1" applyAlignment="1">
      <alignment horizontal="center" vertical="center" wrapText="1"/>
    </xf>
    <xf numFmtId="174" fontId="0" fillId="0" borderId="108" xfId="0" applyNumberFormat="1" applyBorder="1" applyAlignment="1">
      <alignment horizontal="center" wrapText="1"/>
    </xf>
    <xf numFmtId="2" fontId="0" fillId="24" borderId="106" xfId="0" applyNumberFormat="1" applyFill="1" applyBorder="1" applyAlignment="1">
      <alignment horizontal="center"/>
    </xf>
    <xf numFmtId="2" fontId="0" fillId="24" borderId="108" xfId="0" applyNumberFormat="1" applyFill="1" applyBorder="1" applyAlignment="1">
      <alignment horizontal="center"/>
    </xf>
    <xf numFmtId="2" fontId="0" fillId="24" borderId="107" xfId="0" applyNumberFormat="1" applyFill="1" applyBorder="1" applyAlignment="1">
      <alignment horizontal="center"/>
    </xf>
    <xf numFmtId="170" fontId="0" fillId="24" borderId="106" xfId="0" applyNumberFormat="1" applyFill="1" applyBorder="1" applyAlignment="1">
      <alignment horizontal="center"/>
    </xf>
    <xf numFmtId="170" fontId="0" fillId="24" borderId="108" xfId="0" applyNumberFormat="1" applyFill="1" applyBorder="1" applyAlignment="1">
      <alignment horizontal="center"/>
    </xf>
    <xf numFmtId="170" fontId="0" fillId="24" borderId="107" xfId="0" applyNumberFormat="1" applyFill="1" applyBorder="1" applyAlignment="1">
      <alignment horizontal="center"/>
    </xf>
    <xf numFmtId="0" fontId="47" fillId="9" borderId="78" xfId="0" applyFont="1" applyFill="1" applyBorder="1" applyAlignment="1">
      <alignment horizontal="center" vertical="center" wrapText="1"/>
    </xf>
    <xf numFmtId="0" fontId="47" fillId="10" borderId="79" xfId="0" applyFont="1" applyFill="1" applyBorder="1" applyAlignment="1">
      <alignment horizontal="center" vertical="center" wrapText="1"/>
    </xf>
    <xf numFmtId="0" fontId="47" fillId="11" borderId="79" xfId="0" applyFont="1" applyFill="1" applyBorder="1" applyAlignment="1">
      <alignment horizontal="center" vertical="center" wrapText="1"/>
    </xf>
    <xf numFmtId="0" fontId="47" fillId="15" borderId="79" xfId="0" applyFont="1" applyFill="1" applyBorder="1" applyAlignment="1">
      <alignment horizontal="center" vertical="center" wrapText="1"/>
    </xf>
    <xf numFmtId="0" fontId="47" fillId="23" borderId="109" xfId="0" applyFont="1" applyFill="1" applyBorder="1" applyAlignment="1">
      <alignment horizontal="center" vertical="center" wrapText="1"/>
    </xf>
    <xf numFmtId="0" fontId="47" fillId="16" borderId="79" xfId="0" applyFont="1" applyFill="1" applyBorder="1" applyAlignment="1">
      <alignment horizontal="center" vertical="center" wrapText="1"/>
    </xf>
    <xf numFmtId="0" fontId="47" fillId="10" borderId="70" xfId="0" applyFont="1" applyFill="1" applyBorder="1" applyAlignment="1">
      <alignment horizontal="center" vertical="center" wrapText="1"/>
    </xf>
    <xf numFmtId="0" fontId="47" fillId="11" borderId="70" xfId="0" applyFont="1" applyFill="1" applyBorder="1" applyAlignment="1">
      <alignment horizontal="center" vertical="center" wrapText="1"/>
    </xf>
    <xf numFmtId="0" fontId="47" fillId="23" borderId="70" xfId="0" applyFont="1" applyFill="1" applyBorder="1" applyAlignment="1">
      <alignment horizontal="center" vertical="center" wrapText="1"/>
    </xf>
    <xf numFmtId="0" fontId="47" fillId="16" borderId="70" xfId="0" applyFont="1" applyFill="1" applyBorder="1" applyAlignment="1">
      <alignment horizontal="center" vertical="center" wrapText="1"/>
    </xf>
    <xf numFmtId="0" fontId="56" fillId="0" borderId="0" xfId="0" applyFont="1" applyAlignment="1">
      <alignment horizontal="center" vertical="center"/>
    </xf>
    <xf numFmtId="14" fontId="12" fillId="0" borderId="20" xfId="0" applyNumberFormat="1" applyFont="1" applyBorder="1" applyAlignment="1">
      <alignment horizontal="center" vertical="center"/>
    </xf>
    <xf numFmtId="14" fontId="12" fillId="0" borderId="56" xfId="0" applyNumberFormat="1" applyFont="1" applyBorder="1" applyAlignment="1">
      <alignment horizontal="center" vertical="center"/>
    </xf>
    <xf numFmtId="0" fontId="0" fillId="0" borderId="0" xfId="0" applyAlignment="1">
      <alignment horizontal="left"/>
    </xf>
    <xf numFmtId="2" fontId="7" fillId="24" borderId="54" xfId="0" applyNumberFormat="1" applyFont="1" applyFill="1" applyBorder="1" applyAlignment="1">
      <alignment horizontal="center"/>
    </xf>
    <xf numFmtId="2" fontId="32" fillId="24" borderId="54" xfId="15" applyNumberFormat="1" applyFont="1" applyFill="1" applyBorder="1" applyAlignment="1">
      <alignment horizontal="center"/>
    </xf>
    <xf numFmtId="0" fontId="7" fillId="7" borderId="184" xfId="0" applyFont="1" applyFill="1" applyBorder="1"/>
    <xf numFmtId="0" fontId="0" fillId="7" borderId="0" xfId="0" applyFill="1"/>
    <xf numFmtId="0" fontId="26" fillId="32" borderId="67" xfId="0" applyFont="1" applyFill="1" applyBorder="1" applyAlignment="1">
      <alignment horizontal="center"/>
    </xf>
    <xf numFmtId="0" fontId="12" fillId="0" borderId="67" xfId="0" applyFont="1" applyBorder="1" applyAlignment="1">
      <alignment horizontal="center"/>
    </xf>
    <xf numFmtId="168" fontId="12" fillId="24" borderId="23" xfId="0" applyNumberFormat="1" applyFont="1" applyFill="1" applyBorder="1" applyAlignment="1">
      <alignment horizontal="center"/>
    </xf>
    <xf numFmtId="2" fontId="32" fillId="24" borderId="67" xfId="15" applyNumberFormat="1" applyFont="1" applyFill="1" applyBorder="1" applyAlignment="1">
      <alignment horizontal="center"/>
    </xf>
    <xf numFmtId="10" fontId="64" fillId="8" borderId="67" xfId="0" applyNumberFormat="1" applyFont="1" applyFill="1" applyBorder="1" applyAlignment="1">
      <alignment horizontal="center"/>
    </xf>
    <xf numFmtId="0" fontId="7" fillId="0" borderId="0" xfId="0" applyFont="1" applyAlignment="1">
      <alignment horizontal="center"/>
    </xf>
    <xf numFmtId="1" fontId="59" fillId="41" borderId="166" xfId="0" applyNumberFormat="1" applyFont="1" applyFill="1" applyBorder="1" applyAlignment="1">
      <alignment horizontal="center" vertical="center"/>
    </xf>
    <xf numFmtId="1" fontId="59" fillId="41" borderId="180" xfId="0" applyNumberFormat="1" applyFont="1" applyFill="1" applyBorder="1" applyAlignment="1">
      <alignment horizontal="center" vertical="center"/>
    </xf>
    <xf numFmtId="0" fontId="54" fillId="0" borderId="141" xfId="0" applyFont="1" applyBorder="1"/>
    <xf numFmtId="10" fontId="4" fillId="0" borderId="0" xfId="28" quotePrefix="1" applyNumberFormat="1" applyAlignment="1">
      <alignment horizontal="right"/>
    </xf>
    <xf numFmtId="166" fontId="1" fillId="0" borderId="0" xfId="0" applyNumberFormat="1" applyFont="1" applyAlignment="1">
      <alignment horizontal="center"/>
    </xf>
    <xf numFmtId="166" fontId="1" fillId="0" borderId="47" xfId="0" applyNumberFormat="1" applyFont="1" applyBorder="1" applyAlignment="1">
      <alignment horizontal="center"/>
    </xf>
    <xf numFmtId="0" fontId="0" fillId="0" borderId="47" xfId="0" applyBorder="1" applyAlignment="1">
      <alignment horizontal="center"/>
    </xf>
    <xf numFmtId="168" fontId="0" fillId="0" borderId="47" xfId="0" applyNumberFormat="1" applyBorder="1" applyAlignment="1">
      <alignment horizontal="center"/>
    </xf>
    <xf numFmtId="0" fontId="1" fillId="0" borderId="47" xfId="0" applyFont="1" applyBorder="1"/>
    <xf numFmtId="169" fontId="65" fillId="0" borderId="47" xfId="15" applyNumberFormat="1" applyFont="1" applyBorder="1" applyAlignment="1">
      <alignment horizontal="center"/>
    </xf>
    <xf numFmtId="0" fontId="65" fillId="0" borderId="47" xfId="0" applyFont="1" applyBorder="1"/>
    <xf numFmtId="166" fontId="65" fillId="0" borderId="47" xfId="0" applyNumberFormat="1" applyFont="1" applyBorder="1" applyAlignment="1">
      <alignment horizontal="center"/>
    </xf>
    <xf numFmtId="9" fontId="0" fillId="0" borderId="0" xfId="15" applyFont="1" applyAlignment="1">
      <alignment horizontal="left"/>
    </xf>
    <xf numFmtId="0" fontId="54" fillId="0" borderId="34" xfId="0" applyFont="1" applyBorder="1"/>
    <xf numFmtId="4" fontId="4" fillId="0" borderId="46" xfId="28" applyNumberFormat="1" applyBorder="1" applyAlignment="1">
      <alignment horizontal="center"/>
    </xf>
    <xf numFmtId="0" fontId="54" fillId="0" borderId="185" xfId="0" applyFont="1" applyBorder="1"/>
    <xf numFmtId="0" fontId="54" fillId="0" borderId="35" xfId="0" applyFont="1" applyBorder="1"/>
    <xf numFmtId="3" fontId="59" fillId="0" borderId="162" xfId="0" applyNumberFormat="1" applyFont="1" applyBorder="1" applyAlignment="1">
      <alignment horizontal="center" vertical="center"/>
    </xf>
    <xf numFmtId="2" fontId="25" fillId="18" borderId="108" xfId="0" applyNumberFormat="1" applyFont="1" applyFill="1" applyBorder="1" applyAlignment="1">
      <alignment horizontal="center"/>
    </xf>
    <xf numFmtId="2" fontId="25" fillId="18" borderId="107" xfId="0" applyNumberFormat="1" applyFont="1" applyFill="1" applyBorder="1" applyAlignment="1">
      <alignment horizontal="center"/>
    </xf>
    <xf numFmtId="2" fontId="25" fillId="31" borderId="79" xfId="15" applyNumberFormat="1" applyFont="1" applyFill="1" applyBorder="1" applyAlignment="1">
      <alignment horizontal="center" vertical="center"/>
    </xf>
    <xf numFmtId="2" fontId="25" fillId="18" borderId="106" xfId="0" applyNumberFormat="1" applyFont="1" applyFill="1" applyBorder="1" applyAlignment="1">
      <alignment horizontal="center"/>
    </xf>
    <xf numFmtId="0" fontId="54" fillId="41" borderId="2" xfId="0" applyFont="1" applyFill="1" applyBorder="1" applyAlignment="1">
      <alignment horizontal="center" vertical="center"/>
    </xf>
    <xf numFmtId="1" fontId="54" fillId="41" borderId="131" xfId="0" applyNumberFormat="1" applyFont="1" applyFill="1" applyBorder="1" applyAlignment="1">
      <alignment horizontal="center" vertical="center"/>
    </xf>
    <xf numFmtId="1" fontId="54" fillId="41" borderId="187" xfId="0" applyNumberFormat="1" applyFont="1" applyFill="1" applyBorder="1" applyAlignment="1">
      <alignment horizontal="center" vertical="center"/>
    </xf>
    <xf numFmtId="3" fontId="59" fillId="42" borderId="188" xfId="0" applyNumberFormat="1" applyFont="1" applyFill="1" applyBorder="1" applyAlignment="1">
      <alignment horizontal="center" vertical="center"/>
    </xf>
    <xf numFmtId="3" fontId="59" fillId="42" borderId="3" xfId="0" applyNumberFormat="1" applyFont="1" applyFill="1" applyBorder="1" applyAlignment="1">
      <alignment horizontal="center" vertical="center"/>
    </xf>
    <xf numFmtId="3" fontId="59" fillId="42" borderId="34" xfId="0" applyNumberFormat="1" applyFont="1" applyFill="1" applyBorder="1" applyAlignment="1">
      <alignment horizontal="center" vertical="center"/>
    </xf>
    <xf numFmtId="3" fontId="60" fillId="12" borderId="0" xfId="0" applyNumberFormat="1" applyFont="1" applyFill="1" applyAlignment="1">
      <alignment horizontal="center" vertical="center"/>
    </xf>
    <xf numFmtId="3" fontId="60" fillId="12" borderId="189" xfId="0" applyNumberFormat="1" applyFont="1" applyFill="1" applyBorder="1" applyAlignment="1">
      <alignment horizontal="center" vertical="center"/>
    </xf>
    <xf numFmtId="3" fontId="59" fillId="42" borderId="166" xfId="0" applyNumberFormat="1" applyFont="1" applyFill="1" applyBorder="1" applyAlignment="1">
      <alignment horizontal="center" vertical="center"/>
    </xf>
    <xf numFmtId="3" fontId="59" fillId="42" borderId="180" xfId="0" applyNumberFormat="1" applyFont="1" applyFill="1" applyBorder="1" applyAlignment="1">
      <alignment horizontal="center" vertical="center"/>
    </xf>
    <xf numFmtId="3" fontId="59" fillId="42" borderId="181" xfId="0" applyNumberFormat="1" applyFont="1" applyFill="1" applyBorder="1" applyAlignment="1">
      <alignment horizontal="center" vertical="center"/>
    </xf>
    <xf numFmtId="1" fontId="59" fillId="42" borderId="45" xfId="0" applyNumberFormat="1" applyFont="1" applyFill="1" applyBorder="1" applyAlignment="1">
      <alignment horizontal="center" vertical="center"/>
    </xf>
    <xf numFmtId="1" fontId="59" fillId="0" borderId="45" xfId="0" applyNumberFormat="1" applyFont="1" applyBorder="1" applyAlignment="1">
      <alignment horizontal="center" vertical="center"/>
    </xf>
    <xf numFmtId="0" fontId="7" fillId="0" borderId="45" xfId="0" quotePrefix="1" applyFont="1" applyBorder="1" applyAlignment="1">
      <alignment horizontal="center" vertical="center"/>
    </xf>
    <xf numFmtId="3" fontId="59" fillId="42" borderId="183" xfId="0" applyNumberFormat="1" applyFont="1" applyFill="1" applyBorder="1" applyAlignment="1">
      <alignment horizontal="center" vertical="center"/>
    </xf>
    <xf numFmtId="0" fontId="0" fillId="38" borderId="32" xfId="0" applyFill="1" applyBorder="1"/>
    <xf numFmtId="0" fontId="65" fillId="0" borderId="0" xfId="28" applyFont="1" applyAlignment="1">
      <alignment horizontal="center" vertical="center"/>
    </xf>
    <xf numFmtId="0" fontId="4" fillId="0" borderId="0" xfId="28"/>
    <xf numFmtId="0" fontId="4" fillId="0" borderId="36" xfId="28" applyBorder="1"/>
    <xf numFmtId="0" fontId="54" fillId="0" borderId="191" xfId="0" applyFont="1" applyBorder="1"/>
    <xf numFmtId="0" fontId="56" fillId="0" borderId="129" xfId="0" applyFont="1" applyBorder="1" applyAlignment="1">
      <alignment horizontal="center" vertical="center"/>
    </xf>
    <xf numFmtId="0" fontId="56" fillId="0" borderId="130" xfId="0" applyFont="1" applyBorder="1" applyAlignment="1">
      <alignment horizontal="center" vertical="center"/>
    </xf>
    <xf numFmtId="0" fontId="54" fillId="0" borderId="192" xfId="0" applyFont="1" applyBorder="1"/>
    <xf numFmtId="0" fontId="54" fillId="0" borderId="128" xfId="0" applyFont="1" applyBorder="1" applyAlignment="1">
      <alignment horizontal="center" vertical="center"/>
    </xf>
    <xf numFmtId="0" fontId="54" fillId="0" borderId="193" xfId="0" applyFont="1" applyBorder="1"/>
    <xf numFmtId="0" fontId="54" fillId="0" borderId="132" xfId="0" applyFont="1" applyBorder="1" applyAlignment="1">
      <alignment horizontal="center" vertical="center"/>
    </xf>
    <xf numFmtId="10" fontId="0" fillId="0" borderId="0" xfId="0" applyNumberFormat="1" applyAlignment="1">
      <alignment horizontal="center" vertical="center"/>
    </xf>
    <xf numFmtId="0" fontId="54" fillId="0" borderId="129" xfId="0" applyFont="1" applyBorder="1" applyAlignment="1">
      <alignment horizontal="center" vertical="center"/>
    </xf>
    <xf numFmtId="0" fontId="54" fillId="0" borderId="128" xfId="0" applyFont="1" applyBorder="1"/>
    <xf numFmtId="0" fontId="56" fillId="0" borderId="47" xfId="0" applyFont="1" applyBorder="1"/>
    <xf numFmtId="0" fontId="26" fillId="10" borderId="79" xfId="0" applyFont="1" applyFill="1" applyBorder="1" applyAlignment="1">
      <alignment horizontal="center" vertical="center" wrapText="1"/>
    </xf>
    <xf numFmtId="0" fontId="26" fillId="11" borderId="79" xfId="0" applyFont="1" applyFill="1" applyBorder="1" applyAlignment="1">
      <alignment horizontal="center" vertical="center" wrapText="1"/>
    </xf>
    <xf numFmtId="0" fontId="48" fillId="15" borderId="79" xfId="0" applyFont="1" applyFill="1" applyBorder="1" applyAlignment="1">
      <alignment horizontal="center" vertical="center" wrapText="1"/>
    </xf>
    <xf numFmtId="0" fontId="26" fillId="23" borderId="109" xfId="0" applyFont="1" applyFill="1" applyBorder="1" applyAlignment="1">
      <alignment horizontal="center" vertical="center" wrapText="1"/>
    </xf>
    <xf numFmtId="0" fontId="26" fillId="16" borderId="79" xfId="0" applyFont="1" applyFill="1" applyBorder="1" applyAlignment="1">
      <alignment horizontal="center" vertical="center" wrapText="1"/>
    </xf>
    <xf numFmtId="9" fontId="22" fillId="0" borderId="0" xfId="15" applyFont="1" applyAlignment="1">
      <alignment horizontal="center" vertical="center"/>
    </xf>
    <xf numFmtId="9" fontId="34" fillId="0" borderId="0" xfId="15" applyFont="1" applyAlignment="1">
      <alignment horizontal="center" vertical="center"/>
    </xf>
    <xf numFmtId="169" fontId="37" fillId="0" borderId="0" xfId="0" applyNumberFormat="1" applyFont="1"/>
    <xf numFmtId="1" fontId="54" fillId="41" borderId="196" xfId="0" applyNumberFormat="1" applyFont="1" applyFill="1" applyBorder="1" applyAlignment="1">
      <alignment horizontal="center" vertical="center"/>
    </xf>
    <xf numFmtId="0" fontId="54" fillId="41" borderId="37" xfId="0" applyFont="1" applyFill="1" applyBorder="1" applyAlignment="1">
      <alignment horizontal="center" vertical="center"/>
    </xf>
    <xf numFmtId="1" fontId="54" fillId="41" borderId="197" xfId="0" applyNumberFormat="1" applyFont="1" applyFill="1" applyBorder="1" applyAlignment="1">
      <alignment horizontal="center" vertical="center"/>
    </xf>
    <xf numFmtId="1" fontId="54" fillId="41" borderId="198" xfId="0" applyNumberFormat="1" applyFont="1" applyFill="1" applyBorder="1" applyAlignment="1">
      <alignment horizontal="center" vertical="center"/>
    </xf>
    <xf numFmtId="1" fontId="54" fillId="41" borderId="199" xfId="0" applyNumberFormat="1" applyFont="1" applyFill="1" applyBorder="1" applyAlignment="1">
      <alignment horizontal="center" vertical="center"/>
    </xf>
    <xf numFmtId="1" fontId="0" fillId="0" borderId="200" xfId="0" applyNumberFormat="1" applyBorder="1" applyAlignment="1">
      <alignment horizontal="center" vertical="center"/>
    </xf>
    <xf numFmtId="1" fontId="0" fillId="0" borderId="46" xfId="0" applyNumberFormat="1" applyBorder="1" applyAlignment="1">
      <alignment horizontal="center" vertical="center"/>
    </xf>
    <xf numFmtId="1" fontId="0" fillId="0" borderId="201" xfId="0" applyNumberFormat="1" applyBorder="1" applyAlignment="1">
      <alignment horizontal="center" vertical="center"/>
    </xf>
    <xf numFmtId="1" fontId="54" fillId="0" borderId="200" xfId="0" applyNumberFormat="1" applyFont="1" applyBorder="1" applyAlignment="1">
      <alignment horizontal="center" vertical="center"/>
    </xf>
    <xf numFmtId="4" fontId="4" fillId="0" borderId="201" xfId="28" applyNumberFormat="1" applyBorder="1" applyAlignment="1">
      <alignment horizontal="center"/>
    </xf>
    <xf numFmtId="4" fontId="4" fillId="0" borderId="1" xfId="28" applyNumberFormat="1" applyBorder="1" applyAlignment="1">
      <alignment horizontal="center"/>
    </xf>
    <xf numFmtId="4" fontId="4" fillId="0" borderId="45" xfId="28" applyNumberFormat="1" applyBorder="1" applyAlignment="1">
      <alignment horizontal="center"/>
    </xf>
    <xf numFmtId="4" fontId="4" fillId="0" borderId="202" xfId="28" applyNumberFormat="1" applyBorder="1" applyAlignment="1">
      <alignment horizontal="center"/>
    </xf>
    <xf numFmtId="3" fontId="68" fillId="0" borderId="165" xfId="0" applyNumberFormat="1" applyFont="1" applyBorder="1" applyAlignment="1">
      <alignment horizontal="center" vertical="center"/>
    </xf>
    <xf numFmtId="2" fontId="0" fillId="24" borderId="67" xfId="0" applyNumberFormat="1" applyFill="1" applyBorder="1" applyAlignment="1">
      <alignment horizontal="center"/>
    </xf>
    <xf numFmtId="168" fontId="0" fillId="24" borderId="23" xfId="0" applyNumberFormat="1" applyFill="1" applyBorder="1" applyAlignment="1">
      <alignment horizontal="center"/>
    </xf>
    <xf numFmtId="10" fontId="0" fillId="8" borderId="23" xfId="24" applyNumberFormat="1" applyFont="1" applyFill="1" applyBorder="1" applyAlignment="1">
      <alignment horizontal="center"/>
    </xf>
    <xf numFmtId="169" fontId="0" fillId="8" borderId="23" xfId="24" applyNumberFormat="1" applyFont="1" applyFill="1" applyBorder="1" applyAlignment="1">
      <alignment horizontal="center"/>
    </xf>
    <xf numFmtId="169" fontId="0" fillId="8" borderId="23" xfId="15" quotePrefix="1" applyNumberFormat="1" applyFont="1" applyFill="1" applyBorder="1" applyAlignment="1">
      <alignment horizontal="center"/>
    </xf>
    <xf numFmtId="170" fontId="0" fillId="24" borderId="23" xfId="0" applyNumberFormat="1" applyFill="1" applyBorder="1" applyAlignment="1">
      <alignment horizontal="center"/>
    </xf>
    <xf numFmtId="170" fontId="0" fillId="24" borderId="23" xfId="15" applyNumberFormat="1" applyFont="1" applyFill="1" applyBorder="1" applyAlignment="1">
      <alignment horizontal="center"/>
    </xf>
    <xf numFmtId="169" fontId="0" fillId="24" borderId="23" xfId="15" applyNumberFormat="1" applyFont="1" applyFill="1" applyBorder="1" applyAlignment="1">
      <alignment horizontal="center"/>
    </xf>
    <xf numFmtId="2" fontId="0" fillId="24" borderId="23" xfId="15" applyNumberFormat="1" applyFont="1" applyFill="1" applyBorder="1" applyAlignment="1">
      <alignment horizontal="center"/>
    </xf>
    <xf numFmtId="0" fontId="0" fillId="0" borderId="22" xfId="0" quotePrefix="1" applyBorder="1"/>
    <xf numFmtId="10" fontId="0" fillId="8" borderId="23" xfId="15" applyNumberFormat="1" applyFont="1" applyFill="1" applyBorder="1" applyAlignment="1">
      <alignment horizontal="center"/>
    </xf>
    <xf numFmtId="0" fontId="0" fillId="0" borderId="22" xfId="0" applyBorder="1"/>
    <xf numFmtId="0" fontId="0" fillId="8" borderId="23" xfId="0" applyFill="1" applyBorder="1" applyAlignment="1">
      <alignment horizontal="left" vertical="center" wrapText="1"/>
    </xf>
    <xf numFmtId="0" fontId="0" fillId="0" borderId="60" xfId="0" applyBorder="1" applyAlignment="1">
      <alignment horizontal="center" vertical="center"/>
    </xf>
    <xf numFmtId="176" fontId="0" fillId="0" borderId="0" xfId="0" applyNumberFormat="1" applyAlignment="1">
      <alignment horizontal="center"/>
    </xf>
    <xf numFmtId="1" fontId="59" fillId="0" borderId="154" xfId="0" applyNumberFormat="1" applyFont="1" applyBorder="1" applyAlignment="1">
      <alignment horizontal="center" vertical="center"/>
    </xf>
    <xf numFmtId="1" fontId="59" fillId="0" borderId="2" xfId="0" applyNumberFormat="1" applyFont="1" applyBorder="1" applyAlignment="1">
      <alignment horizontal="center" vertical="center"/>
    </xf>
    <xf numFmtId="1" fontId="59" fillId="0" borderId="186" xfId="0" applyNumberFormat="1" applyFont="1" applyBorder="1" applyAlignment="1">
      <alignment horizontal="center" vertical="center"/>
    </xf>
    <xf numFmtId="1" fontId="7" fillId="0" borderId="188" xfId="0" applyNumberFormat="1" applyFont="1" applyBorder="1" applyAlignment="1">
      <alignment horizontal="center" vertical="center"/>
    </xf>
    <xf numFmtId="10" fontId="69" fillId="35" borderId="123" xfId="25" applyNumberFormat="1" applyFont="1" applyFill="1" applyBorder="1"/>
    <xf numFmtId="175" fontId="7" fillId="0" borderId="123" xfId="25" applyNumberFormat="1" applyBorder="1"/>
    <xf numFmtId="169" fontId="54" fillId="0" borderId="0" xfId="15" applyNumberFormat="1" applyFont="1"/>
    <xf numFmtId="3" fontId="68" fillId="39" borderId="165" xfId="0" quotePrefix="1" applyNumberFormat="1" applyFont="1" applyFill="1" applyBorder="1" applyAlignment="1">
      <alignment horizontal="center" vertical="center"/>
    </xf>
    <xf numFmtId="3" fontId="68" fillId="39" borderId="47" xfId="0" quotePrefix="1" applyNumberFormat="1" applyFont="1" applyFill="1" applyBorder="1" applyAlignment="1">
      <alignment horizontal="center" vertical="center"/>
    </xf>
    <xf numFmtId="3" fontId="68" fillId="39" borderId="45" xfId="0" quotePrefix="1" applyNumberFormat="1" applyFont="1" applyFill="1" applyBorder="1" applyAlignment="1">
      <alignment horizontal="center" vertical="center"/>
    </xf>
    <xf numFmtId="3" fontId="24" fillId="39" borderId="165" xfId="0" applyNumberFormat="1" applyFont="1" applyFill="1" applyBorder="1" applyAlignment="1">
      <alignment horizontal="center" vertical="center"/>
    </xf>
    <xf numFmtId="3" fontId="24" fillId="39" borderId="47" xfId="0" applyNumberFormat="1" applyFont="1" applyFill="1" applyBorder="1" applyAlignment="1">
      <alignment horizontal="center" vertical="center"/>
    </xf>
    <xf numFmtId="3" fontId="24" fillId="39" borderId="45" xfId="0" applyNumberFormat="1" applyFont="1" applyFill="1" applyBorder="1" applyAlignment="1">
      <alignment horizontal="center" vertical="center"/>
    </xf>
    <xf numFmtId="0" fontId="68" fillId="39" borderId="165" xfId="0" applyFont="1" applyFill="1" applyBorder="1" applyAlignment="1">
      <alignment horizontal="center" vertical="center"/>
    </xf>
    <xf numFmtId="0" fontId="68" fillId="39" borderId="47" xfId="0" applyFont="1" applyFill="1" applyBorder="1" applyAlignment="1">
      <alignment horizontal="center" vertical="center"/>
    </xf>
    <xf numFmtId="0" fontId="68" fillId="39" borderId="45" xfId="0" applyFont="1" applyFill="1" applyBorder="1" applyAlignment="1">
      <alignment horizontal="center" vertical="center"/>
    </xf>
    <xf numFmtId="1" fontId="68" fillId="0" borderId="165" xfId="0" applyNumberFormat="1" applyFont="1" applyBorder="1" applyAlignment="1">
      <alignment horizontal="center" vertical="center"/>
    </xf>
    <xf numFmtId="1" fontId="24" fillId="0" borderId="165" xfId="0" applyNumberFormat="1" applyFont="1" applyBorder="1" applyAlignment="1">
      <alignment horizontal="center" vertical="center"/>
    </xf>
    <xf numFmtId="1" fontId="24" fillId="0" borderId="47" xfId="0" applyNumberFormat="1" applyFont="1" applyBorder="1" applyAlignment="1">
      <alignment horizontal="center" vertical="center"/>
    </xf>
    <xf numFmtId="1" fontId="24" fillId="0" borderId="156" xfId="0" applyNumberFormat="1" applyFont="1" applyBorder="1" applyAlignment="1">
      <alignment horizontal="center" vertical="center"/>
    </xf>
    <xf numFmtId="1" fontId="7" fillId="0" borderId="3" xfId="0" applyNumberFormat="1" applyFont="1" applyBorder="1" applyAlignment="1">
      <alignment horizontal="center" vertical="center"/>
    </xf>
    <xf numFmtId="1" fontId="7" fillId="0" borderId="34" xfId="0" applyNumberFormat="1" applyFont="1" applyBorder="1" applyAlignment="1">
      <alignment horizontal="center" vertical="center"/>
    </xf>
    <xf numFmtId="1" fontId="7" fillId="0" borderId="195" xfId="0" applyNumberFormat="1" applyFont="1" applyBorder="1" applyAlignment="1">
      <alignment horizontal="center" vertical="center"/>
    </xf>
    <xf numFmtId="0" fontId="66" fillId="0" borderId="0" xfId="0" applyFont="1" applyAlignment="1">
      <alignment horizontal="center"/>
    </xf>
    <xf numFmtId="1" fontId="66" fillId="0" borderId="0" xfId="0" applyNumberFormat="1" applyFont="1" applyAlignment="1">
      <alignment horizontal="center"/>
    </xf>
    <xf numFmtId="1" fontId="70" fillId="0" borderId="0" xfId="0" applyNumberFormat="1" applyFont="1" applyAlignment="1">
      <alignment horizontal="left"/>
    </xf>
    <xf numFmtId="0" fontId="7" fillId="0" borderId="0" xfId="25" applyAlignment="1">
      <alignment vertical="center" wrapText="1"/>
    </xf>
    <xf numFmtId="3" fontId="52" fillId="34" borderId="125" xfId="5" applyFont="1" applyFill="1" applyBorder="1" applyAlignment="1">
      <alignment horizontal="right" vertical="center" wrapText="1"/>
    </xf>
    <xf numFmtId="4" fontId="7" fillId="34" borderId="125" xfId="7" applyFont="1" applyFill="1" applyBorder="1" applyAlignment="1">
      <alignment horizontal="right" vertical="center" wrapText="1"/>
    </xf>
    <xf numFmtId="4" fontId="31" fillId="0" borderId="123" xfId="7" applyFont="1" applyFill="1" applyBorder="1" applyAlignment="1">
      <alignment horizontal="right" vertical="center" wrapText="1"/>
    </xf>
    <xf numFmtId="0" fontId="7" fillId="0" borderId="123" xfId="10" applyFont="1" applyFill="1" applyBorder="1" applyAlignment="1">
      <alignment horizontal="right" vertical="center" wrapText="1"/>
    </xf>
    <xf numFmtId="0" fontId="19" fillId="0" borderId="0" xfId="8" applyFill="1" applyBorder="1" applyAlignment="1">
      <alignment wrapText="1"/>
    </xf>
    <xf numFmtId="0" fontId="7" fillId="0" borderId="0" xfId="25" applyAlignment="1">
      <alignment wrapText="1"/>
    </xf>
    <xf numFmtId="0" fontId="0" fillId="0" borderId="0" xfId="0" applyAlignment="1">
      <alignment wrapText="1"/>
    </xf>
    <xf numFmtId="0" fontId="0" fillId="0" borderId="0" xfId="25" applyFont="1"/>
    <xf numFmtId="2" fontId="7" fillId="0" borderId="0" xfId="25" applyNumberFormat="1"/>
    <xf numFmtId="2" fontId="0" fillId="0" borderId="0" xfId="25" applyNumberFormat="1" applyFont="1"/>
    <xf numFmtId="10" fontId="0" fillId="8" borderId="107" xfId="15" applyNumberFormat="1" applyFont="1" applyFill="1" applyBorder="1" applyAlignment="1">
      <alignment horizontal="center"/>
    </xf>
    <xf numFmtId="178" fontId="7" fillId="24" borderId="19" xfId="0" applyNumberFormat="1" applyFont="1" applyFill="1" applyBorder="1" applyAlignment="1">
      <alignment horizontal="center"/>
    </xf>
    <xf numFmtId="177" fontId="0" fillId="8" borderId="108" xfId="0" applyNumberFormat="1" applyFill="1" applyBorder="1" applyAlignment="1">
      <alignment horizontal="right" vertical="center"/>
    </xf>
    <xf numFmtId="0" fontId="0" fillId="0" borderId="0" xfId="0" applyAlignment="1">
      <alignment vertical="center" wrapText="1"/>
    </xf>
    <xf numFmtId="10" fontId="0" fillId="8" borderId="108" xfId="15" applyNumberFormat="1" applyFont="1" applyFill="1" applyBorder="1" applyAlignment="1">
      <alignment horizontal="center" vertical="center"/>
    </xf>
    <xf numFmtId="0" fontId="59" fillId="0" borderId="0" xfId="0" applyFont="1"/>
    <xf numFmtId="0" fontId="59" fillId="0" borderId="0" xfId="0" applyFont="1" applyAlignment="1">
      <alignment horizontal="center"/>
    </xf>
    <xf numFmtId="168" fontId="7" fillId="0" borderId="0" xfId="0" applyNumberFormat="1" applyFont="1"/>
    <xf numFmtId="166" fontId="7" fillId="0" borderId="0" xfId="0" applyNumberFormat="1" applyFont="1"/>
    <xf numFmtId="168" fontId="25" fillId="0" borderId="0" xfId="0" applyNumberFormat="1" applyFont="1"/>
    <xf numFmtId="169" fontId="7" fillId="24" borderId="19" xfId="15" applyNumberFormat="1" applyFont="1" applyFill="1" applyBorder="1" applyAlignment="1">
      <alignment horizontal="center"/>
    </xf>
    <xf numFmtId="177" fontId="0" fillId="8" borderId="108" xfId="0" applyNumberFormat="1" applyFill="1" applyBorder="1" applyAlignment="1">
      <alignment horizontal="center"/>
    </xf>
    <xf numFmtId="174" fontId="33" fillId="24" borderId="108" xfId="0" applyNumberFormat="1" applyFont="1" applyFill="1" applyBorder="1" applyAlignment="1">
      <alignment horizontal="center"/>
    </xf>
    <xf numFmtId="169" fontId="0" fillId="24" borderId="106" xfId="15" applyNumberFormat="1" applyFont="1" applyFill="1" applyBorder="1" applyAlignment="1">
      <alignment horizontal="center"/>
    </xf>
    <xf numFmtId="169" fontId="0" fillId="8" borderId="106" xfId="15" applyNumberFormat="1" applyFont="1" applyFill="1" applyBorder="1" applyAlignment="1">
      <alignment horizontal="center"/>
    </xf>
    <xf numFmtId="0" fontId="47" fillId="9" borderId="78" xfId="0" applyFont="1" applyFill="1" applyBorder="1" applyAlignment="1">
      <alignment horizontal="center" vertical="center"/>
    </xf>
    <xf numFmtId="0" fontId="47" fillId="31" borderId="78" xfId="0" applyFont="1" applyFill="1" applyBorder="1" applyAlignment="1">
      <alignment horizontal="center" vertical="center"/>
    </xf>
    <xf numFmtId="0" fontId="7" fillId="12" borderId="123" xfId="10" applyFont="1" applyFill="1" applyBorder="1" applyAlignment="1">
      <alignment horizontal="right" vertical="center"/>
    </xf>
    <xf numFmtId="171" fontId="7" fillId="0" borderId="0" xfId="0" applyNumberFormat="1" applyFont="1" applyAlignment="1">
      <alignment horizontal="center" vertical="center"/>
    </xf>
    <xf numFmtId="3" fontId="25" fillId="0" borderId="0" xfId="0" applyNumberFormat="1" applyFont="1" applyAlignment="1">
      <alignment horizontal="center" vertical="center"/>
    </xf>
    <xf numFmtId="171" fontId="7" fillId="8" borderId="123" xfId="6" applyFont="1" applyFill="1" applyBorder="1" applyAlignment="1">
      <alignment horizontal="center" vertical="center" wrapText="1"/>
    </xf>
    <xf numFmtId="6" fontId="0" fillId="0" borderId="0" xfId="0" applyNumberFormat="1"/>
    <xf numFmtId="3" fontId="59" fillId="42" borderId="165" xfId="0" applyNumberFormat="1" applyFont="1" applyFill="1" applyBorder="1" applyAlignment="1">
      <alignment horizontal="center" vertical="center"/>
    </xf>
    <xf numFmtId="3" fontId="54" fillId="41" borderId="154" xfId="0" applyNumberFormat="1" applyFont="1" applyFill="1" applyBorder="1" applyAlignment="1">
      <alignment horizontal="center" vertical="center"/>
    </xf>
    <xf numFmtId="0" fontId="47" fillId="15" borderId="120" xfId="0" applyFont="1" applyFill="1" applyBorder="1" applyAlignment="1">
      <alignment horizontal="center" vertical="center" wrapText="1"/>
    </xf>
    <xf numFmtId="174" fontId="0" fillId="0" borderId="0" xfId="0" applyNumberFormat="1"/>
    <xf numFmtId="174" fontId="7" fillId="0" borderId="108" xfId="0" applyNumberFormat="1" applyFont="1" applyBorder="1" applyAlignment="1">
      <alignment horizontal="center"/>
    </xf>
    <xf numFmtId="2" fontId="7" fillId="8" borderId="108" xfId="15" applyNumberFormat="1" applyFont="1" applyFill="1" applyBorder="1" applyAlignment="1">
      <alignment horizontal="center"/>
    </xf>
    <xf numFmtId="10" fontId="7" fillId="8" borderId="107" xfId="15" applyNumberFormat="1" applyFont="1" applyFill="1" applyBorder="1" applyAlignment="1">
      <alignment horizontal="center"/>
    </xf>
    <xf numFmtId="177" fontId="7" fillId="8" borderId="108" xfId="0" applyNumberFormat="1" applyFont="1" applyFill="1" applyBorder="1" applyAlignment="1">
      <alignment horizontal="center"/>
    </xf>
    <xf numFmtId="10" fontId="7" fillId="8" borderId="108" xfId="15" applyNumberFormat="1" applyFont="1" applyFill="1" applyBorder="1" applyAlignment="1">
      <alignment horizontal="center" vertical="center"/>
    </xf>
    <xf numFmtId="0" fontId="57" fillId="0" borderId="0" xfId="0" applyFont="1" applyAlignment="1">
      <alignment horizontal="center"/>
    </xf>
    <xf numFmtId="0" fontId="77" fillId="0" borderId="0" xfId="0" applyFont="1"/>
    <xf numFmtId="0" fontId="78" fillId="0" borderId="0" xfId="0" applyFont="1"/>
    <xf numFmtId="0" fontId="25" fillId="45" borderId="0" xfId="0" applyFont="1" applyFill="1"/>
    <xf numFmtId="0" fontId="50" fillId="45" borderId="0" xfId="0" applyFont="1" applyFill="1" applyAlignment="1">
      <alignment horizontal="center" vertical="center"/>
    </xf>
    <xf numFmtId="0" fontId="80" fillId="0" borderId="0" xfId="0" applyFont="1" applyAlignment="1">
      <alignment horizontal="center"/>
    </xf>
    <xf numFmtId="179" fontId="80" fillId="0" borderId="0" xfId="15" applyNumberFormat="1" applyFont="1" applyFill="1" applyBorder="1" applyAlignment="1">
      <alignment horizontal="center"/>
    </xf>
    <xf numFmtId="175" fontId="7" fillId="0" borderId="0" xfId="0" applyNumberFormat="1" applyFont="1"/>
    <xf numFmtId="10" fontId="0" fillId="0" borderId="0" xfId="15" applyNumberFormat="1" applyFont="1" applyBorder="1"/>
    <xf numFmtId="10" fontId="82" fillId="0" borderId="0" xfId="0" applyNumberFormat="1" applyFont="1"/>
    <xf numFmtId="0" fontId="7" fillId="0" borderId="211" xfId="0" applyFont="1" applyBorder="1" applyAlignment="1">
      <alignment horizontal="center"/>
    </xf>
    <xf numFmtId="0" fontId="0" fillId="47" borderId="0" xfId="0" applyFill="1"/>
    <xf numFmtId="10" fontId="80" fillId="47" borderId="0" xfId="15" applyNumberFormat="1" applyFont="1" applyFill="1" applyBorder="1" applyAlignment="1">
      <alignment horizontal="center"/>
    </xf>
    <xf numFmtId="3" fontId="0" fillId="47" borderId="0" xfId="0" applyNumberFormat="1" applyFill="1" applyAlignment="1">
      <alignment horizontal="center"/>
    </xf>
    <xf numFmtId="0" fontId="85" fillId="0" borderId="0" xfId="0" applyFont="1" applyAlignment="1">
      <alignment horizontal="center"/>
    </xf>
    <xf numFmtId="10" fontId="85" fillId="0" borderId="0" xfId="15" applyNumberFormat="1" applyFont="1" applyFill="1" applyBorder="1" applyAlignment="1">
      <alignment horizontal="right"/>
    </xf>
    <xf numFmtId="10" fontId="80" fillId="0" borderId="0" xfId="15" applyNumberFormat="1" applyFont="1" applyBorder="1"/>
    <xf numFmtId="10" fontId="80" fillId="0" borderId="0" xfId="15" applyNumberFormat="1" applyFont="1" applyFill="1" applyBorder="1" applyAlignment="1">
      <alignment horizontal="center"/>
    </xf>
    <xf numFmtId="10" fontId="80" fillId="0" borderId="0" xfId="15" applyNumberFormat="1" applyFont="1"/>
    <xf numFmtId="10" fontId="81" fillId="46" borderId="0" xfId="15" applyNumberFormat="1" applyFont="1" applyFill="1" applyBorder="1" applyAlignment="1">
      <alignment horizontal="center"/>
    </xf>
    <xf numFmtId="179" fontId="85" fillId="0" borderId="0" xfId="0" applyNumberFormat="1" applyFont="1" applyAlignment="1">
      <alignment horizontal="center"/>
    </xf>
    <xf numFmtId="10" fontId="81" fillId="0" borderId="0" xfId="15" applyNumberFormat="1" applyFont="1" applyFill="1" applyBorder="1" applyAlignment="1">
      <alignment horizontal="center"/>
    </xf>
    <xf numFmtId="0" fontId="12" fillId="0" borderId="213" xfId="0" applyFont="1" applyBorder="1" applyAlignment="1">
      <alignment horizontal="center"/>
    </xf>
    <xf numFmtId="3" fontId="0" fillId="0" borderId="213" xfId="0" applyNumberFormat="1" applyBorder="1" applyAlignment="1">
      <alignment horizontal="center"/>
    </xf>
    <xf numFmtId="179" fontId="80" fillId="0" borderId="213" xfId="15" applyNumberFormat="1" applyFont="1" applyFill="1" applyBorder="1" applyAlignment="1">
      <alignment horizontal="center"/>
    </xf>
    <xf numFmtId="179" fontId="85" fillId="0" borderId="213" xfId="0" applyNumberFormat="1" applyFont="1" applyBorder="1" applyAlignment="1">
      <alignment horizontal="center"/>
    </xf>
    <xf numFmtId="10" fontId="80" fillId="0" borderId="213" xfId="15" applyNumberFormat="1" applyFont="1" applyBorder="1"/>
    <xf numFmtId="10" fontId="81" fillId="46" borderId="213" xfId="15" applyNumberFormat="1" applyFont="1" applyFill="1" applyBorder="1" applyAlignment="1">
      <alignment horizontal="center"/>
    </xf>
    <xf numFmtId="10" fontId="80" fillId="0" borderId="213" xfId="15" applyNumberFormat="1" applyFont="1" applyFill="1" applyBorder="1" applyAlignment="1">
      <alignment horizontal="center"/>
    </xf>
    <xf numFmtId="0" fontId="76" fillId="0" borderId="0" xfId="0" applyFont="1"/>
    <xf numFmtId="0" fontId="86" fillId="0" borderId="0" xfId="0" applyFont="1"/>
    <xf numFmtId="0" fontId="64" fillId="0" borderId="0" xfId="0" applyFont="1" applyAlignment="1">
      <alignment horizontal="left" vertical="center" wrapText="1"/>
    </xf>
    <xf numFmtId="0" fontId="33" fillId="0" borderId="0" xfId="0" applyFont="1" applyAlignment="1">
      <alignment horizontal="left" vertical="center" wrapText="1"/>
    </xf>
    <xf numFmtId="0" fontId="33" fillId="0" borderId="0" xfId="0" applyFont="1" applyAlignment="1">
      <alignment horizontal="left" vertical="center"/>
    </xf>
    <xf numFmtId="4" fontId="33" fillId="0" borderId="0" xfId="0" applyNumberFormat="1" applyFont="1" applyAlignment="1">
      <alignment horizontal="right" vertical="center"/>
    </xf>
    <xf numFmtId="3" fontId="33" fillId="0" borderId="0" xfId="0" applyNumberFormat="1" applyFont="1" applyAlignment="1">
      <alignment horizontal="right" vertical="center"/>
    </xf>
    <xf numFmtId="0" fontId="33" fillId="0" borderId="0" xfId="0" applyFont="1" applyAlignment="1">
      <alignment wrapText="1"/>
    </xf>
    <xf numFmtId="4" fontId="33" fillId="0" borderId="0" xfId="0" applyNumberFormat="1" applyFont="1" applyAlignment="1">
      <alignment horizontal="right" vertical="center" wrapText="1"/>
    </xf>
    <xf numFmtId="3" fontId="33" fillId="0" borderId="0" xfId="0" applyNumberFormat="1" applyFont="1" applyAlignment="1">
      <alignment horizontal="right" vertical="center" wrapText="1"/>
    </xf>
    <xf numFmtId="0" fontId="9" fillId="0" borderId="0" xfId="34" applyFont="1" applyAlignment="1" applyProtection="1"/>
    <xf numFmtId="4" fontId="33" fillId="47" borderId="0" xfId="0" applyNumberFormat="1" applyFont="1" applyFill="1" applyAlignment="1">
      <alignment horizontal="right" vertical="center" wrapText="1"/>
    </xf>
    <xf numFmtId="3" fontId="33" fillId="47" borderId="0" xfId="0" applyNumberFormat="1" applyFont="1" applyFill="1" applyAlignment="1">
      <alignment horizontal="right" vertical="center" wrapText="1"/>
    </xf>
    <xf numFmtId="4" fontId="0" fillId="0" borderId="0" xfId="0" applyNumberFormat="1" applyAlignment="1">
      <alignment horizontal="center"/>
    </xf>
    <xf numFmtId="10" fontId="80" fillId="47" borderId="213" xfId="15" applyNumberFormat="1" applyFont="1" applyFill="1" applyBorder="1" applyAlignment="1">
      <alignment horizontal="center"/>
    </xf>
    <xf numFmtId="0" fontId="64" fillId="0" borderId="0" xfId="0" applyFont="1" applyAlignment="1">
      <alignment horizontal="left" vertical="center"/>
    </xf>
    <xf numFmtId="0" fontId="33" fillId="0" borderId="0" xfId="0" applyFont="1"/>
    <xf numFmtId="0" fontId="87" fillId="0" borderId="214" xfId="0" applyFont="1" applyBorder="1" applyAlignment="1">
      <alignment horizontal="center"/>
    </xf>
    <xf numFmtId="0" fontId="57" fillId="0" borderId="214" xfId="0" applyFont="1" applyBorder="1" applyAlignment="1">
      <alignment horizontal="center"/>
    </xf>
    <xf numFmtId="179" fontId="80" fillId="0" borderId="0" xfId="15" applyNumberFormat="1" applyFont="1" applyAlignment="1">
      <alignment horizontal="center"/>
    </xf>
    <xf numFmtId="3" fontId="62" fillId="39" borderId="166" xfId="0" applyNumberFormat="1" applyFont="1" applyFill="1" applyBorder="1" applyAlignment="1">
      <alignment horizontal="center" vertical="center"/>
    </xf>
    <xf numFmtId="179" fontId="80" fillId="0" borderId="0" xfId="0" applyNumberFormat="1" applyFont="1" applyAlignment="1">
      <alignment horizontal="center"/>
    </xf>
    <xf numFmtId="0" fontId="7" fillId="24" borderId="0" xfId="0" applyFont="1" applyFill="1" applyAlignment="1">
      <alignment horizontal="center" vertical="center"/>
    </xf>
    <xf numFmtId="3" fontId="0" fillId="46" borderId="0" xfId="0" applyNumberFormat="1" applyFill="1" applyAlignment="1">
      <alignment horizontal="center"/>
    </xf>
    <xf numFmtId="0" fontId="57" fillId="46" borderId="214" xfId="0" applyFont="1" applyFill="1" applyBorder="1" applyAlignment="1">
      <alignment horizontal="center"/>
    </xf>
    <xf numFmtId="179" fontId="81" fillId="46" borderId="0" xfId="15" applyNumberFormat="1" applyFont="1" applyFill="1" applyBorder="1" applyAlignment="1">
      <alignment horizontal="center"/>
    </xf>
    <xf numFmtId="10" fontId="0" fillId="46" borderId="0" xfId="15" applyNumberFormat="1" applyFont="1" applyFill="1"/>
    <xf numFmtId="10" fontId="80" fillId="0" borderId="0" xfId="0" applyNumberFormat="1" applyFont="1" applyAlignment="1">
      <alignment horizontal="center"/>
    </xf>
    <xf numFmtId="0" fontId="7" fillId="48" borderId="0" xfId="0" applyFont="1" applyFill="1" applyAlignment="1">
      <alignment horizontal="center"/>
    </xf>
    <xf numFmtId="0" fontId="7" fillId="48" borderId="0" xfId="0" applyFont="1" applyFill="1" applyAlignment="1">
      <alignment horizontal="center" vertical="center"/>
    </xf>
    <xf numFmtId="9" fontId="7" fillId="0" borderId="0" xfId="0" applyNumberFormat="1" applyFont="1" applyAlignment="1">
      <alignment horizontal="center"/>
    </xf>
    <xf numFmtId="0" fontId="12" fillId="48" borderId="0" xfId="0" applyFont="1" applyFill="1" applyAlignment="1">
      <alignment horizontal="center"/>
    </xf>
    <xf numFmtId="9" fontId="12" fillId="0" borderId="0" xfId="0" applyNumberFormat="1" applyFont="1" applyAlignment="1">
      <alignment horizontal="center"/>
    </xf>
    <xf numFmtId="10" fontId="7" fillId="0" borderId="0" xfId="0" applyNumberFormat="1" applyFont="1"/>
    <xf numFmtId="10" fontId="12" fillId="0" borderId="0" xfId="0" applyNumberFormat="1" applyFont="1"/>
    <xf numFmtId="9" fontId="7" fillId="0" borderId="0" xfId="0" applyNumberFormat="1" applyFont="1"/>
    <xf numFmtId="0" fontId="7" fillId="48" borderId="0" xfId="0" applyFont="1" applyFill="1" applyAlignment="1">
      <alignment wrapText="1"/>
    </xf>
    <xf numFmtId="0" fontId="7" fillId="8" borderId="23" xfId="0" applyFont="1" applyFill="1" applyBorder="1" applyAlignment="1">
      <alignment horizontal="left" vertical="center" wrapText="1"/>
    </xf>
    <xf numFmtId="164" fontId="0" fillId="0" borderId="0" xfId="33" applyFont="1" applyFill="1" applyBorder="1" applyAlignment="1">
      <alignment horizontal="center"/>
    </xf>
    <xf numFmtId="164" fontId="85" fillId="0" borderId="213" xfId="33" applyFont="1" applyFill="1" applyBorder="1" applyAlignment="1">
      <alignment horizontal="center"/>
    </xf>
    <xf numFmtId="164" fontId="85" fillId="46" borderId="213" xfId="33" applyFont="1" applyFill="1" applyBorder="1" applyAlignment="1">
      <alignment horizontal="center"/>
    </xf>
    <xf numFmtId="179" fontId="80" fillId="13" borderId="0" xfId="15" applyNumberFormat="1" applyFont="1" applyFill="1" applyBorder="1" applyAlignment="1">
      <alignment horizontal="center"/>
    </xf>
    <xf numFmtId="4" fontId="0" fillId="13" borderId="0" xfId="0" applyNumberFormat="1" applyFill="1" applyAlignment="1">
      <alignment horizontal="center"/>
    </xf>
    <xf numFmtId="10" fontId="85" fillId="0" borderId="0" xfId="15" applyNumberFormat="1" applyFont="1" applyFill="1" applyBorder="1" applyAlignment="1">
      <alignment horizontal="center"/>
    </xf>
    <xf numFmtId="10" fontId="81" fillId="49" borderId="0" xfId="15" applyNumberFormat="1" applyFont="1" applyFill="1" applyBorder="1" applyAlignment="1">
      <alignment horizontal="center"/>
    </xf>
    <xf numFmtId="10" fontId="0" fillId="36" borderId="115" xfId="15" applyNumberFormat="1" applyFont="1" applyFill="1" applyBorder="1" applyAlignment="1">
      <alignment horizontal="center"/>
    </xf>
    <xf numFmtId="0" fontId="80" fillId="0" borderId="0" xfId="0" applyFont="1"/>
    <xf numFmtId="0" fontId="0" fillId="0" borderId="51" xfId="0" applyBorder="1" applyAlignment="1">
      <alignment horizontal="center" vertical="center"/>
    </xf>
    <xf numFmtId="0" fontId="0" fillId="0" borderId="52" xfId="0" applyBorder="1" applyAlignment="1">
      <alignment horizontal="center" vertical="center"/>
    </xf>
    <xf numFmtId="4" fontId="7" fillId="8" borderId="123" xfId="7" applyFont="1" applyFill="1" applyBorder="1" applyAlignment="1">
      <alignment horizontal="center" vertical="center" wrapText="1"/>
    </xf>
    <xf numFmtId="4" fontId="7" fillId="3" borderId="123" xfId="7" applyFont="1" applyBorder="1" applyAlignment="1">
      <alignment horizontal="center" vertical="center" wrapText="1"/>
    </xf>
    <xf numFmtId="0" fontId="7" fillId="0" borderId="0" xfId="0" applyFont="1" applyAlignment="1">
      <alignment horizontal="center" vertical="center" wrapText="1"/>
    </xf>
    <xf numFmtId="171" fontId="7" fillId="8" borderId="123" xfId="6" applyFont="1" applyFill="1" applyBorder="1" applyAlignment="1">
      <alignment horizontal="center" wrapText="1"/>
    </xf>
    <xf numFmtId="10" fontId="7" fillId="24" borderId="19" xfId="15" applyNumberFormat="1" applyFont="1" applyFill="1" applyBorder="1" applyAlignment="1">
      <alignment horizontal="center"/>
    </xf>
    <xf numFmtId="10" fontId="7" fillId="8" borderId="23" xfId="15" applyNumberFormat="1" applyFont="1" applyFill="1" applyBorder="1" applyAlignment="1">
      <alignment horizontal="center"/>
    </xf>
    <xf numFmtId="2" fontId="7" fillId="24" borderId="23" xfId="15" applyNumberFormat="1" applyFont="1" applyFill="1" applyBorder="1" applyAlignment="1">
      <alignment horizontal="center"/>
    </xf>
    <xf numFmtId="0" fontId="7" fillId="9" borderId="19" xfId="0" applyFont="1" applyFill="1" applyBorder="1" applyAlignment="1">
      <alignment horizontal="center"/>
    </xf>
    <xf numFmtId="0" fontId="7" fillId="0" borderId="0" xfId="0" applyFont="1" applyAlignment="1">
      <alignment horizontal="center" vertical="center"/>
    </xf>
    <xf numFmtId="0" fontId="24" fillId="28" borderId="19" xfId="0" applyFont="1" applyFill="1" applyBorder="1" applyAlignment="1">
      <alignment horizontal="center"/>
    </xf>
    <xf numFmtId="0" fontId="7" fillId="28" borderId="19" xfId="0" applyFont="1" applyFill="1" applyBorder="1" applyAlignment="1">
      <alignment horizontal="center"/>
    </xf>
    <xf numFmtId="2" fontId="7" fillId="24" borderId="108" xfId="15" applyNumberFormat="1" applyFont="1" applyFill="1" applyBorder="1" applyAlignment="1">
      <alignment horizontal="center"/>
    </xf>
    <xf numFmtId="4" fontId="7" fillId="0" borderId="123" xfId="7" applyFont="1" applyFill="1" applyBorder="1" applyAlignment="1">
      <alignment horizontal="center" vertical="center" wrapText="1"/>
    </xf>
    <xf numFmtId="0" fontId="47" fillId="5" borderId="212" xfId="0" applyFont="1" applyFill="1" applyBorder="1" applyAlignment="1">
      <alignment horizontal="center"/>
    </xf>
    <xf numFmtId="0" fontId="26" fillId="32" borderId="212" xfId="0" applyFont="1" applyFill="1" applyBorder="1" applyAlignment="1">
      <alignment horizontal="center"/>
    </xf>
    <xf numFmtId="0" fontId="7" fillId="8" borderId="212" xfId="0" applyFont="1" applyFill="1" applyBorder="1" applyAlignment="1">
      <alignment horizontal="center" vertical="center" wrapText="1"/>
    </xf>
    <xf numFmtId="0" fontId="7" fillId="0" borderId="212" xfId="0" applyFont="1" applyBorder="1" applyAlignment="1">
      <alignment horizontal="center" vertical="center" wrapText="1"/>
    </xf>
    <xf numFmtId="10" fontId="7" fillId="51" borderId="107" xfId="15" applyNumberFormat="1" applyFont="1" applyFill="1" applyBorder="1" applyAlignment="1">
      <alignment horizontal="center"/>
    </xf>
    <xf numFmtId="170" fontId="7" fillId="51" borderId="106" xfId="0" applyNumberFormat="1" applyFont="1" applyFill="1" applyBorder="1" applyAlignment="1">
      <alignment horizontal="center"/>
    </xf>
    <xf numFmtId="2" fontId="7" fillId="51" borderId="108" xfId="0" applyNumberFormat="1" applyFont="1" applyFill="1" applyBorder="1" applyAlignment="1">
      <alignment horizontal="center"/>
    </xf>
    <xf numFmtId="2" fontId="7" fillId="51" borderId="106" xfId="0" applyNumberFormat="1" applyFont="1" applyFill="1" applyBorder="1" applyAlignment="1">
      <alignment horizontal="center"/>
    </xf>
    <xf numFmtId="2" fontId="7" fillId="51" borderId="108" xfId="0" applyNumberFormat="1" applyFont="1" applyFill="1" applyBorder="1" applyAlignment="1">
      <alignment horizontal="center" vertical="center"/>
    </xf>
    <xf numFmtId="9" fontId="7" fillId="51" borderId="107" xfId="15" applyFont="1" applyFill="1" applyBorder="1" applyAlignment="1">
      <alignment horizontal="center"/>
    </xf>
    <xf numFmtId="3" fontId="62" fillId="39" borderId="183" xfId="0" applyNumberFormat="1" applyFont="1" applyFill="1" applyBorder="1" applyAlignment="1">
      <alignment horizontal="center" vertical="center"/>
    </xf>
    <xf numFmtId="3" fontId="90" fillId="19" borderId="0" xfId="0" applyNumberFormat="1" applyFont="1" applyFill="1" applyAlignment="1">
      <alignment horizontal="center" vertical="center"/>
    </xf>
    <xf numFmtId="169" fontId="7" fillId="8" borderId="54" xfId="15" applyNumberFormat="1" applyFont="1" applyFill="1" applyBorder="1" applyAlignment="1">
      <alignment horizontal="center"/>
    </xf>
    <xf numFmtId="169" fontId="32" fillId="8" borderId="54" xfId="15" applyNumberFormat="1" applyFont="1" applyFill="1" applyBorder="1" applyAlignment="1">
      <alignment horizontal="center"/>
    </xf>
    <xf numFmtId="0" fontId="24" fillId="3" borderId="123" xfId="10" applyFont="1" applyBorder="1" applyAlignment="1">
      <alignment vertical="center"/>
    </xf>
    <xf numFmtId="0" fontId="24" fillId="0" borderId="123" xfId="25" applyFont="1" applyBorder="1" applyAlignment="1">
      <alignment horizontal="center"/>
    </xf>
    <xf numFmtId="0" fontId="24" fillId="0" borderId="123" xfId="25" applyFont="1" applyBorder="1" applyAlignment="1">
      <alignment vertical="center"/>
    </xf>
    <xf numFmtId="0" fontId="24" fillId="0" borderId="123" xfId="25" applyFont="1" applyBorder="1" applyAlignment="1">
      <alignment horizontal="center" vertical="center"/>
    </xf>
    <xf numFmtId="164" fontId="24" fillId="0" borderId="0" xfId="33" applyFont="1"/>
    <xf numFmtId="0" fontId="24" fillId="50" borderId="123" xfId="25" applyFont="1" applyFill="1" applyBorder="1" applyAlignment="1">
      <alignment horizontal="center"/>
    </xf>
    <xf numFmtId="3" fontId="68" fillId="12" borderId="165" xfId="0" applyNumberFormat="1" applyFont="1" applyFill="1" applyBorder="1" applyAlignment="1">
      <alignment horizontal="center" vertical="center"/>
    </xf>
    <xf numFmtId="1" fontId="7" fillId="12" borderId="188" xfId="0" applyNumberFormat="1" applyFont="1" applyFill="1" applyBorder="1" applyAlignment="1">
      <alignment horizontal="center" vertical="center"/>
    </xf>
    <xf numFmtId="1" fontId="24" fillId="12" borderId="47" xfId="0" applyNumberFormat="1" applyFont="1" applyFill="1" applyBorder="1" applyAlignment="1">
      <alignment horizontal="center" vertical="center"/>
    </xf>
    <xf numFmtId="0" fontId="7" fillId="0" borderId="26" xfId="0" applyFont="1" applyBorder="1"/>
    <xf numFmtId="0" fontId="7" fillId="0" borderId="25" xfId="0" applyFont="1" applyBorder="1"/>
    <xf numFmtId="0" fontId="7" fillId="0" borderId="26" xfId="0" quotePrefix="1" applyFont="1" applyBorder="1"/>
    <xf numFmtId="0" fontId="7" fillId="0" borderId="25" xfId="0" quotePrefix="1" applyFont="1" applyBorder="1"/>
    <xf numFmtId="0" fontId="91" fillId="0" borderId="0" xfId="34" applyAlignment="1" applyProtection="1"/>
    <xf numFmtId="0" fontId="26" fillId="9" borderId="194" xfId="0" applyFont="1" applyFill="1" applyBorder="1" applyAlignment="1">
      <alignment horizontal="center" vertical="center"/>
    </xf>
    <xf numFmtId="0" fontId="26" fillId="9" borderId="41" xfId="0" applyFont="1" applyFill="1" applyBorder="1" applyAlignment="1">
      <alignment horizontal="center" vertical="center"/>
    </xf>
    <xf numFmtId="0" fontId="47" fillId="5" borderId="54" xfId="0" applyFont="1" applyFill="1" applyBorder="1" applyAlignment="1">
      <alignment horizontal="center"/>
    </xf>
    <xf numFmtId="0" fontId="47" fillId="5" borderId="67" xfId="0" applyFont="1" applyFill="1" applyBorder="1" applyAlignment="1">
      <alignment horizontal="center"/>
    </xf>
    <xf numFmtId="0" fontId="26" fillId="32" borderId="54" xfId="0" applyFont="1" applyFill="1" applyBorder="1" applyAlignment="1">
      <alignment horizontal="center"/>
    </xf>
    <xf numFmtId="0" fontId="63" fillId="8" borderId="54" xfId="0" applyFont="1" applyFill="1" applyBorder="1" applyAlignment="1">
      <alignment horizontal="center"/>
    </xf>
    <xf numFmtId="0" fontId="26" fillId="8" borderId="54" xfId="0" applyFont="1" applyFill="1" applyBorder="1" applyAlignment="1">
      <alignment horizontal="center"/>
    </xf>
    <xf numFmtId="0" fontId="7" fillId="0" borderId="2" xfId="0" applyFont="1" applyBorder="1" applyAlignment="1">
      <alignment horizontal="left" vertical="top" wrapText="1"/>
    </xf>
    <xf numFmtId="0" fontId="7" fillId="0" borderId="66" xfId="0" applyFont="1" applyBorder="1" applyAlignment="1">
      <alignment horizontal="left" vertical="top" wrapText="1"/>
    </xf>
    <xf numFmtId="0" fontId="0" fillId="0" borderId="61" xfId="0" applyBorder="1" applyAlignment="1">
      <alignment horizontal="left" vertical="top" wrapText="1"/>
    </xf>
    <xf numFmtId="0" fontId="7" fillId="0" borderId="47" xfId="0" applyFont="1" applyBorder="1" applyAlignment="1">
      <alignment horizontal="left" vertical="top" wrapText="1"/>
    </xf>
    <xf numFmtId="0" fontId="7" fillId="0" borderId="62" xfId="0" applyFont="1" applyBorder="1" applyAlignment="1">
      <alignment horizontal="left" vertical="top" wrapText="1"/>
    </xf>
    <xf numFmtId="0" fontId="0" fillId="0" borderId="63" xfId="0" applyBorder="1" applyAlignment="1">
      <alignment horizontal="left" vertical="top" wrapText="1"/>
    </xf>
    <xf numFmtId="0" fontId="0" fillId="0" borderId="64" xfId="0" applyBorder="1" applyAlignment="1">
      <alignment horizontal="left" vertical="top" wrapText="1"/>
    </xf>
    <xf numFmtId="0" fontId="0" fillId="0" borderId="65" xfId="0" applyBorder="1" applyAlignment="1">
      <alignment horizontal="left" vertical="top" wrapText="1"/>
    </xf>
    <xf numFmtId="0" fontId="47" fillId="31" borderId="53" xfId="0" applyFont="1" applyFill="1" applyBorder="1" applyAlignment="1">
      <alignment horizontal="center"/>
    </xf>
    <xf numFmtId="0" fontId="47" fillId="31" borderId="54" xfId="0" applyFont="1" applyFill="1" applyBorder="1" applyAlignment="1">
      <alignment horizontal="center"/>
    </xf>
    <xf numFmtId="0" fontId="7" fillId="0" borderId="68" xfId="0" applyFont="1" applyBorder="1" applyAlignment="1">
      <alignment horizontal="left"/>
    </xf>
    <xf numFmtId="0" fontId="7" fillId="0" borderId="69" xfId="0" applyFont="1" applyBorder="1" applyAlignment="1">
      <alignment horizontal="left"/>
    </xf>
    <xf numFmtId="0" fontId="7" fillId="0" borderId="68" xfId="0" applyFont="1" applyBorder="1" applyAlignment="1">
      <alignment horizontal="left" indent="1"/>
    </xf>
    <xf numFmtId="0" fontId="7" fillId="0" borderId="69" xfId="0" applyFont="1" applyBorder="1" applyAlignment="1">
      <alignment horizontal="left" indent="1"/>
    </xf>
    <xf numFmtId="0" fontId="26" fillId="32" borderId="67" xfId="0" applyFont="1" applyFill="1" applyBorder="1" applyAlignment="1">
      <alignment horizontal="center"/>
    </xf>
    <xf numFmtId="0" fontId="46" fillId="18" borderId="10" xfId="0" applyFont="1" applyFill="1" applyBorder="1" applyAlignment="1">
      <alignment horizontal="center"/>
    </xf>
    <xf numFmtId="0" fontId="46" fillId="18" borderId="0" xfId="0" applyFont="1" applyFill="1" applyAlignment="1">
      <alignment horizontal="center"/>
    </xf>
    <xf numFmtId="0" fontId="46" fillId="18" borderId="12" xfId="0" applyFont="1" applyFill="1" applyBorder="1" applyAlignment="1">
      <alignment horizontal="center"/>
    </xf>
    <xf numFmtId="0" fontId="33" fillId="8" borderId="212" xfId="0" applyFont="1" applyFill="1" applyBorder="1" applyAlignment="1">
      <alignment horizontal="center" vertical="center" wrapText="1"/>
    </xf>
    <xf numFmtId="0" fontId="0" fillId="8" borderId="212" xfId="0" applyFill="1" applyBorder="1" applyAlignment="1">
      <alignment horizontal="center" vertical="center" wrapText="1"/>
    </xf>
    <xf numFmtId="167" fontId="89" fillId="0" borderId="212" xfId="0" applyNumberFormat="1" applyFont="1" applyBorder="1" applyAlignment="1">
      <alignment horizontal="center" vertical="center"/>
    </xf>
    <xf numFmtId="0" fontId="45" fillId="24" borderId="212" xfId="0" applyFont="1" applyFill="1" applyBorder="1" applyAlignment="1">
      <alignment horizontal="center" vertical="center" wrapText="1"/>
    </xf>
    <xf numFmtId="169" fontId="89" fillId="0" borderId="212" xfId="15" applyNumberFormat="1" applyFont="1" applyFill="1" applyBorder="1" applyAlignment="1">
      <alignment horizontal="center" vertical="center"/>
    </xf>
    <xf numFmtId="169" fontId="45" fillId="24" borderId="212" xfId="15" applyNumberFormat="1" applyFont="1" applyFill="1" applyBorder="1" applyAlignment="1">
      <alignment horizontal="center" vertical="center"/>
    </xf>
    <xf numFmtId="9" fontId="88" fillId="0" borderId="212" xfId="15" applyFont="1" applyFill="1" applyBorder="1" applyAlignment="1">
      <alignment horizontal="center" vertical="center"/>
    </xf>
    <xf numFmtId="0" fontId="7" fillId="8" borderId="212" xfId="0" applyFont="1" applyFill="1" applyBorder="1" applyAlignment="1">
      <alignment horizontal="center" vertical="center" wrapText="1"/>
    </xf>
    <xf numFmtId="0" fontId="47" fillId="5" borderId="212" xfId="0" applyFont="1" applyFill="1" applyBorder="1" applyAlignment="1">
      <alignment horizontal="center"/>
    </xf>
    <xf numFmtId="0" fontId="26" fillId="32" borderId="212" xfId="0" applyFont="1" applyFill="1" applyBorder="1" applyAlignment="1">
      <alignment horizontal="center"/>
    </xf>
    <xf numFmtId="0" fontId="7" fillId="8" borderId="26" xfId="0" applyFont="1" applyFill="1" applyBorder="1" applyAlignment="1">
      <alignment horizontal="left" vertical="center"/>
    </xf>
    <xf numFmtId="0" fontId="7" fillId="8" borderId="25" xfId="0" applyFont="1" applyFill="1" applyBorder="1" applyAlignment="1">
      <alignment horizontal="left" vertical="center"/>
    </xf>
    <xf numFmtId="9" fontId="12" fillId="8" borderId="26" xfId="15" applyFont="1" applyFill="1" applyBorder="1" applyAlignment="1">
      <alignment horizontal="left"/>
    </xf>
    <xf numFmtId="9" fontId="12" fillId="8" borderId="25" xfId="15" applyFont="1" applyFill="1" applyBorder="1" applyAlignment="1">
      <alignment horizontal="left"/>
    </xf>
    <xf numFmtId="0" fontId="8" fillId="28" borderId="212" xfId="0" applyFont="1" applyFill="1" applyBorder="1" applyAlignment="1">
      <alignment horizontal="center" vertical="center" wrapText="1"/>
    </xf>
    <xf numFmtId="0" fontId="12" fillId="0" borderId="212" xfId="0" applyFont="1" applyBorder="1" applyAlignment="1">
      <alignment horizontal="center" vertical="center" wrapText="1"/>
    </xf>
    <xf numFmtId="0" fontId="20" fillId="0" borderId="22" xfId="0" applyFont="1" applyBorder="1" applyAlignment="1">
      <alignment horizontal="center" wrapText="1"/>
    </xf>
    <xf numFmtId="0" fontId="20" fillId="0" borderId="26" xfId="0" applyFont="1" applyBorder="1" applyAlignment="1">
      <alignment horizontal="center" wrapText="1"/>
    </xf>
    <xf numFmtId="0" fontId="20" fillId="0" borderId="22" xfId="0" applyFont="1" applyBorder="1" applyAlignment="1">
      <alignment horizontal="center" vertical="center" wrapText="1"/>
    </xf>
    <xf numFmtId="0" fontId="20" fillId="0" borderId="26" xfId="0" applyFont="1" applyBorder="1" applyAlignment="1">
      <alignment horizontal="center" vertical="center" wrapText="1"/>
    </xf>
    <xf numFmtId="0" fontId="47" fillId="5" borderId="33" xfId="0" applyFont="1" applyFill="1" applyBorder="1" applyAlignment="1">
      <alignment horizontal="center"/>
    </xf>
    <xf numFmtId="0" fontId="47" fillId="5" borderId="43" xfId="0" applyFont="1" applyFill="1" applyBorder="1" applyAlignment="1">
      <alignment horizontal="center"/>
    </xf>
    <xf numFmtId="0" fontId="47" fillId="5" borderId="22" xfId="0" applyFont="1" applyFill="1" applyBorder="1" applyAlignment="1">
      <alignment horizontal="center"/>
    </xf>
    <xf numFmtId="0" fontId="47" fillId="5" borderId="19" xfId="0" applyFont="1" applyFill="1" applyBorder="1" applyAlignment="1">
      <alignment horizontal="center"/>
    </xf>
    <xf numFmtId="0" fontId="47" fillId="5" borderId="28" xfId="0" applyFont="1" applyFill="1" applyBorder="1" applyAlignment="1">
      <alignment horizontal="center"/>
    </xf>
    <xf numFmtId="0" fontId="12" fillId="0" borderId="24" xfId="0" applyFont="1" applyBorder="1" applyAlignment="1">
      <alignment horizontal="center"/>
    </xf>
    <xf numFmtId="0" fontId="12" fillId="0" borderId="25" xfId="0" applyFont="1" applyBorder="1" applyAlignment="1">
      <alignment horizontal="center"/>
    </xf>
    <xf numFmtId="0" fontId="47" fillId="5" borderId="27" xfId="0" applyFont="1" applyFill="1" applyBorder="1" applyAlignment="1">
      <alignment horizontal="center"/>
    </xf>
    <xf numFmtId="0" fontId="8" fillId="0" borderId="57" xfId="0" applyFont="1" applyBorder="1" applyAlignment="1">
      <alignment horizontal="center" vertical="center"/>
    </xf>
    <xf numFmtId="0" fontId="8" fillId="0" borderId="18" xfId="0" applyFont="1" applyBorder="1" applyAlignment="1">
      <alignment horizontal="center" vertical="center"/>
    </xf>
    <xf numFmtId="0" fontId="8" fillId="0" borderId="58" xfId="0" applyFont="1" applyBorder="1" applyAlignment="1">
      <alignment horizontal="center" vertical="center"/>
    </xf>
    <xf numFmtId="0" fontId="26" fillId="32" borderId="33" xfId="0" applyFont="1" applyFill="1" applyBorder="1" applyAlignment="1">
      <alignment horizontal="center"/>
    </xf>
    <xf numFmtId="0" fontId="26" fillId="32" borderId="27" xfId="0" applyFont="1" applyFill="1" applyBorder="1" applyAlignment="1">
      <alignment horizontal="center"/>
    </xf>
    <xf numFmtId="0" fontId="26" fillId="32" borderId="26" xfId="0" applyFont="1" applyFill="1" applyBorder="1" applyAlignment="1">
      <alignment horizontal="center"/>
    </xf>
    <xf numFmtId="0" fontId="26" fillId="32" borderId="24" xfId="0" applyFont="1" applyFill="1" applyBorder="1" applyAlignment="1">
      <alignment horizontal="center"/>
    </xf>
    <xf numFmtId="14" fontId="12" fillId="0" borderId="26" xfId="0" applyNumberFormat="1" applyFont="1" applyBorder="1" applyAlignment="1">
      <alignment horizontal="center"/>
    </xf>
    <xf numFmtId="14" fontId="12" fillId="0" borderId="25" xfId="0" applyNumberFormat="1" applyFont="1" applyBorder="1" applyAlignment="1">
      <alignment horizontal="center"/>
    </xf>
    <xf numFmtId="0" fontId="67" fillId="8" borderId="19" xfId="0" applyFont="1" applyFill="1" applyBorder="1" applyAlignment="1">
      <alignment horizontal="center" vertical="center" wrapText="1"/>
    </xf>
    <xf numFmtId="0" fontId="47" fillId="31" borderId="29" xfId="0" applyFont="1" applyFill="1" applyBorder="1" applyAlignment="1">
      <alignment horizontal="center" vertical="center" wrapText="1"/>
    </xf>
    <xf numFmtId="0" fontId="47" fillId="31" borderId="55" xfId="0" applyFont="1" applyFill="1" applyBorder="1" applyAlignment="1">
      <alignment horizontal="center" vertical="center" wrapText="1"/>
    </xf>
    <xf numFmtId="0" fontId="47" fillId="5" borderId="48" xfId="0" applyFont="1" applyFill="1" applyBorder="1" applyAlignment="1">
      <alignment horizontal="center"/>
    </xf>
    <xf numFmtId="0" fontId="47" fillId="5" borderId="49" xfId="0" applyFont="1" applyFill="1" applyBorder="1" applyAlignment="1">
      <alignment horizontal="center"/>
    </xf>
    <xf numFmtId="0" fontId="47" fillId="5" borderId="50" xfId="0" applyFont="1" applyFill="1" applyBorder="1" applyAlignment="1">
      <alignment horizontal="center"/>
    </xf>
    <xf numFmtId="0" fontId="7" fillId="0" borderId="26" xfId="0" applyFont="1" applyBorder="1" applyAlignment="1">
      <alignment horizontal="left" vertical="center"/>
    </xf>
    <xf numFmtId="0" fontId="7" fillId="0" borderId="25" xfId="0" applyFont="1" applyBorder="1" applyAlignment="1">
      <alignment horizontal="left" vertical="center"/>
    </xf>
    <xf numFmtId="0" fontId="46" fillId="18" borderId="51" xfId="0" applyFont="1" applyFill="1" applyBorder="1" applyAlignment="1">
      <alignment horizontal="center"/>
    </xf>
    <xf numFmtId="0" fontId="7" fillId="0" borderId="170" xfId="0" quotePrefix="1" applyFont="1" applyBorder="1" applyAlignment="1">
      <alignment horizontal="center" vertical="center" wrapText="1"/>
    </xf>
    <xf numFmtId="0" fontId="7" fillId="0" borderId="171" xfId="0" quotePrefix="1" applyFont="1" applyBorder="1" applyAlignment="1">
      <alignment horizontal="center" vertical="center" wrapText="1"/>
    </xf>
    <xf numFmtId="0" fontId="7" fillId="0" borderId="0" xfId="0" quotePrefix="1" applyFont="1" applyAlignment="1">
      <alignment horizontal="center" vertical="center" wrapText="1"/>
    </xf>
    <xf numFmtId="0" fontId="7" fillId="0" borderId="172" xfId="0" quotePrefix="1" applyFont="1" applyBorder="1" applyAlignment="1">
      <alignment horizontal="center" vertical="center" wrapText="1"/>
    </xf>
    <xf numFmtId="0" fontId="7" fillId="0" borderId="173" xfId="0" quotePrefix="1" applyFont="1" applyBorder="1" applyAlignment="1">
      <alignment horizontal="center" vertical="center" wrapText="1"/>
    </xf>
    <xf numFmtId="0" fontId="7" fillId="0" borderId="174" xfId="0" quotePrefix="1" applyFont="1" applyBorder="1" applyAlignment="1">
      <alignment horizontal="center" vertical="center" wrapText="1"/>
    </xf>
    <xf numFmtId="0" fontId="7" fillId="0" borderId="90" xfId="0" quotePrefix="1" applyFont="1" applyBorder="1" applyAlignment="1">
      <alignment horizontal="center" vertical="center" wrapText="1"/>
    </xf>
    <xf numFmtId="0" fontId="7" fillId="0" borderId="69" xfId="0" quotePrefix="1" applyFont="1" applyBorder="1" applyAlignment="1">
      <alignment horizontal="center" vertical="center" wrapText="1"/>
    </xf>
    <xf numFmtId="0" fontId="7" fillId="0" borderId="175" xfId="0" applyFont="1" applyBorder="1" applyAlignment="1">
      <alignment horizontal="center" vertical="center" wrapText="1"/>
    </xf>
    <xf numFmtId="0" fontId="7" fillId="0" borderId="170" xfId="0" applyFont="1" applyBorder="1" applyAlignment="1">
      <alignment horizontal="center" vertical="center" wrapText="1"/>
    </xf>
    <xf numFmtId="0" fontId="7" fillId="0" borderId="171" xfId="0" applyFont="1" applyBorder="1" applyAlignment="1">
      <alignment horizontal="center" vertical="center" wrapText="1"/>
    </xf>
    <xf numFmtId="0" fontId="7" fillId="0" borderId="176" xfId="0" applyFont="1" applyBorder="1" applyAlignment="1">
      <alignment horizontal="center" vertical="center" wrapText="1"/>
    </xf>
    <xf numFmtId="0" fontId="7" fillId="0" borderId="0" xfId="0" applyFont="1" applyAlignment="1">
      <alignment horizontal="center" vertical="center" wrapText="1"/>
    </xf>
    <xf numFmtId="0" fontId="7" fillId="0" borderId="172" xfId="0" applyFont="1" applyBorder="1" applyAlignment="1">
      <alignment horizontal="center" vertical="center" wrapText="1"/>
    </xf>
    <xf numFmtId="0" fontId="7" fillId="0" borderId="177" xfId="0" applyFont="1" applyBorder="1" applyAlignment="1">
      <alignment horizontal="center" vertical="center" wrapText="1"/>
    </xf>
    <xf numFmtId="0" fontId="7" fillId="0" borderId="173" xfId="0" applyFont="1" applyBorder="1" applyAlignment="1">
      <alignment horizontal="center" vertical="center" wrapText="1"/>
    </xf>
    <xf numFmtId="0" fontId="7" fillId="0" borderId="174" xfId="0" applyFont="1" applyBorder="1" applyAlignment="1">
      <alignment horizontal="center" vertical="center" wrapText="1"/>
    </xf>
    <xf numFmtId="0" fontId="26" fillId="32" borderId="53" xfId="0" applyFont="1" applyFill="1" applyBorder="1" applyAlignment="1">
      <alignment horizontal="center"/>
    </xf>
    <xf numFmtId="0" fontId="47" fillId="5" borderId="53" xfId="0" applyFont="1" applyFill="1" applyBorder="1" applyAlignment="1">
      <alignment horizontal="center"/>
    </xf>
    <xf numFmtId="0" fontId="63" fillId="8" borderId="175" xfId="0" applyFont="1" applyFill="1" applyBorder="1" applyAlignment="1">
      <alignment horizontal="center"/>
    </xf>
    <xf numFmtId="0" fontId="63" fillId="8" borderId="170" xfId="0" applyFont="1" applyFill="1" applyBorder="1" applyAlignment="1">
      <alignment horizontal="center"/>
    </xf>
    <xf numFmtId="0" fontId="63" fillId="8" borderId="215" xfId="0" applyFont="1" applyFill="1" applyBorder="1" applyAlignment="1">
      <alignment horizontal="center"/>
    </xf>
    <xf numFmtId="0" fontId="63" fillId="8" borderId="176" xfId="0" applyFont="1" applyFill="1" applyBorder="1" applyAlignment="1">
      <alignment horizontal="center"/>
    </xf>
    <xf numFmtId="0" fontId="63" fillId="8" borderId="0" xfId="0" applyFont="1" applyFill="1" applyAlignment="1">
      <alignment horizontal="center"/>
    </xf>
    <xf numFmtId="0" fontId="63" fillId="8" borderId="12" xfId="0" applyFont="1" applyFill="1" applyBorder="1" applyAlignment="1">
      <alignment horizontal="center"/>
    </xf>
    <xf numFmtId="0" fontId="63" fillId="8" borderId="177" xfId="0" applyFont="1" applyFill="1" applyBorder="1" applyAlignment="1">
      <alignment horizontal="center"/>
    </xf>
    <xf numFmtId="0" fontId="63" fillId="8" borderId="173" xfId="0" applyFont="1" applyFill="1" applyBorder="1" applyAlignment="1">
      <alignment horizontal="center"/>
    </xf>
    <xf numFmtId="0" fontId="63" fillId="8" borderId="216" xfId="0" applyFont="1" applyFill="1" applyBorder="1" applyAlignment="1">
      <alignment horizontal="center"/>
    </xf>
    <xf numFmtId="0" fontId="12" fillId="0" borderId="68" xfId="0" applyFont="1" applyBorder="1" applyAlignment="1">
      <alignment horizontal="left"/>
    </xf>
    <xf numFmtId="0" fontId="12" fillId="0" borderId="69" xfId="0" applyFont="1" applyBorder="1" applyAlignment="1">
      <alignment horizontal="left"/>
    </xf>
    <xf numFmtId="0" fontId="0" fillId="0" borderId="68" xfId="0" applyBorder="1" applyAlignment="1">
      <alignment horizontal="left"/>
    </xf>
    <xf numFmtId="0" fontId="0" fillId="0" borderId="69" xfId="0" applyBorder="1" applyAlignment="1">
      <alignment horizontal="left"/>
    </xf>
    <xf numFmtId="0" fontId="7" fillId="16" borderId="68" xfId="0" applyFont="1" applyFill="1" applyBorder="1" applyAlignment="1">
      <alignment horizontal="left"/>
    </xf>
    <xf numFmtId="0" fontId="7" fillId="16" borderId="69" xfId="0" applyFont="1" applyFill="1" applyBorder="1" applyAlignment="1">
      <alignment horizontal="left"/>
    </xf>
    <xf numFmtId="0" fontId="0" fillId="0" borderId="51" xfId="0" applyBorder="1" applyAlignment="1">
      <alignment horizontal="center" vertical="center" wrapText="1"/>
    </xf>
    <xf numFmtId="0" fontId="0" fillId="0" borderId="0" xfId="0" applyAlignment="1">
      <alignment horizontal="center" vertical="center" wrapText="1"/>
    </xf>
    <xf numFmtId="0" fontId="0" fillId="0" borderId="52" xfId="0" applyBorder="1" applyAlignment="1">
      <alignment horizontal="center" vertical="center" wrapText="1"/>
    </xf>
    <xf numFmtId="0" fontId="12" fillId="0" borderId="91" xfId="0" applyFont="1" applyBorder="1" applyAlignment="1">
      <alignment horizontal="center"/>
    </xf>
    <xf numFmtId="0" fontId="12" fillId="0" borderId="93" xfId="0" applyFont="1" applyBorder="1" applyAlignment="1">
      <alignment horizontal="center"/>
    </xf>
    <xf numFmtId="0" fontId="12" fillId="0" borderId="92" xfId="0" applyFont="1" applyBorder="1" applyAlignment="1">
      <alignment horizontal="center"/>
    </xf>
    <xf numFmtId="0" fontId="30" fillId="5" borderId="78" xfId="0" applyFont="1" applyFill="1" applyBorder="1" applyAlignment="1">
      <alignment horizontal="center" vertical="center"/>
    </xf>
    <xf numFmtId="0" fontId="30" fillId="5" borderId="79" xfId="0" applyFont="1" applyFill="1" applyBorder="1" applyAlignment="1">
      <alignment horizontal="center" vertical="center"/>
    </xf>
    <xf numFmtId="0" fontId="30" fillId="5" borderId="82" xfId="0" applyFont="1" applyFill="1" applyBorder="1" applyAlignment="1">
      <alignment horizontal="center" vertical="center"/>
    </xf>
    <xf numFmtId="0" fontId="12" fillId="0" borderId="88" xfId="0" applyFont="1" applyBorder="1" applyAlignment="1">
      <alignment horizontal="center"/>
    </xf>
    <xf numFmtId="0" fontId="12" fillId="0" borderId="90" xfId="0" applyFont="1" applyBorder="1" applyAlignment="1">
      <alignment horizontal="center"/>
    </xf>
    <xf numFmtId="0" fontId="12" fillId="0" borderId="89" xfId="0" applyFont="1" applyBorder="1" applyAlignment="1">
      <alignment horizontal="center"/>
    </xf>
    <xf numFmtId="10" fontId="12" fillId="0" borderId="88" xfId="15" applyNumberFormat="1" applyFont="1" applyBorder="1" applyAlignment="1">
      <alignment horizontal="center"/>
    </xf>
    <xf numFmtId="10" fontId="12" fillId="0" borderId="90" xfId="15" applyNumberFormat="1" applyFont="1" applyBorder="1" applyAlignment="1">
      <alignment horizontal="center"/>
    </xf>
    <xf numFmtId="10" fontId="12" fillId="0" borderId="89" xfId="15" applyNumberFormat="1" applyFont="1" applyBorder="1" applyAlignment="1">
      <alignment horizontal="center"/>
    </xf>
    <xf numFmtId="0" fontId="12" fillId="14" borderId="78" xfId="0" applyFont="1" applyFill="1" applyBorder="1" applyAlignment="1">
      <alignment horizontal="center"/>
    </xf>
    <xf numFmtId="0" fontId="12" fillId="14" borderId="79" xfId="0" applyFont="1" applyFill="1" applyBorder="1" applyAlignment="1">
      <alignment horizontal="center"/>
    </xf>
    <xf numFmtId="0" fontId="12" fillId="14" borderId="80" xfId="0" applyFont="1" applyFill="1" applyBorder="1" applyAlignment="1">
      <alignment horizontal="center"/>
    </xf>
    <xf numFmtId="0" fontId="12" fillId="24" borderId="83" xfId="0" applyFont="1" applyFill="1" applyBorder="1" applyAlignment="1">
      <alignment horizontal="center"/>
    </xf>
    <xf numFmtId="0" fontId="12" fillId="24" borderId="84" xfId="0" applyFont="1" applyFill="1" applyBorder="1" applyAlignment="1">
      <alignment horizontal="center"/>
    </xf>
    <xf numFmtId="0" fontId="9" fillId="0" borderId="88" xfId="34" applyFont="1" applyBorder="1" applyAlignment="1" applyProtection="1">
      <alignment horizontal="center"/>
    </xf>
    <xf numFmtId="0" fontId="44" fillId="0" borderId="89" xfId="0" applyFont="1" applyBorder="1" applyAlignment="1">
      <alignment horizontal="center"/>
    </xf>
    <xf numFmtId="0" fontId="30" fillId="5" borderId="78" xfId="0" applyFont="1" applyFill="1" applyBorder="1" applyAlignment="1">
      <alignment horizontal="center"/>
    </xf>
    <xf numFmtId="0" fontId="30" fillId="5" borderId="79" xfId="0" applyFont="1" applyFill="1" applyBorder="1" applyAlignment="1">
      <alignment horizontal="center"/>
    </xf>
    <xf numFmtId="0" fontId="30" fillId="5" borderId="80" xfId="0" applyFont="1" applyFill="1" applyBorder="1" applyAlignment="1">
      <alignment horizontal="center"/>
    </xf>
    <xf numFmtId="0" fontId="7" fillId="0" borderId="88" xfId="0" applyFont="1" applyBorder="1" applyAlignment="1">
      <alignment horizontal="center" vertical="center"/>
    </xf>
    <xf numFmtId="0" fontId="0" fillId="0" borderId="89" xfId="0" applyBorder="1" applyAlignment="1">
      <alignment horizontal="center" vertical="center"/>
    </xf>
    <xf numFmtId="0" fontId="12" fillId="24" borderId="85" xfId="0" applyFont="1" applyFill="1" applyBorder="1" applyAlignment="1">
      <alignment horizontal="center"/>
    </xf>
    <xf numFmtId="0" fontId="12" fillId="24" borderId="86" xfId="0" applyFont="1" applyFill="1" applyBorder="1" applyAlignment="1">
      <alignment horizontal="center"/>
    </xf>
    <xf numFmtId="0" fontId="12" fillId="24" borderId="87" xfId="0" applyFont="1" applyFill="1" applyBorder="1" applyAlignment="1">
      <alignment horizontal="center"/>
    </xf>
    <xf numFmtId="10" fontId="12" fillId="0" borderId="91" xfId="15" applyNumberFormat="1" applyFont="1" applyBorder="1" applyAlignment="1">
      <alignment horizontal="center"/>
    </xf>
    <xf numFmtId="10" fontId="12" fillId="0" borderId="93" xfId="15" applyNumberFormat="1" applyFont="1" applyBorder="1" applyAlignment="1">
      <alignment horizontal="center"/>
    </xf>
    <xf numFmtId="10" fontId="12" fillId="0" borderId="92" xfId="15" applyNumberFormat="1" applyFont="1" applyBorder="1" applyAlignment="1">
      <alignment horizontal="center"/>
    </xf>
    <xf numFmtId="0" fontId="8" fillId="0" borderId="78" xfId="0" applyFont="1" applyBorder="1" applyAlignment="1">
      <alignment horizontal="center" vertical="center"/>
    </xf>
    <xf numFmtId="0" fontId="8" fillId="0" borderId="80" xfId="0" applyFont="1" applyBorder="1" applyAlignment="1">
      <alignment horizontal="center" vertical="center"/>
    </xf>
    <xf numFmtId="0" fontId="7" fillId="0" borderId="91" xfId="0" applyFont="1" applyBorder="1" applyAlignment="1">
      <alignment horizontal="center" vertical="center"/>
    </xf>
    <xf numFmtId="0" fontId="0" fillId="0" borderId="92" xfId="0" applyBorder="1" applyAlignment="1">
      <alignment horizontal="center" vertical="center"/>
    </xf>
    <xf numFmtId="0" fontId="44" fillId="0" borderId="88" xfId="0" applyFont="1" applyBorder="1" applyAlignment="1">
      <alignment horizontal="center"/>
    </xf>
    <xf numFmtId="0" fontId="7" fillId="0" borderId="88" xfId="0" applyFont="1" applyBorder="1" applyAlignment="1">
      <alignment horizontal="center" vertical="center" wrapText="1"/>
    </xf>
    <xf numFmtId="0" fontId="7" fillId="0" borderId="90" xfId="0" applyFont="1" applyBorder="1" applyAlignment="1">
      <alignment horizontal="center" vertical="center" wrapText="1"/>
    </xf>
    <xf numFmtId="0" fontId="7" fillId="0" borderId="89" xfId="0" applyFont="1" applyBorder="1" applyAlignment="1">
      <alignment horizontal="center" vertical="center" wrapText="1"/>
    </xf>
    <xf numFmtId="0" fontId="7" fillId="0" borderId="90" xfId="0" applyFont="1" applyBorder="1" applyAlignment="1">
      <alignment horizontal="center" vertical="center"/>
    </xf>
    <xf numFmtId="0" fontId="7" fillId="0" borderId="89" xfId="0" applyFont="1" applyBorder="1" applyAlignment="1">
      <alignment horizontal="center" vertical="center"/>
    </xf>
    <xf numFmtId="0" fontId="30" fillId="5" borderId="51" xfId="0" applyFont="1" applyFill="1" applyBorder="1" applyAlignment="1">
      <alignment horizontal="center"/>
    </xf>
    <xf numFmtId="0" fontId="30" fillId="5" borderId="0" xfId="0" applyFont="1" applyFill="1" applyAlignment="1">
      <alignment horizontal="center"/>
    </xf>
    <xf numFmtId="0" fontId="30" fillId="5" borderId="52" xfId="0" applyFont="1" applyFill="1" applyBorder="1" applyAlignment="1">
      <alignment horizontal="center"/>
    </xf>
    <xf numFmtId="0" fontId="46" fillId="5" borderId="0" xfId="0" applyFont="1" applyFill="1" applyAlignment="1">
      <alignment horizontal="center"/>
    </xf>
    <xf numFmtId="0" fontId="30" fillId="18" borderId="51" xfId="0" applyFont="1" applyFill="1" applyBorder="1" applyAlignment="1">
      <alignment horizontal="center"/>
    </xf>
    <xf numFmtId="0" fontId="30" fillId="18" borderId="0" xfId="0" applyFont="1" applyFill="1" applyAlignment="1">
      <alignment horizontal="center"/>
    </xf>
    <xf numFmtId="0" fontId="46" fillId="5" borderId="73" xfId="0" applyFont="1" applyFill="1" applyBorder="1" applyAlignment="1">
      <alignment horizontal="center"/>
    </xf>
    <xf numFmtId="0" fontId="46" fillId="5" borderId="74" xfId="0" applyFont="1" applyFill="1" applyBorder="1" applyAlignment="1">
      <alignment horizontal="center"/>
    </xf>
    <xf numFmtId="0" fontId="0" fillId="0" borderId="104" xfId="0" applyBorder="1" applyAlignment="1">
      <alignment horizontal="center" vertical="center" wrapText="1"/>
    </xf>
    <xf numFmtId="0" fontId="0" fillId="0" borderId="40" xfId="0" applyBorder="1" applyAlignment="1">
      <alignment horizontal="center" vertical="center" wrapText="1"/>
    </xf>
    <xf numFmtId="0" fontId="33" fillId="0" borderId="104" xfId="0" applyFont="1" applyBorder="1" applyAlignment="1">
      <alignment horizontal="center" vertical="center" wrapText="1"/>
    </xf>
    <xf numFmtId="0" fontId="0" fillId="0" borderId="105" xfId="0" applyBorder="1" applyAlignment="1">
      <alignment horizontal="center" vertical="center" wrapText="1"/>
    </xf>
    <xf numFmtId="0" fontId="0" fillId="0" borderId="77" xfId="0" applyBorder="1" applyAlignment="1">
      <alignment horizontal="center" vertical="center" wrapText="1"/>
    </xf>
    <xf numFmtId="0" fontId="30" fillId="5" borderId="73" xfId="0" applyFont="1" applyFill="1" applyBorder="1" applyAlignment="1">
      <alignment horizontal="center"/>
    </xf>
    <xf numFmtId="0" fontId="30" fillId="5" borderId="74" xfId="0" applyFont="1" applyFill="1" applyBorder="1" applyAlignment="1">
      <alignment horizontal="center"/>
    </xf>
    <xf numFmtId="0" fontId="46" fillId="5" borderId="79" xfId="0" applyFont="1" applyFill="1" applyBorder="1" applyAlignment="1">
      <alignment horizontal="center"/>
    </xf>
    <xf numFmtId="0" fontId="46" fillId="5" borderId="80" xfId="0" applyFont="1" applyFill="1" applyBorder="1" applyAlignment="1">
      <alignment horizontal="center"/>
    </xf>
    <xf numFmtId="0" fontId="50" fillId="5" borderId="70" xfId="0" applyFont="1" applyFill="1" applyBorder="1" applyAlignment="1">
      <alignment horizontal="center"/>
    </xf>
    <xf numFmtId="0" fontId="33"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74" fillId="0" borderId="120" xfId="0" applyFont="1" applyBorder="1" applyAlignment="1">
      <alignment horizontal="center" vertical="center" wrapText="1"/>
    </xf>
    <xf numFmtId="0" fontId="22" fillId="0" borderId="121" xfId="0" applyFont="1" applyBorder="1" applyAlignment="1">
      <alignment horizontal="center" vertical="center" wrapText="1"/>
    </xf>
    <xf numFmtId="0" fontId="22" fillId="0" borderId="122" xfId="0" applyFont="1" applyBorder="1" applyAlignment="1">
      <alignment horizontal="center" vertical="center" wrapText="1"/>
    </xf>
    <xf numFmtId="0" fontId="73" fillId="0" borderId="32" xfId="0" applyFont="1" applyBorder="1" applyAlignment="1">
      <alignment horizontal="center" wrapText="1"/>
    </xf>
    <xf numFmtId="0" fontId="71" fillId="0" borderId="32" xfId="0" applyFont="1" applyBorder="1" applyAlignment="1">
      <alignment horizontal="center" wrapText="1"/>
    </xf>
    <xf numFmtId="0" fontId="71" fillId="0" borderId="203" xfId="0" applyFont="1" applyBorder="1" applyAlignment="1">
      <alignment horizontal="center" wrapText="1"/>
    </xf>
    <xf numFmtId="0" fontId="73" fillId="0" borderId="206" xfId="0" applyFont="1" applyBorder="1" applyAlignment="1">
      <alignment horizontal="center" wrapText="1"/>
    </xf>
    <xf numFmtId="0" fontId="72" fillId="0" borderId="32" xfId="0" applyFont="1" applyBorder="1" applyAlignment="1">
      <alignment horizontal="center" wrapText="1"/>
    </xf>
    <xf numFmtId="0" fontId="72" fillId="0" borderId="203" xfId="0" applyFont="1" applyBorder="1" applyAlignment="1">
      <alignment horizontal="center" wrapText="1"/>
    </xf>
    <xf numFmtId="0" fontId="73" fillId="0" borderId="207" xfId="0" applyFont="1" applyBorder="1" applyAlignment="1">
      <alignment horizontal="center" wrapText="1"/>
    </xf>
    <xf numFmtId="0" fontId="71" fillId="0" borderId="204" xfId="0" applyFont="1" applyBorder="1" applyAlignment="1">
      <alignment horizontal="center" wrapText="1"/>
    </xf>
    <xf numFmtId="0" fontId="71" fillId="0" borderId="205" xfId="0" applyFont="1" applyBorder="1" applyAlignment="1">
      <alignment horizontal="center" wrapText="1"/>
    </xf>
    <xf numFmtId="0" fontId="73" fillId="0" borderId="208" xfId="0" applyFont="1" applyBorder="1" applyAlignment="1">
      <alignment horizontal="center" wrapText="1"/>
    </xf>
    <xf numFmtId="0" fontId="71" fillId="0" borderId="209" xfId="0" applyFont="1" applyBorder="1" applyAlignment="1">
      <alignment horizontal="center" wrapText="1"/>
    </xf>
    <xf numFmtId="0" fontId="71" fillId="0" borderId="210" xfId="0" applyFont="1" applyBorder="1" applyAlignment="1">
      <alignment horizontal="center" wrapText="1"/>
    </xf>
    <xf numFmtId="2" fontId="0" fillId="0" borderId="0" xfId="25" applyNumberFormat="1" applyFont="1" applyAlignment="1">
      <alignment horizontal="center"/>
    </xf>
    <xf numFmtId="0" fontId="15" fillId="18" borderId="123" xfId="1" applyFill="1" applyBorder="1" applyAlignment="1">
      <alignment horizontal="center" vertical="center" readingOrder="1"/>
    </xf>
    <xf numFmtId="0" fontId="53" fillId="18" borderId="123" xfId="25" applyFont="1" applyFill="1" applyBorder="1" applyAlignment="1">
      <alignment horizontal="center"/>
    </xf>
    <xf numFmtId="0" fontId="0" fillId="0" borderId="0" xfId="25" applyFont="1" applyAlignment="1">
      <alignment horizontal="center"/>
    </xf>
    <xf numFmtId="0" fontId="7" fillId="40" borderId="150" xfId="0" applyFont="1" applyFill="1" applyBorder="1" applyAlignment="1">
      <alignment horizontal="center"/>
    </xf>
    <xf numFmtId="0" fontId="7" fillId="40" borderId="133" xfId="0" applyFont="1" applyFill="1" applyBorder="1" applyAlignment="1">
      <alignment horizontal="center"/>
    </xf>
    <xf numFmtId="0" fontId="7" fillId="40" borderId="0" xfId="0" applyFont="1" applyFill="1" applyAlignment="1">
      <alignment horizontal="center"/>
    </xf>
    <xf numFmtId="0" fontId="7" fillId="40" borderId="151" xfId="0" applyFont="1" applyFill="1" applyBorder="1" applyAlignment="1">
      <alignment horizontal="center"/>
    </xf>
    <xf numFmtId="0" fontId="7" fillId="40" borderId="190" xfId="0" applyFont="1" applyFill="1" applyBorder="1" applyAlignment="1">
      <alignment horizontal="center"/>
    </xf>
    <xf numFmtId="0" fontId="65" fillId="0" borderId="3" xfId="28" applyFont="1" applyBorder="1" applyAlignment="1">
      <alignment horizontal="center" vertical="center"/>
    </xf>
    <xf numFmtId="0" fontId="65" fillId="0" borderId="2" xfId="28" applyFont="1" applyBorder="1" applyAlignment="1">
      <alignment horizontal="center" vertical="center"/>
    </xf>
    <xf numFmtId="0" fontId="55" fillId="37" borderId="0" xfId="0" applyFont="1" applyFill="1" applyAlignment="1">
      <alignment horizontal="left" vertical="center"/>
    </xf>
    <xf numFmtId="0" fontId="55" fillId="37" borderId="151" xfId="0" applyFont="1" applyFill="1" applyBorder="1" applyAlignment="1">
      <alignment horizontal="left" vertical="center"/>
    </xf>
    <xf numFmtId="0" fontId="56" fillId="0" borderId="3" xfId="0" applyFont="1" applyBorder="1" applyAlignment="1">
      <alignment horizontal="center" vertical="center"/>
    </xf>
    <xf numFmtId="0" fontId="56" fillId="0" borderId="4" xfId="0" applyFont="1" applyBorder="1" applyAlignment="1">
      <alignment horizontal="center" vertical="center"/>
    </xf>
    <xf numFmtId="0" fontId="56" fillId="0" borderId="2" xfId="0" applyFont="1" applyBorder="1" applyAlignment="1">
      <alignment horizontal="center" vertical="center"/>
    </xf>
    <xf numFmtId="0" fontId="12" fillId="0" borderId="138" xfId="0" applyFont="1" applyBorder="1" applyAlignment="1">
      <alignment horizontal="center" vertical="center" wrapText="1"/>
    </xf>
    <xf numFmtId="0" fontId="56" fillId="0" borderId="139" xfId="0" applyFont="1" applyBorder="1" applyAlignment="1">
      <alignment horizontal="center" vertical="center" wrapText="1"/>
    </xf>
    <xf numFmtId="0" fontId="56" fillId="0" borderId="135" xfId="0" applyFont="1" applyBorder="1" applyAlignment="1">
      <alignment horizontal="center" vertical="center" wrapText="1"/>
    </xf>
    <xf numFmtId="0" fontId="56" fillId="0" borderId="136" xfId="0" applyFont="1" applyBorder="1" applyAlignment="1">
      <alignment horizontal="center" vertical="center" wrapText="1"/>
    </xf>
    <xf numFmtId="0" fontId="61" fillId="28" borderId="138" xfId="0" applyFont="1" applyFill="1" applyBorder="1" applyAlignment="1">
      <alignment horizontal="center"/>
    </xf>
    <xf numFmtId="0" fontId="61" fillId="28" borderId="0" xfId="0" applyFont="1" applyFill="1" applyAlignment="1">
      <alignment horizontal="center"/>
    </xf>
    <xf numFmtId="0" fontId="61" fillId="28" borderId="134" xfId="0" applyFont="1" applyFill="1" applyBorder="1" applyAlignment="1">
      <alignment horizontal="center"/>
    </xf>
    <xf numFmtId="0" fontId="54" fillId="12" borderId="138" xfId="0" applyFont="1" applyFill="1" applyBorder="1" applyAlignment="1">
      <alignment horizontal="center"/>
    </xf>
    <xf numFmtId="0" fontId="54" fillId="12" borderId="133" xfId="0" applyFont="1" applyFill="1" applyBorder="1" applyAlignment="1">
      <alignment horizontal="center"/>
    </xf>
    <xf numFmtId="0" fontId="54" fillId="12" borderId="151" xfId="0" applyFont="1" applyFill="1" applyBorder="1" applyAlignment="1">
      <alignment horizontal="center"/>
    </xf>
    <xf numFmtId="0" fontId="54" fillId="12" borderId="0" xfId="0" applyFont="1" applyFill="1" applyAlignment="1">
      <alignment horizontal="center"/>
    </xf>
    <xf numFmtId="0" fontId="54" fillId="12" borderId="134" xfId="0" applyFont="1" applyFill="1" applyBorder="1" applyAlignment="1">
      <alignment horizontal="center"/>
    </xf>
    <xf numFmtId="0" fontId="54" fillId="40" borderId="138" xfId="0" applyFont="1" applyFill="1" applyBorder="1" applyAlignment="1">
      <alignment horizontal="center"/>
    </xf>
    <xf numFmtId="0" fontId="54" fillId="40" borderId="133" xfId="0" applyFont="1" applyFill="1" applyBorder="1" applyAlignment="1">
      <alignment horizontal="center"/>
    </xf>
    <xf numFmtId="0" fontId="54" fillId="40" borderId="151" xfId="0" applyFont="1" applyFill="1" applyBorder="1" applyAlignment="1">
      <alignment horizontal="center"/>
    </xf>
    <xf numFmtId="0" fontId="54" fillId="40" borderId="161" xfId="0" applyFont="1" applyFill="1" applyBorder="1" applyAlignment="1">
      <alignment horizontal="center"/>
    </xf>
    <xf numFmtId="0" fontId="56" fillId="0" borderId="135" xfId="0" applyFont="1" applyBorder="1" applyAlignment="1">
      <alignment horizontal="center" vertical="center"/>
    </xf>
    <xf numFmtId="0" fontId="56" fillId="0" borderId="139" xfId="0" applyFont="1" applyBorder="1" applyAlignment="1">
      <alignment horizontal="center" vertical="center"/>
    </xf>
    <xf numFmtId="0" fontId="56" fillId="0" borderId="136" xfId="0" applyFont="1" applyBorder="1" applyAlignment="1">
      <alignment horizontal="center" vertical="center"/>
    </xf>
    <xf numFmtId="0" fontId="56" fillId="0" borderId="178" xfId="0" applyFont="1" applyBorder="1" applyAlignment="1">
      <alignment horizontal="center" vertical="center"/>
    </xf>
    <xf numFmtId="0" fontId="56" fillId="0" borderId="179" xfId="0" applyFont="1" applyBorder="1" applyAlignment="1">
      <alignment horizontal="center" vertical="center"/>
    </xf>
    <xf numFmtId="0" fontId="79" fillId="7" borderId="0" xfId="0" applyFont="1" applyFill="1" applyAlignment="1">
      <alignment horizontal="center"/>
    </xf>
    <xf numFmtId="0" fontId="7" fillId="24" borderId="0" xfId="0" applyFont="1" applyFill="1" applyAlignment="1">
      <alignment horizontal="center"/>
    </xf>
    <xf numFmtId="0" fontId="0" fillId="24" borderId="0" xfId="0" applyFill="1" applyAlignment="1">
      <alignment horizontal="center"/>
    </xf>
    <xf numFmtId="0" fontId="12" fillId="0" borderId="211" xfId="0" applyFont="1" applyBorder="1" applyAlignment="1">
      <alignment horizontal="center"/>
    </xf>
    <xf numFmtId="0" fontId="7" fillId="46" borderId="211" xfId="0" applyFont="1" applyFill="1" applyBorder="1" applyAlignment="1">
      <alignment horizontal="center"/>
    </xf>
    <xf numFmtId="0" fontId="43" fillId="0" borderId="0" xfId="0" applyFont="1" applyAlignment="1">
      <alignment horizontal="center"/>
    </xf>
    <xf numFmtId="0" fontId="8" fillId="0" borderId="0" xfId="0" applyFont="1" applyAlignment="1">
      <alignment horizontal="center"/>
    </xf>
    <xf numFmtId="0" fontId="38" fillId="0" borderId="0" xfId="0" applyFont="1" applyAlignment="1">
      <alignment horizontal="center"/>
    </xf>
    <xf numFmtId="0" fontId="34" fillId="19" borderId="0" xfId="0" applyFont="1" applyFill="1" applyAlignment="1">
      <alignment horizontal="center"/>
    </xf>
    <xf numFmtId="4" fontId="34" fillId="19" borderId="0" xfId="0" applyNumberFormat="1" applyFont="1" applyFill="1" applyAlignment="1">
      <alignment horizontal="center"/>
    </xf>
    <xf numFmtId="0" fontId="34" fillId="0" borderId="0" xfId="0" applyFont="1" applyAlignment="1">
      <alignment horizontal="center"/>
    </xf>
    <xf numFmtId="0" fontId="22" fillId="0" borderId="0" xfId="0" applyFont="1" applyAlignment="1">
      <alignment horizontal="center"/>
    </xf>
    <xf numFmtId="0" fontId="12" fillId="0" borderId="3" xfId="0" applyFont="1" applyBorder="1" applyAlignment="1">
      <alignment horizontal="center"/>
    </xf>
    <xf numFmtId="0" fontId="12" fillId="0" borderId="2" xfId="0" applyFont="1" applyBorder="1" applyAlignment="1">
      <alignment horizontal="center"/>
    </xf>
    <xf numFmtId="0" fontId="12" fillId="0" borderId="34" xfId="0" applyFont="1" applyBorder="1" applyAlignment="1">
      <alignment horizontal="center"/>
    </xf>
    <xf numFmtId="0" fontId="12" fillId="0" borderId="5" xfId="0" applyFont="1" applyBorder="1" applyAlignment="1">
      <alignment horizontal="center"/>
    </xf>
    <xf numFmtId="0" fontId="12" fillId="0" borderId="35" xfId="0" applyFont="1" applyBorder="1" applyAlignment="1">
      <alignment horizontal="center"/>
    </xf>
    <xf numFmtId="0" fontId="0" fillId="0" borderId="0" xfId="0" applyAlignment="1"/>
  </cellXfs>
  <cellStyles count="35">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1_grouped_single_border" xfId="31" xr:uid="{E0A15DCB-2477-4761-A866-36240CE8CEE6}"/>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Hiperligação" xfId="34" builtinId="8"/>
    <cellStyle name="Moneda 2" xfId="11" xr:uid="{00000000-0005-0000-0000-00000B000000}"/>
    <cellStyle name="Moneda 2 2" xfId="12" xr:uid="{00000000-0005-0000-0000-00000C000000}"/>
    <cellStyle name="Normal" xfId="0" builtinId="0"/>
    <cellStyle name="Normal 2" xfId="13" xr:uid="{00000000-0005-0000-0000-00000E000000}"/>
    <cellStyle name="Normal 2 2" xfId="14" xr:uid="{00000000-0005-0000-0000-00000F000000}"/>
    <cellStyle name="Normal 2 3" xfId="19" xr:uid="{00000000-0005-0000-0000-000010000000}"/>
    <cellStyle name="Normal 2 3 2" xfId="26" xr:uid="{6A4611F8-31D7-4EA6-B27B-70EB4E34E8FD}"/>
    <cellStyle name="Normal 2 4" xfId="20" xr:uid="{DBC68614-B0BC-4348-8A0D-C96562B201CF}"/>
    <cellStyle name="Normal 3" xfId="23" xr:uid="{371B90F0-6B8E-40BF-8358-D28B574437C9}"/>
    <cellStyle name="Normal 3 2" xfId="25" xr:uid="{41BD78A2-6B23-4ADD-839D-9D86F14E11A2}"/>
    <cellStyle name="Normal 3 3" xfId="28" xr:uid="{4CBFF9A4-05AD-4A91-8AF0-FA0B5B39E2EC}"/>
    <cellStyle name="Normal 5" xfId="29" xr:uid="{E3BE1569-E214-4855-8BF5-B868B88B5743}"/>
    <cellStyle name="Percentagem" xfId="15" builtinId="5"/>
    <cellStyle name="Porcentaje 2" xfId="16" xr:uid="{00000000-0005-0000-0000-000012000000}"/>
    <cellStyle name="Porcentaje 2 2" xfId="17" xr:uid="{00000000-0005-0000-0000-000013000000}"/>
    <cellStyle name="Porcentaje 2 2 2" xfId="24" xr:uid="{924DB8B0-6B9C-4A78-9CB6-7EC8F42C7C6B}"/>
    <cellStyle name="Porcentaje 2 3" xfId="22" xr:uid="{1FF2580F-E450-433A-8AB5-6E1CABCA8FC9}"/>
    <cellStyle name="Porcentaje 2 4" xfId="27" xr:uid="{3D812F63-E4F6-4F6D-A613-EF79E76ACE35}"/>
    <cellStyle name="Porcentaje 3" xfId="18" xr:uid="{00000000-0005-0000-0000-000014000000}"/>
    <cellStyle name="Porcentaje 3 2" xfId="21" xr:uid="{59E732CE-B697-4AF7-8CEE-0C42EB60E78B}"/>
    <cellStyle name="Porcentaje 4 2" xfId="32" xr:uid="{C6A0E8B8-33DC-4334-89A4-99FF669E5EA8}"/>
    <cellStyle name="Porcentaje 5" xfId="30" xr:uid="{F07CEC0B-CE59-4BBC-A0C7-9B77A84167BF}"/>
    <cellStyle name="Vírgula" xfId="33" builtinId="3"/>
  </cellStyles>
  <dxfs count="34">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s>
  <tableStyles count="0" defaultTableStyle="TableStyleMedium9" defaultPivotStyle="PivotStyleLight16"/>
  <colors>
    <mruColors>
      <color rgb="FFFFFD78"/>
      <color rgb="FF1F497D"/>
      <color rgb="FFC5D9F1"/>
      <color rgb="FF1B7087"/>
      <color rgb="FF3174C5"/>
      <color rgb="FF63CB97"/>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06/relationships/rdRichValue" Target="richData/rdrichvalue.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RichValueTypes" Target="richData/rdRichValueTypes.xml"/><Relationship Id="rId28"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 Target="richData/rdsupportingpropertybag.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5-4C49-84C7-5728DDC218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95-4C49-84C7-5728DDC218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Segments!$C$14:$C$17</c:f>
              <c:strCache>
                <c:ptCount val="4"/>
                <c:pt idx="0">
                  <c:v>Foods and Sundries</c:v>
                </c:pt>
                <c:pt idx="1">
                  <c:v>Non-Foods</c:v>
                </c:pt>
                <c:pt idx="2">
                  <c:v>Fresh Foods</c:v>
                </c:pt>
                <c:pt idx="3">
                  <c:v>Warehouse Ancillary and Other Businesses</c:v>
                </c:pt>
              </c:strCache>
            </c:strRef>
          </c:cat>
          <c:val>
            <c:numRef>
              <c:f>Segments!$D$14:$D$17</c:f>
              <c:numCache>
                <c:formatCode>#,##0.0</c:formatCode>
                <c:ptCount val="4"/>
                <c:pt idx="0">
                  <c:v>85629</c:v>
                </c:pt>
                <c:pt idx="1">
                  <c:v>61100</c:v>
                </c:pt>
                <c:pt idx="2">
                  <c:v>29527</c:v>
                </c:pt>
                <c:pt idx="3">
                  <c:v>46474</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Segments!$C$5:$C$6</c:f>
              <c:strCache>
                <c:ptCount val="2"/>
                <c:pt idx="0">
                  <c:v>United States and Canada</c:v>
                </c:pt>
                <c:pt idx="1">
                  <c:v>Other International</c:v>
                </c:pt>
              </c:strCache>
            </c:strRef>
          </c:cat>
          <c:val>
            <c:numRef>
              <c:f>Segments!$D$5:$D$6</c:f>
              <c:numCache>
                <c:formatCode>"$"#,##0</c:formatCode>
                <c:ptCount val="2"/>
                <c:pt idx="0">
                  <c:v>196969</c:v>
                </c:pt>
                <c:pt idx="1">
                  <c:v>29985</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GHG Scope 1 Emissions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ESG!$N$55</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ESG!$M$56:$M$64</c:f>
              <c:numCache>
                <c:formatCode>General</c:formatCode>
                <c:ptCount val="9"/>
              </c:numCache>
            </c:numRef>
          </c:cat>
          <c:val>
            <c:numRef>
              <c:f>ESG!$N$56:$N$64</c:f>
              <c:numCache>
                <c:formatCode>0.00</c:formatCode>
                <c:ptCount val="9"/>
              </c:numCache>
            </c:numRef>
          </c:val>
          <c:smooth val="0"/>
          <c:extLst>
            <c:ext xmlns:c16="http://schemas.microsoft.com/office/drawing/2014/chart" uri="{C3380CC4-5D6E-409C-BE32-E72D297353CC}">
              <c16:uniqueId val="{00000000-D00D-4823-9007-DC439E2C23DA}"/>
            </c:ext>
          </c:extLst>
        </c:ser>
        <c:ser>
          <c:idx val="1"/>
          <c:order val="1"/>
          <c:tx>
            <c:strRef>
              <c:f>ESG!$O$55</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ESG!$M$56:$M$64</c:f>
              <c:numCache>
                <c:formatCode>General</c:formatCode>
                <c:ptCount val="9"/>
              </c:numCache>
            </c:numRef>
          </c:cat>
          <c:val>
            <c:numRef>
              <c:f>ESG!$O$56:$O$64</c:f>
              <c:numCache>
                <c:formatCode>0.00</c:formatCode>
                <c:ptCount val="9"/>
              </c:numCache>
            </c:numRef>
          </c:val>
          <c:smooth val="0"/>
          <c:extLst>
            <c:ext xmlns:c16="http://schemas.microsoft.com/office/drawing/2014/chart" uri="{C3380CC4-5D6E-409C-BE32-E72D297353CC}">
              <c16:uniqueId val="{00000001-D00D-4823-9007-DC439E2C23DA}"/>
            </c:ext>
          </c:extLst>
        </c:ser>
        <c:ser>
          <c:idx val="3"/>
          <c:order val="3"/>
          <c:tx>
            <c:strRef>
              <c:f>ESG!$Q$55</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ESG!$M$56:$M$64</c:f>
              <c:numCache>
                <c:formatCode>General</c:formatCode>
                <c:ptCount val="9"/>
              </c:numCache>
            </c:numRef>
          </c:cat>
          <c:val>
            <c:numRef>
              <c:f>ESG!$Q$56:$Q$64</c:f>
              <c:numCache>
                <c:formatCode>0.00</c:formatCode>
                <c:ptCount val="9"/>
              </c:numCache>
            </c:numRef>
          </c:val>
          <c:smooth val="0"/>
          <c:extLst>
            <c:ext xmlns:c16="http://schemas.microsoft.com/office/drawing/2014/chart" uri="{C3380CC4-5D6E-409C-BE32-E72D297353CC}">
              <c16:uniqueId val="{00000003-D00D-4823-9007-DC439E2C23DA}"/>
            </c:ext>
          </c:extLst>
        </c:ser>
        <c:ser>
          <c:idx val="4"/>
          <c:order val="4"/>
          <c:tx>
            <c:strRef>
              <c:f>ESG!$R$55</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ESG!$M$56:$M$64</c:f>
              <c:numCache>
                <c:formatCode>General</c:formatCode>
                <c:ptCount val="9"/>
              </c:numCache>
            </c:numRef>
          </c:cat>
          <c:val>
            <c:numRef>
              <c:f>ESG!$R$56:$R$64</c:f>
              <c:numCache>
                <c:formatCode>0.00</c:formatCode>
                <c:ptCount val="9"/>
              </c:numCache>
            </c:numRef>
          </c:val>
          <c:smooth val="0"/>
          <c:extLst>
            <c:ext xmlns:c16="http://schemas.microsoft.com/office/drawing/2014/chart" uri="{C3380CC4-5D6E-409C-BE32-E72D297353CC}">
              <c16:uniqueId val="{00000004-D00D-4823-9007-DC439E2C23DA}"/>
            </c:ext>
          </c:extLst>
        </c:ser>
        <c:ser>
          <c:idx val="5"/>
          <c:order val="5"/>
          <c:tx>
            <c:strRef>
              <c:f>ESG!$S$55</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ESG!$M$56:$M$64</c:f>
              <c:numCache>
                <c:formatCode>General</c:formatCode>
                <c:ptCount val="9"/>
              </c:numCache>
            </c:numRef>
          </c:cat>
          <c:val>
            <c:numRef>
              <c:f>ESG!$S$56:$S$64</c:f>
              <c:numCache>
                <c:formatCode>0.00</c:formatCode>
                <c:ptCount val="9"/>
              </c:numCache>
            </c:numRef>
          </c:val>
          <c:smooth val="0"/>
          <c:extLst>
            <c:ext xmlns:c16="http://schemas.microsoft.com/office/drawing/2014/chart" uri="{C3380CC4-5D6E-409C-BE32-E72D297353CC}">
              <c16:uniqueId val="{00000005-D00D-4823-9007-DC439E2C23DA}"/>
            </c:ext>
          </c:extLst>
        </c:ser>
        <c:dLbls>
          <c:showLegendKey val="0"/>
          <c:showVal val="0"/>
          <c:showCatName val="0"/>
          <c:showSerName val="0"/>
          <c:showPercent val="0"/>
          <c:showBubbleSize val="0"/>
        </c:dLbls>
        <c:marker val="1"/>
        <c:smooth val="0"/>
        <c:axId val="73385855"/>
        <c:axId val="73386335"/>
        <c:extLst>
          <c:ext xmlns:c15="http://schemas.microsoft.com/office/drawing/2012/chart" uri="{02D57815-91ED-43cb-92C2-25804820EDAC}">
            <c15:filteredLineSeries>
              <c15:ser>
                <c:idx val="2"/>
                <c:order val="2"/>
                <c:tx>
                  <c:strRef>
                    <c:extLst>
                      <c:ext uri="{02D57815-91ED-43cb-92C2-25804820EDAC}">
                        <c15:formulaRef>
                          <c15:sqref>ESG!$P$55</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c:ext uri="{02D57815-91ED-43cb-92C2-25804820EDAC}">
                        <c15:formulaRef>
                          <c15:sqref>ESG!$M$56:$M$64</c15:sqref>
                        </c15:formulaRef>
                      </c:ext>
                    </c:extLst>
                    <c:numCache>
                      <c:formatCode>General</c:formatCode>
                      <c:ptCount val="9"/>
                    </c:numCache>
                  </c:numRef>
                </c:cat>
                <c:val>
                  <c:numRef>
                    <c:extLst>
                      <c:ext uri="{02D57815-91ED-43cb-92C2-25804820EDAC}">
                        <c15:formulaRef>
                          <c15:sqref>ESG!$P$56:$P$64</c15:sqref>
                        </c15:formulaRef>
                      </c:ext>
                    </c:extLst>
                    <c:numCache>
                      <c:formatCode>0.00</c:formatCode>
                      <c:ptCount val="9"/>
                    </c:numCache>
                  </c:numRef>
                </c:val>
                <c:smooth val="0"/>
                <c:extLst>
                  <c:ext xmlns:c16="http://schemas.microsoft.com/office/drawing/2014/chart" uri="{C3380CC4-5D6E-409C-BE32-E72D297353CC}">
                    <c16:uniqueId val="{00000002-D00D-4823-9007-DC439E2C23DA}"/>
                  </c:ext>
                </c:extLst>
              </c15:ser>
            </c15:filteredLineSeries>
          </c:ext>
        </c:extLst>
      </c:lineChart>
      <c:catAx>
        <c:axId val="7338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6335"/>
        <c:crosses val="autoZero"/>
        <c:auto val="1"/>
        <c:lblAlgn val="ctr"/>
        <c:lblOffset val="100"/>
        <c:noMultiLvlLbl val="0"/>
      </c:catAx>
      <c:valAx>
        <c:axId val="7338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5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Water Consumption (Cubic Meters)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ESG!$N$67</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ESG!$M$68:$M$76</c:f>
              <c:numCache>
                <c:formatCode>General</c:formatCode>
                <c:ptCount val="9"/>
              </c:numCache>
            </c:numRef>
          </c:cat>
          <c:val>
            <c:numRef>
              <c:f>ESG!$N$68:$N$76</c:f>
              <c:numCache>
                <c:formatCode>0.00</c:formatCode>
                <c:ptCount val="9"/>
              </c:numCache>
            </c:numRef>
          </c:val>
          <c:smooth val="0"/>
          <c:extLst>
            <c:ext xmlns:c16="http://schemas.microsoft.com/office/drawing/2014/chart" uri="{C3380CC4-5D6E-409C-BE32-E72D297353CC}">
              <c16:uniqueId val="{00000000-5789-4750-89D4-9EEBF96780C0}"/>
            </c:ext>
          </c:extLst>
        </c:ser>
        <c:ser>
          <c:idx val="3"/>
          <c:order val="3"/>
          <c:tx>
            <c:strRef>
              <c:f>ESG!$Q$67</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ESG!$M$68:$M$76</c:f>
              <c:numCache>
                <c:formatCode>General</c:formatCode>
                <c:ptCount val="9"/>
              </c:numCache>
            </c:numRef>
          </c:cat>
          <c:val>
            <c:numRef>
              <c:f>ESG!$Q$68:$Q$76</c:f>
              <c:numCache>
                <c:formatCode>0.00</c:formatCode>
                <c:ptCount val="9"/>
              </c:numCache>
            </c:numRef>
          </c:val>
          <c:smooth val="0"/>
          <c:extLst>
            <c:ext xmlns:c16="http://schemas.microsoft.com/office/drawing/2014/chart" uri="{C3380CC4-5D6E-409C-BE32-E72D297353CC}">
              <c16:uniqueId val="{00000003-5789-4750-89D4-9EEBF96780C0}"/>
            </c:ext>
          </c:extLst>
        </c:ser>
        <c:ser>
          <c:idx val="4"/>
          <c:order val="4"/>
          <c:tx>
            <c:strRef>
              <c:f>ESG!$R$67</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ESG!$M$68:$M$76</c:f>
              <c:numCache>
                <c:formatCode>General</c:formatCode>
                <c:ptCount val="9"/>
              </c:numCache>
            </c:numRef>
          </c:cat>
          <c:val>
            <c:numRef>
              <c:f>ESG!$R$68:$R$76</c:f>
              <c:numCache>
                <c:formatCode>0.00</c:formatCode>
                <c:ptCount val="9"/>
              </c:numCache>
            </c:numRef>
          </c:val>
          <c:smooth val="0"/>
          <c:extLst>
            <c:ext xmlns:c16="http://schemas.microsoft.com/office/drawing/2014/chart" uri="{C3380CC4-5D6E-409C-BE32-E72D297353CC}">
              <c16:uniqueId val="{00000004-5789-4750-89D4-9EEBF96780C0}"/>
            </c:ext>
          </c:extLst>
        </c:ser>
        <c:dLbls>
          <c:showLegendKey val="0"/>
          <c:showVal val="0"/>
          <c:showCatName val="0"/>
          <c:showSerName val="0"/>
          <c:showPercent val="0"/>
          <c:showBubbleSize val="0"/>
        </c:dLbls>
        <c:marker val="1"/>
        <c:smooth val="0"/>
        <c:axId val="1301543471"/>
        <c:axId val="45963695"/>
        <c:extLst>
          <c:ext xmlns:c15="http://schemas.microsoft.com/office/drawing/2012/chart" uri="{02D57815-91ED-43cb-92C2-25804820EDAC}">
            <c15:filteredLineSeries>
              <c15:ser>
                <c:idx val="1"/>
                <c:order val="1"/>
                <c:tx>
                  <c:strRef>
                    <c:extLst>
                      <c:ext uri="{02D57815-91ED-43cb-92C2-25804820EDAC}">
                        <c15:formulaRef>
                          <c15:sqref>ESG!$O$67</c15:sqref>
                        </c15:formulaRef>
                      </c:ext>
                    </c:extLst>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extLst>
                      <c:ext uri="{02D57815-91ED-43cb-92C2-25804820EDAC}">
                        <c15:formulaRef>
                          <c15:sqref>ESG!$M$68:$M$76</c15:sqref>
                        </c15:formulaRef>
                      </c:ext>
                    </c:extLst>
                    <c:numCache>
                      <c:formatCode>General</c:formatCode>
                      <c:ptCount val="9"/>
                    </c:numCache>
                  </c:numRef>
                </c:cat>
                <c:val>
                  <c:numRef>
                    <c:extLst>
                      <c:ext uri="{02D57815-91ED-43cb-92C2-25804820EDAC}">
                        <c15:formulaRef>
                          <c15:sqref>ESG!$O$68:$O$76</c15:sqref>
                        </c15:formulaRef>
                      </c:ext>
                    </c:extLst>
                    <c:numCache>
                      <c:formatCode>0.00</c:formatCode>
                      <c:ptCount val="9"/>
                    </c:numCache>
                  </c:numRef>
                </c:val>
                <c:smooth val="0"/>
                <c:extLst>
                  <c:ext xmlns:c16="http://schemas.microsoft.com/office/drawing/2014/chart" uri="{C3380CC4-5D6E-409C-BE32-E72D297353CC}">
                    <c16:uniqueId val="{00000001-5789-4750-89D4-9EEBF96780C0}"/>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ESG!$P$67</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ESG!$M$68:$M$76</c15:sqref>
                        </c15:formulaRef>
                      </c:ext>
                    </c:extLst>
                    <c:numCache>
                      <c:formatCode>General</c:formatCode>
                      <c:ptCount val="9"/>
                    </c:numCache>
                  </c:numRef>
                </c:cat>
                <c:val>
                  <c:numRef>
                    <c:extLst xmlns:c15="http://schemas.microsoft.com/office/drawing/2012/chart">
                      <c:ext xmlns:c15="http://schemas.microsoft.com/office/drawing/2012/chart" uri="{02D57815-91ED-43cb-92C2-25804820EDAC}">
                        <c15:formulaRef>
                          <c15:sqref>ESG!$P$68:$P$76</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2-5789-4750-89D4-9EEBF96780C0}"/>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ESG!$S$67</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xmlns:c15="http://schemas.microsoft.com/office/drawing/2012/chart">
                      <c:ext xmlns:c15="http://schemas.microsoft.com/office/drawing/2012/chart" uri="{02D57815-91ED-43cb-92C2-25804820EDAC}">
                        <c15:formulaRef>
                          <c15:sqref>ESG!$M$68:$M$76</c15:sqref>
                        </c15:formulaRef>
                      </c:ext>
                    </c:extLst>
                    <c:numCache>
                      <c:formatCode>General</c:formatCode>
                      <c:ptCount val="9"/>
                    </c:numCache>
                  </c:numRef>
                </c:cat>
                <c:val>
                  <c:numRef>
                    <c:extLst xmlns:c15="http://schemas.microsoft.com/office/drawing/2012/chart">
                      <c:ext xmlns:c15="http://schemas.microsoft.com/office/drawing/2012/chart" uri="{02D57815-91ED-43cb-92C2-25804820EDAC}">
                        <c15:formulaRef>
                          <c15:sqref>ESG!$S$68:$S$76</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5-5789-4750-89D4-9EEBF96780C0}"/>
                  </c:ext>
                </c:extLst>
              </c15:ser>
            </c15:filteredLineSeries>
          </c:ext>
        </c:extLst>
      </c:lineChart>
      <c:catAx>
        <c:axId val="130154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3695"/>
        <c:crosses val="autoZero"/>
        <c:auto val="1"/>
        <c:lblAlgn val="ctr"/>
        <c:lblOffset val="100"/>
        <c:noMultiLvlLbl val="0"/>
      </c:catAx>
      <c:valAx>
        <c:axId val="45963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43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Energy</a:t>
            </a:r>
            <a:r>
              <a:rPr lang="pt-PT" baseline="0"/>
              <a:t> Consumption (Gigajoules)</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ESG!$N$79</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ESG!$M$80:$M$88</c:f>
              <c:numCache>
                <c:formatCode>General</c:formatCode>
                <c:ptCount val="9"/>
              </c:numCache>
            </c:numRef>
          </c:cat>
          <c:val>
            <c:numRef>
              <c:f>ESG!$N$80:$N$88</c:f>
              <c:numCache>
                <c:formatCode>0.00</c:formatCode>
                <c:ptCount val="9"/>
              </c:numCache>
            </c:numRef>
          </c:val>
          <c:smooth val="0"/>
          <c:extLst>
            <c:ext xmlns:c16="http://schemas.microsoft.com/office/drawing/2014/chart" uri="{C3380CC4-5D6E-409C-BE32-E72D297353CC}">
              <c16:uniqueId val="{00000000-917B-4C45-979C-FFDB55C82DDB}"/>
            </c:ext>
          </c:extLst>
        </c:ser>
        <c:ser>
          <c:idx val="1"/>
          <c:order val="1"/>
          <c:tx>
            <c:strRef>
              <c:f>ESG!$O$79</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ESG!$M$80:$M$88</c:f>
              <c:numCache>
                <c:formatCode>General</c:formatCode>
                <c:ptCount val="9"/>
              </c:numCache>
            </c:numRef>
          </c:cat>
          <c:val>
            <c:numRef>
              <c:f>ESG!$O$80:$O$88</c:f>
              <c:numCache>
                <c:formatCode>0.00</c:formatCode>
                <c:ptCount val="9"/>
              </c:numCache>
            </c:numRef>
          </c:val>
          <c:smooth val="0"/>
          <c:extLst>
            <c:ext xmlns:c16="http://schemas.microsoft.com/office/drawing/2014/chart" uri="{C3380CC4-5D6E-409C-BE32-E72D297353CC}">
              <c16:uniqueId val="{00000001-917B-4C45-979C-FFDB55C82DDB}"/>
            </c:ext>
          </c:extLst>
        </c:ser>
        <c:ser>
          <c:idx val="2"/>
          <c:order val="2"/>
          <c:tx>
            <c:strRef>
              <c:f>ESG!$P$79</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ESG!$M$80:$M$88</c:f>
              <c:numCache>
                <c:formatCode>General</c:formatCode>
                <c:ptCount val="9"/>
              </c:numCache>
            </c:numRef>
          </c:cat>
          <c:val>
            <c:numRef>
              <c:f>ESG!$P$80:$P$88</c:f>
              <c:numCache>
                <c:formatCode>0.00</c:formatCode>
                <c:ptCount val="9"/>
              </c:numCache>
            </c:numRef>
          </c:val>
          <c:smooth val="0"/>
          <c:extLst>
            <c:ext xmlns:c16="http://schemas.microsoft.com/office/drawing/2014/chart" uri="{C3380CC4-5D6E-409C-BE32-E72D297353CC}">
              <c16:uniqueId val="{00000002-917B-4C45-979C-FFDB55C82DDB}"/>
            </c:ext>
          </c:extLst>
        </c:ser>
        <c:ser>
          <c:idx val="3"/>
          <c:order val="3"/>
          <c:tx>
            <c:strRef>
              <c:f>ESG!$Q$79</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ESG!$M$80:$M$88</c:f>
              <c:numCache>
                <c:formatCode>General</c:formatCode>
                <c:ptCount val="9"/>
              </c:numCache>
            </c:numRef>
          </c:cat>
          <c:val>
            <c:numRef>
              <c:f>ESG!$Q$80:$Q$88</c:f>
              <c:numCache>
                <c:formatCode>0.00</c:formatCode>
                <c:ptCount val="9"/>
              </c:numCache>
            </c:numRef>
          </c:val>
          <c:smooth val="0"/>
          <c:extLst>
            <c:ext xmlns:c16="http://schemas.microsoft.com/office/drawing/2014/chart" uri="{C3380CC4-5D6E-409C-BE32-E72D297353CC}">
              <c16:uniqueId val="{00000003-917B-4C45-979C-FFDB55C82DDB}"/>
            </c:ext>
          </c:extLst>
        </c:ser>
        <c:ser>
          <c:idx val="4"/>
          <c:order val="4"/>
          <c:tx>
            <c:strRef>
              <c:f>ESG!$R$79</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ESG!$M$80:$M$88</c:f>
              <c:numCache>
                <c:formatCode>General</c:formatCode>
                <c:ptCount val="9"/>
              </c:numCache>
            </c:numRef>
          </c:cat>
          <c:val>
            <c:numRef>
              <c:f>ESG!$R$80:$R$88</c:f>
              <c:numCache>
                <c:formatCode>0.00</c:formatCode>
                <c:ptCount val="9"/>
              </c:numCache>
            </c:numRef>
          </c:val>
          <c:smooth val="0"/>
          <c:extLst>
            <c:ext xmlns:c16="http://schemas.microsoft.com/office/drawing/2014/chart" uri="{C3380CC4-5D6E-409C-BE32-E72D297353CC}">
              <c16:uniqueId val="{00000004-917B-4C45-979C-FFDB55C82DDB}"/>
            </c:ext>
          </c:extLst>
        </c:ser>
        <c:ser>
          <c:idx val="5"/>
          <c:order val="5"/>
          <c:tx>
            <c:strRef>
              <c:f>ESG!$S$79</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ESG!$M$80:$M$88</c:f>
              <c:numCache>
                <c:formatCode>General</c:formatCode>
                <c:ptCount val="9"/>
              </c:numCache>
            </c:numRef>
          </c:cat>
          <c:val>
            <c:numRef>
              <c:f>ESG!$S$80:$S$88</c:f>
              <c:numCache>
                <c:formatCode>0.00</c:formatCode>
                <c:ptCount val="9"/>
              </c:numCache>
            </c:numRef>
          </c:val>
          <c:smooth val="0"/>
          <c:extLst>
            <c:ext xmlns:c16="http://schemas.microsoft.com/office/drawing/2014/chart" uri="{C3380CC4-5D6E-409C-BE32-E72D297353CC}">
              <c16:uniqueId val="{00000005-917B-4C45-979C-FFDB55C82DDB}"/>
            </c:ext>
          </c:extLst>
        </c:ser>
        <c:dLbls>
          <c:showLegendKey val="0"/>
          <c:showVal val="0"/>
          <c:showCatName val="0"/>
          <c:showSerName val="0"/>
          <c:showPercent val="0"/>
          <c:showBubbleSize val="0"/>
        </c:dLbls>
        <c:marker val="1"/>
        <c:smooth val="0"/>
        <c:axId val="365935231"/>
        <c:axId val="365961631"/>
      </c:lineChart>
      <c:catAx>
        <c:axId val="3659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1631"/>
        <c:crosses val="autoZero"/>
        <c:auto val="1"/>
        <c:lblAlgn val="ctr"/>
        <c:lblOffset val="100"/>
        <c:noMultiLvlLbl val="0"/>
      </c:catAx>
      <c:valAx>
        <c:axId val="365961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5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Waste Production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ESG!$N$91</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ESG!$M$92:$M$100</c:f>
              <c:numCache>
                <c:formatCode>General</c:formatCode>
                <c:ptCount val="9"/>
              </c:numCache>
            </c:numRef>
          </c:cat>
          <c:val>
            <c:numRef>
              <c:f>ESG!$N$92:$N$100</c:f>
              <c:numCache>
                <c:formatCode>0.00</c:formatCode>
                <c:ptCount val="9"/>
              </c:numCache>
            </c:numRef>
          </c:val>
          <c:smooth val="0"/>
          <c:extLst>
            <c:ext xmlns:c16="http://schemas.microsoft.com/office/drawing/2014/chart" uri="{C3380CC4-5D6E-409C-BE32-E72D297353CC}">
              <c16:uniqueId val="{00000000-FF9A-4ECA-A844-2C82FDFD8493}"/>
            </c:ext>
          </c:extLst>
        </c:ser>
        <c:ser>
          <c:idx val="1"/>
          <c:order val="1"/>
          <c:tx>
            <c:strRef>
              <c:f>ESG!$O$91</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ESG!$M$92:$M$100</c:f>
              <c:numCache>
                <c:formatCode>General</c:formatCode>
                <c:ptCount val="9"/>
              </c:numCache>
            </c:numRef>
          </c:cat>
          <c:val>
            <c:numRef>
              <c:f>ESG!$O$92:$O$100</c:f>
              <c:numCache>
                <c:formatCode>0.00</c:formatCode>
                <c:ptCount val="9"/>
              </c:numCache>
            </c:numRef>
          </c:val>
          <c:smooth val="0"/>
          <c:extLst>
            <c:ext xmlns:c16="http://schemas.microsoft.com/office/drawing/2014/chart" uri="{C3380CC4-5D6E-409C-BE32-E72D297353CC}">
              <c16:uniqueId val="{00000001-FF9A-4ECA-A844-2C82FDFD8493}"/>
            </c:ext>
          </c:extLst>
        </c:ser>
        <c:ser>
          <c:idx val="2"/>
          <c:order val="2"/>
          <c:tx>
            <c:strRef>
              <c:f>ESG!$P$91</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ESG!$M$92:$M$100</c:f>
              <c:numCache>
                <c:formatCode>General</c:formatCode>
                <c:ptCount val="9"/>
              </c:numCache>
            </c:numRef>
          </c:cat>
          <c:val>
            <c:numRef>
              <c:f>ESG!$P$92:$P$100</c:f>
              <c:numCache>
                <c:formatCode>0.00</c:formatCode>
                <c:ptCount val="9"/>
              </c:numCache>
            </c:numRef>
          </c:val>
          <c:smooth val="0"/>
          <c:extLst>
            <c:ext xmlns:c16="http://schemas.microsoft.com/office/drawing/2014/chart" uri="{C3380CC4-5D6E-409C-BE32-E72D297353CC}">
              <c16:uniqueId val="{00000002-FF9A-4ECA-A844-2C82FDFD8493}"/>
            </c:ext>
          </c:extLst>
        </c:ser>
        <c:ser>
          <c:idx val="3"/>
          <c:order val="3"/>
          <c:tx>
            <c:strRef>
              <c:f>ESG!$Q$91</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ESG!$M$92:$M$100</c:f>
              <c:numCache>
                <c:formatCode>General</c:formatCode>
                <c:ptCount val="9"/>
              </c:numCache>
            </c:numRef>
          </c:cat>
          <c:val>
            <c:numRef>
              <c:f>ESG!$Q$92:$Q$100</c:f>
              <c:numCache>
                <c:formatCode>0.00</c:formatCode>
                <c:ptCount val="9"/>
              </c:numCache>
            </c:numRef>
          </c:val>
          <c:smooth val="0"/>
          <c:extLst>
            <c:ext xmlns:c16="http://schemas.microsoft.com/office/drawing/2014/chart" uri="{C3380CC4-5D6E-409C-BE32-E72D297353CC}">
              <c16:uniqueId val="{00000003-FF9A-4ECA-A844-2C82FDFD8493}"/>
            </c:ext>
          </c:extLst>
        </c:ser>
        <c:ser>
          <c:idx val="4"/>
          <c:order val="4"/>
          <c:tx>
            <c:strRef>
              <c:f>ESG!$R$91</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ESG!$M$92:$M$100</c:f>
              <c:numCache>
                <c:formatCode>General</c:formatCode>
                <c:ptCount val="9"/>
              </c:numCache>
            </c:numRef>
          </c:cat>
          <c:val>
            <c:numRef>
              <c:f>ESG!$R$92:$R$100</c:f>
              <c:numCache>
                <c:formatCode>0.00</c:formatCode>
                <c:ptCount val="9"/>
              </c:numCache>
            </c:numRef>
          </c:val>
          <c:smooth val="0"/>
          <c:extLst>
            <c:ext xmlns:c16="http://schemas.microsoft.com/office/drawing/2014/chart" uri="{C3380CC4-5D6E-409C-BE32-E72D297353CC}">
              <c16:uniqueId val="{00000004-FF9A-4ECA-A844-2C82FDFD8493}"/>
            </c:ext>
          </c:extLst>
        </c:ser>
        <c:dLbls>
          <c:showLegendKey val="0"/>
          <c:showVal val="0"/>
          <c:showCatName val="0"/>
          <c:showSerName val="0"/>
          <c:showPercent val="0"/>
          <c:showBubbleSize val="0"/>
        </c:dLbls>
        <c:marker val="1"/>
        <c:smooth val="0"/>
        <c:axId val="365962591"/>
        <c:axId val="365934271"/>
        <c:extLst>
          <c:ext xmlns:c15="http://schemas.microsoft.com/office/drawing/2012/chart" uri="{02D57815-91ED-43cb-92C2-25804820EDAC}">
            <c15:filteredLineSeries>
              <c15:ser>
                <c:idx val="5"/>
                <c:order val="5"/>
                <c:tx>
                  <c:strRef>
                    <c:extLst>
                      <c:ext uri="{02D57815-91ED-43cb-92C2-25804820EDAC}">
                        <c15:formulaRef>
                          <c15:sqref>ESG!$S$91</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c:ext uri="{02D57815-91ED-43cb-92C2-25804820EDAC}">
                        <c15:formulaRef>
                          <c15:sqref>ESG!$M$92:$M$100</c15:sqref>
                        </c15:formulaRef>
                      </c:ext>
                    </c:extLst>
                    <c:numCache>
                      <c:formatCode>General</c:formatCode>
                      <c:ptCount val="9"/>
                    </c:numCache>
                  </c:numRef>
                </c:cat>
                <c:val>
                  <c:numRef>
                    <c:extLst>
                      <c:ext uri="{02D57815-91ED-43cb-92C2-25804820EDAC}">
                        <c15:formulaRef>
                          <c15:sqref>ESG!$S$92:$S$100</c15:sqref>
                        </c15:formulaRef>
                      </c:ext>
                    </c:extLst>
                    <c:numCache>
                      <c:formatCode>0.00</c:formatCode>
                      <c:ptCount val="9"/>
                    </c:numCache>
                  </c:numRef>
                </c:val>
                <c:smooth val="0"/>
                <c:extLst>
                  <c:ext xmlns:c16="http://schemas.microsoft.com/office/drawing/2014/chart" uri="{C3380CC4-5D6E-409C-BE32-E72D297353CC}">
                    <c16:uniqueId val="{00000005-FF9A-4ECA-A844-2C82FDFD8493}"/>
                  </c:ext>
                </c:extLst>
              </c15:ser>
            </c15:filteredLineSeries>
          </c:ext>
        </c:extLst>
      </c:lineChart>
      <c:catAx>
        <c:axId val="3659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4271"/>
        <c:crosses val="autoZero"/>
        <c:auto val="1"/>
        <c:lblAlgn val="ctr"/>
        <c:lblOffset val="100"/>
        <c:noMultiLvlLbl val="0"/>
      </c:catAx>
      <c:valAx>
        <c:axId val="365934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Tyson Foods GHG Scope 1 Emissions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ESG!$N$55</c:f>
              <c:strCache>
                <c:ptCount val="1"/>
              </c:strCache>
            </c:strRef>
          </c:tx>
          <c:spPr>
            <a:solidFill>
              <a:schemeClr val="accent1"/>
            </a:solidFill>
            <a:ln>
              <a:noFill/>
            </a:ln>
            <a:effectLst/>
          </c:spPr>
          <c:invertIfNegative val="0"/>
          <c:cat>
            <c:numRef>
              <c:f>ESG!$M$56:$M$64</c:f>
              <c:numCache>
                <c:formatCode>General</c:formatCode>
                <c:ptCount val="9"/>
              </c:numCache>
            </c:numRef>
          </c:cat>
          <c:val>
            <c:numRef>
              <c:f>ESG!$N$56:$N$64</c:f>
              <c:numCache>
                <c:formatCode>0.00</c:formatCode>
                <c:ptCount val="9"/>
              </c:numCache>
            </c:numRef>
          </c:val>
          <c:extLst>
            <c:ext xmlns:c16="http://schemas.microsoft.com/office/drawing/2014/chart" uri="{C3380CC4-5D6E-409C-BE32-E72D297353CC}">
              <c16:uniqueId val="{00000000-169B-4A38-9A2B-56B8D0ECDFB5}"/>
            </c:ext>
          </c:extLst>
        </c:ser>
        <c:dLbls>
          <c:showLegendKey val="0"/>
          <c:showVal val="0"/>
          <c:showCatName val="0"/>
          <c:showSerName val="0"/>
          <c:showPercent val="0"/>
          <c:showBubbleSize val="0"/>
        </c:dLbls>
        <c:gapWidth val="219"/>
        <c:overlap val="-27"/>
        <c:axId val="1445126127"/>
        <c:axId val="1445124687"/>
      </c:barChart>
      <c:catAx>
        <c:axId val="144512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124687"/>
        <c:crosses val="autoZero"/>
        <c:auto val="1"/>
        <c:lblAlgn val="ctr"/>
        <c:lblOffset val="100"/>
        <c:noMultiLvlLbl val="0"/>
      </c:catAx>
      <c:valAx>
        <c:axId val="14451246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126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Tyson Foods' Water Consumption (Cubic Meters)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ESG!$N$67</c:f>
              <c:strCache>
                <c:ptCount val="1"/>
              </c:strCache>
            </c:strRef>
          </c:tx>
          <c:spPr>
            <a:solidFill>
              <a:schemeClr val="accent1"/>
            </a:solidFill>
            <a:ln>
              <a:noFill/>
            </a:ln>
            <a:effectLst/>
          </c:spPr>
          <c:invertIfNegative val="0"/>
          <c:cat>
            <c:numRef>
              <c:extLst>
                <c:ext xmlns:c15="http://schemas.microsoft.com/office/drawing/2012/chart" uri="{02D57815-91ED-43cb-92C2-25804820EDAC}">
                  <c15:fullRef>
                    <c15:sqref>ESG!$M$68:$M$76</c15:sqref>
                  </c15:fullRef>
                </c:ext>
              </c:extLst>
              <c:f>ESG!$M$72:$M$76</c:f>
              <c:numCache>
                <c:formatCode>General</c:formatCode>
                <c:ptCount val="5"/>
              </c:numCache>
            </c:numRef>
          </c:cat>
          <c:val>
            <c:numRef>
              <c:extLst>
                <c:ext xmlns:c15="http://schemas.microsoft.com/office/drawing/2012/chart" uri="{02D57815-91ED-43cb-92C2-25804820EDAC}">
                  <c15:fullRef>
                    <c15:sqref>ESG!$N$68:$N$76</c15:sqref>
                  </c15:fullRef>
                </c:ext>
              </c:extLst>
              <c:f>ESG!$N$72:$N$76</c:f>
              <c:numCache>
                <c:formatCode>0.00</c:formatCode>
                <c:ptCount val="5"/>
              </c:numCache>
            </c:numRef>
          </c:val>
          <c:extLst>
            <c:ext xmlns:c16="http://schemas.microsoft.com/office/drawing/2014/chart" uri="{C3380CC4-5D6E-409C-BE32-E72D297353CC}">
              <c16:uniqueId val="{00000000-3D9B-44C8-833F-95AC35BCD001}"/>
            </c:ext>
          </c:extLst>
        </c:ser>
        <c:dLbls>
          <c:showLegendKey val="0"/>
          <c:showVal val="0"/>
          <c:showCatName val="0"/>
          <c:showSerName val="0"/>
          <c:showPercent val="0"/>
          <c:showBubbleSize val="0"/>
        </c:dLbls>
        <c:gapWidth val="219"/>
        <c:overlap val="-27"/>
        <c:axId val="1470986783"/>
        <c:axId val="1470987743"/>
      </c:barChart>
      <c:catAx>
        <c:axId val="147098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87743"/>
        <c:crosses val="autoZero"/>
        <c:auto val="1"/>
        <c:lblAlgn val="ctr"/>
        <c:lblOffset val="100"/>
        <c:noMultiLvlLbl val="0"/>
      </c:catAx>
      <c:valAx>
        <c:axId val="1470987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8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Tyson Foods' Energy Consumption (Gigajoules)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ESG!$N$79</c:f>
              <c:strCache>
                <c:ptCount val="1"/>
              </c:strCache>
            </c:strRef>
          </c:tx>
          <c:spPr>
            <a:solidFill>
              <a:schemeClr val="accent1"/>
            </a:solidFill>
            <a:ln>
              <a:noFill/>
            </a:ln>
            <a:effectLst/>
          </c:spPr>
          <c:invertIfNegative val="0"/>
          <c:cat>
            <c:numRef>
              <c:f>ESG!$M$80:$M$88</c:f>
              <c:numCache>
                <c:formatCode>General</c:formatCode>
                <c:ptCount val="9"/>
              </c:numCache>
            </c:numRef>
          </c:cat>
          <c:val>
            <c:numRef>
              <c:f>ESG!$N$80:$N$88</c:f>
              <c:numCache>
                <c:formatCode>0.00</c:formatCode>
                <c:ptCount val="9"/>
              </c:numCache>
            </c:numRef>
          </c:val>
          <c:extLst>
            <c:ext xmlns:c16="http://schemas.microsoft.com/office/drawing/2014/chart" uri="{C3380CC4-5D6E-409C-BE32-E72D297353CC}">
              <c16:uniqueId val="{00000000-74A3-4257-8CD9-3D43181C0268}"/>
            </c:ext>
          </c:extLst>
        </c:ser>
        <c:dLbls>
          <c:showLegendKey val="0"/>
          <c:showVal val="0"/>
          <c:showCatName val="0"/>
          <c:showSerName val="0"/>
          <c:showPercent val="0"/>
          <c:showBubbleSize val="0"/>
        </c:dLbls>
        <c:gapWidth val="219"/>
        <c:overlap val="-27"/>
        <c:axId val="1243430415"/>
        <c:axId val="1243431375"/>
      </c:barChart>
      <c:catAx>
        <c:axId val="124343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31375"/>
        <c:crosses val="autoZero"/>
        <c:auto val="1"/>
        <c:lblAlgn val="ctr"/>
        <c:lblOffset val="100"/>
        <c:noMultiLvlLbl val="0"/>
      </c:catAx>
      <c:valAx>
        <c:axId val="1243431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3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Tyson Foods' Total Waste Production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ESG!$N$91</c:f>
              <c:strCache>
                <c:ptCount val="1"/>
              </c:strCache>
            </c:strRef>
          </c:tx>
          <c:spPr>
            <a:solidFill>
              <a:schemeClr val="accent1"/>
            </a:solidFill>
            <a:ln>
              <a:noFill/>
            </a:ln>
            <a:effectLst/>
          </c:spPr>
          <c:invertIfNegative val="0"/>
          <c:cat>
            <c:numRef>
              <c:extLst>
                <c:ext xmlns:c15="http://schemas.microsoft.com/office/drawing/2012/chart" uri="{02D57815-91ED-43cb-92C2-25804820EDAC}">
                  <c15:fullRef>
                    <c15:sqref>ESG!$M$92:$M$100</c15:sqref>
                  </c15:fullRef>
                </c:ext>
              </c:extLst>
              <c:f>ESG!$M$94:$M$100</c:f>
              <c:numCache>
                <c:formatCode>General</c:formatCode>
                <c:ptCount val="7"/>
              </c:numCache>
            </c:numRef>
          </c:cat>
          <c:val>
            <c:numRef>
              <c:extLst>
                <c:ext xmlns:c15="http://schemas.microsoft.com/office/drawing/2012/chart" uri="{02D57815-91ED-43cb-92C2-25804820EDAC}">
                  <c15:fullRef>
                    <c15:sqref>ESG!$N$92:$N$100</c15:sqref>
                  </c15:fullRef>
                </c:ext>
              </c:extLst>
              <c:f>ESG!$N$94:$N$100</c:f>
              <c:numCache>
                <c:formatCode>0.00</c:formatCode>
                <c:ptCount val="7"/>
              </c:numCache>
            </c:numRef>
          </c:val>
          <c:extLst>
            <c:ext xmlns:c16="http://schemas.microsoft.com/office/drawing/2014/chart" uri="{C3380CC4-5D6E-409C-BE32-E72D297353CC}">
              <c16:uniqueId val="{00000000-6E89-4CC8-BF3B-4330161D9A38}"/>
            </c:ext>
          </c:extLst>
        </c:ser>
        <c:dLbls>
          <c:showLegendKey val="0"/>
          <c:showVal val="0"/>
          <c:showCatName val="0"/>
          <c:showSerName val="0"/>
          <c:showPercent val="0"/>
          <c:showBubbleSize val="0"/>
        </c:dLbls>
        <c:gapWidth val="219"/>
        <c:overlap val="-27"/>
        <c:axId val="1474061615"/>
        <c:axId val="1474062575"/>
      </c:barChart>
      <c:catAx>
        <c:axId val="147406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62575"/>
        <c:crosses val="autoZero"/>
        <c:auto val="1"/>
        <c:lblAlgn val="ctr"/>
        <c:lblOffset val="100"/>
        <c:noMultiLvlLbl val="0"/>
      </c:catAx>
      <c:valAx>
        <c:axId val="1474062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6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15</xdr:row>
      <xdr:rowOff>0</xdr:rowOff>
    </xdr:from>
    <xdr:to>
      <xdr:col>13</xdr:col>
      <xdr:colOff>304800</xdr:colOff>
      <xdr:row>17</xdr:row>
      <xdr:rowOff>1773</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17</xdr:row>
      <xdr:rowOff>1773</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17</xdr:row>
      <xdr:rowOff>1773</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xdr:colOff>
      <xdr:row>3</xdr:row>
      <xdr:rowOff>60324</xdr:rowOff>
    </xdr:from>
    <xdr:to>
      <xdr:col>2</xdr:col>
      <xdr:colOff>1499930</xdr:colOff>
      <xdr:row>13</xdr:row>
      <xdr:rowOff>254689</xdr:rowOff>
    </xdr:to>
    <xdr:pic>
      <xdr:nvPicPr>
        <xdr:cNvPr id="2" name="Picture 1">
          <a:extLst>
            <a:ext uri="{FF2B5EF4-FFF2-40B4-BE49-F238E27FC236}">
              <a16:creationId xmlns:a16="http://schemas.microsoft.com/office/drawing/2014/main" id="{9C39C541-F886-48D8-28CA-35EFD4596DC9}"/>
            </a:ext>
            <a:ext uri="{147F2762-F138-4A5C-976F-8EAC2B608ADB}">
              <a16:predDERef xmlns:a16="http://schemas.microsoft.com/office/drawing/2014/main" pred="{D38869C9-D998-A047-96C8-5B849EBEA94D}"/>
            </a:ext>
          </a:extLst>
        </xdr:cNvPr>
        <xdr:cNvPicPr>
          <a:picLocks noChangeAspect="1"/>
        </xdr:cNvPicPr>
      </xdr:nvPicPr>
      <xdr:blipFill>
        <a:blip xmlns:r="http://schemas.openxmlformats.org/officeDocument/2006/relationships" r:embed="rId1"/>
        <a:stretch>
          <a:fillRect/>
        </a:stretch>
      </xdr:blipFill>
      <xdr:spPr>
        <a:xfrm>
          <a:off x="-1" y="727074"/>
          <a:ext cx="3147756" cy="1975540"/>
        </a:xfrm>
        <a:prstGeom prst="rect">
          <a:avLst/>
        </a:prstGeom>
      </xdr:spPr>
    </xdr:pic>
    <xdr:clientData/>
  </xdr:twoCellAnchor>
  <xdr:twoCellAnchor editAs="oneCell">
    <xdr:from>
      <xdr:col>7</xdr:col>
      <xdr:colOff>592669</xdr:colOff>
      <xdr:row>76</xdr:row>
      <xdr:rowOff>4482</xdr:rowOff>
    </xdr:from>
    <xdr:to>
      <xdr:col>12</xdr:col>
      <xdr:colOff>552175</xdr:colOff>
      <xdr:row>100</xdr:row>
      <xdr:rowOff>14148</xdr:rowOff>
    </xdr:to>
    <xdr:pic>
      <xdr:nvPicPr>
        <xdr:cNvPr id="5" name="Picture 4">
          <a:extLst>
            <a:ext uri="{FF2B5EF4-FFF2-40B4-BE49-F238E27FC236}">
              <a16:creationId xmlns:a16="http://schemas.microsoft.com/office/drawing/2014/main" id="{6DE3E0E3-CFF4-A4E2-6601-92DEF827690D}"/>
            </a:ext>
          </a:extLst>
        </xdr:cNvPr>
        <xdr:cNvPicPr>
          <a:picLocks noChangeAspect="1"/>
        </xdr:cNvPicPr>
      </xdr:nvPicPr>
      <xdr:blipFill>
        <a:blip xmlns:r="http://schemas.openxmlformats.org/officeDocument/2006/relationships" r:embed="rId2"/>
        <a:stretch>
          <a:fillRect/>
        </a:stretch>
      </xdr:blipFill>
      <xdr:spPr>
        <a:xfrm>
          <a:off x="10614626" y="22477960"/>
          <a:ext cx="6585592" cy="39991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xdr:colOff>
      <xdr:row>20</xdr:row>
      <xdr:rowOff>0</xdr:rowOff>
    </xdr:from>
    <xdr:to>
      <xdr:col>11</xdr:col>
      <xdr:colOff>657225</xdr:colOff>
      <xdr:row>26</xdr:row>
      <xdr:rowOff>695325</xdr:rowOff>
    </xdr:to>
    <xdr:graphicFrame macro="">
      <xdr:nvGraphicFramePr>
        <xdr:cNvPr id="10"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638175</xdr:colOff>
      <xdr:row>20</xdr:row>
      <xdr:rowOff>0</xdr:rowOff>
    </xdr:from>
    <xdr:to>
      <xdr:col>15</xdr:col>
      <xdr:colOff>752475</xdr:colOff>
      <xdr:row>26</xdr:row>
      <xdr:rowOff>695325</xdr:rowOff>
    </xdr:to>
    <xdr:graphicFrame macro="">
      <xdr:nvGraphicFramePr>
        <xdr:cNvPr id="8"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638175</xdr:colOff>
      <xdr:row>19</xdr:row>
      <xdr:rowOff>247650</xdr:rowOff>
    </xdr:from>
    <xdr:to>
      <xdr:col>11</xdr:col>
      <xdr:colOff>647700</xdr:colOff>
      <xdr:row>27</xdr:row>
      <xdr:rowOff>0</xdr:rowOff>
    </xdr:to>
    <xdr:cxnSp macro="">
      <xdr:nvCxnSpPr>
        <xdr:cNvPr id="2"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077700" y="350520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476250</xdr:colOff>
      <xdr:row>40</xdr:row>
      <xdr:rowOff>85725</xdr:rowOff>
    </xdr:from>
    <xdr:to>
      <xdr:col>14</xdr:col>
      <xdr:colOff>238125</xdr:colOff>
      <xdr:row>43</xdr:row>
      <xdr:rowOff>9525</xdr:rowOff>
    </xdr:to>
    <xdr:sp macro="" textlink="">
      <xdr:nvSpPr>
        <xdr:cNvPr id="32" name="Rectangle 9">
          <a:extLst>
            <a:ext uri="{FF2B5EF4-FFF2-40B4-BE49-F238E27FC236}">
              <a16:creationId xmlns:a16="http://schemas.microsoft.com/office/drawing/2014/main" id="{9EA941B6-F7AA-AE8B-792C-EC306EB6FD73}"/>
            </a:ext>
            <a:ext uri="{147F2762-F138-4A5C-976F-8EAC2B608ADB}">
              <a16:predDERef xmlns:a16="http://schemas.microsoft.com/office/drawing/2014/main" pred="{9A7F258B-F9AD-6876-BB0C-F39E8E2CB6BB}"/>
            </a:ext>
          </a:extLst>
        </xdr:cNvPr>
        <xdr:cNvSpPr/>
      </xdr:nvSpPr>
      <xdr:spPr bwMode="auto">
        <a:xfrm>
          <a:off x="12677775" y="8486775"/>
          <a:ext cx="1285875" cy="409575"/>
        </a:xfrm>
        <a:prstGeom prst="rect">
          <a:avLst/>
        </a:prstGeom>
        <a:solidFill>
          <a:srgbClr val="FFFFFF"/>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34</xdr:col>
      <xdr:colOff>19050</xdr:colOff>
      <xdr:row>52</xdr:row>
      <xdr:rowOff>47625</xdr:rowOff>
    </xdr:from>
    <xdr:to>
      <xdr:col>35</xdr:col>
      <xdr:colOff>209550</xdr:colOff>
      <xdr:row>58</xdr:row>
      <xdr:rowOff>28575</xdr:rowOff>
    </xdr:to>
    <xdr:sp macro="" textlink="">
      <xdr:nvSpPr>
        <xdr:cNvPr id="87" name="Rectangle 17">
          <a:extLst>
            <a:ext uri="{FF2B5EF4-FFF2-40B4-BE49-F238E27FC236}">
              <a16:creationId xmlns:a16="http://schemas.microsoft.com/office/drawing/2014/main" id="{373BA1AE-84F4-1EA4-7F90-6E6AE589AB0D}"/>
            </a:ext>
            <a:ext uri="{147F2762-F138-4A5C-976F-8EAC2B608ADB}">
              <a16:predDERef xmlns:a16="http://schemas.microsoft.com/office/drawing/2014/main" pred="{795168BE-2BCC-E14D-F42E-6CD34F49FE73}"/>
            </a:ext>
          </a:extLst>
        </xdr:cNvPr>
        <xdr:cNvSpPr/>
      </xdr:nvSpPr>
      <xdr:spPr bwMode="auto">
        <a:xfrm>
          <a:off x="29794200" y="10391775"/>
          <a:ext cx="952500" cy="952500"/>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21</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5D67A490-620E-4BB6-ACF8-2FBAECF65CB2}"/>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0</xdr:col>
      <xdr:colOff>19050</xdr:colOff>
      <xdr:row>0</xdr:row>
      <xdr:rowOff>0</xdr:rowOff>
    </xdr:from>
    <xdr:to>
      <xdr:col>2</xdr:col>
      <xdr:colOff>142875</xdr:colOff>
      <xdr:row>2</xdr:row>
      <xdr:rowOff>142875</xdr:rowOff>
    </xdr:to>
    <xdr:pic>
      <xdr:nvPicPr>
        <xdr:cNvPr id="2" name="Picture 1">
          <a:extLst>
            <a:ext uri="{FF2B5EF4-FFF2-40B4-BE49-F238E27FC236}">
              <a16:creationId xmlns:a16="http://schemas.microsoft.com/office/drawing/2014/main" id="{2814DCA0-EC41-83A4-2915-F13FE40300E4}"/>
            </a:ext>
            <a:ext uri="{147F2762-F138-4A5C-976F-8EAC2B608ADB}">
              <a16:predDERef xmlns:a16="http://schemas.microsoft.com/office/drawing/2014/main" pred="{71A499F7-7BCB-43D8-AAAA-8629B391E887}"/>
            </a:ext>
          </a:extLst>
        </xdr:cNvPr>
        <xdr:cNvPicPr>
          <a:picLocks noChangeAspect="1"/>
        </xdr:cNvPicPr>
      </xdr:nvPicPr>
      <xdr:blipFill>
        <a:blip xmlns:r="http://schemas.openxmlformats.org/officeDocument/2006/relationships" r:embed="rId1"/>
        <a:stretch>
          <a:fillRect/>
        </a:stretch>
      </xdr:blipFill>
      <xdr:spPr>
        <a:xfrm>
          <a:off x="19050" y="0"/>
          <a:ext cx="2266950" cy="1371600"/>
        </a:xfrm>
        <a:prstGeom prst="rect">
          <a:avLst/>
        </a:prstGeom>
      </xdr:spPr>
    </xdr:pic>
    <xdr:clientData/>
  </xdr:twoCellAnchor>
  <xdr:twoCellAnchor editAs="oneCell">
    <xdr:from>
      <xdr:col>1</xdr:col>
      <xdr:colOff>123825</xdr:colOff>
      <xdr:row>2</xdr:row>
      <xdr:rowOff>266700</xdr:rowOff>
    </xdr:from>
    <xdr:to>
      <xdr:col>1</xdr:col>
      <xdr:colOff>1981200</xdr:colOff>
      <xdr:row>2</xdr:row>
      <xdr:rowOff>819150</xdr:rowOff>
    </xdr:to>
    <xdr:pic>
      <xdr:nvPicPr>
        <xdr:cNvPr id="3" name="Picture 2">
          <a:extLst>
            <a:ext uri="{FF2B5EF4-FFF2-40B4-BE49-F238E27FC236}">
              <a16:creationId xmlns:a16="http://schemas.microsoft.com/office/drawing/2014/main" id="{7A0DFF0D-D006-8FA1-594B-D757029F543C}"/>
            </a:ext>
            <a:ext uri="{147F2762-F138-4A5C-976F-8EAC2B608ADB}">
              <a16:predDERef xmlns:a16="http://schemas.microsoft.com/office/drawing/2014/main" pred="{2814DCA0-EC41-83A4-2915-F13FE40300E4}"/>
            </a:ext>
          </a:extLst>
        </xdr:cNvPr>
        <xdr:cNvPicPr>
          <a:picLocks noChangeAspect="1"/>
        </xdr:cNvPicPr>
      </xdr:nvPicPr>
      <xdr:blipFill>
        <a:blip xmlns:r="http://schemas.openxmlformats.org/officeDocument/2006/relationships" r:embed="rId2"/>
        <a:stretch>
          <a:fillRect/>
        </a:stretch>
      </xdr:blipFill>
      <xdr:spPr>
        <a:xfrm>
          <a:off x="152400" y="1476375"/>
          <a:ext cx="1857375" cy="552450"/>
        </a:xfrm>
        <a:prstGeom prst="rect">
          <a:avLst/>
        </a:prstGeom>
      </xdr:spPr>
    </xdr:pic>
    <xdr:clientData/>
  </xdr:twoCellAnchor>
  <xdr:twoCellAnchor editAs="oneCell">
    <xdr:from>
      <xdr:col>1</xdr:col>
      <xdr:colOff>57150</xdr:colOff>
      <xdr:row>3</xdr:row>
      <xdr:rowOff>161925</xdr:rowOff>
    </xdr:from>
    <xdr:to>
      <xdr:col>1</xdr:col>
      <xdr:colOff>1990725</xdr:colOff>
      <xdr:row>3</xdr:row>
      <xdr:rowOff>876300</xdr:rowOff>
    </xdr:to>
    <xdr:pic>
      <xdr:nvPicPr>
        <xdr:cNvPr id="4" name="Picture 3">
          <a:extLst>
            <a:ext uri="{FF2B5EF4-FFF2-40B4-BE49-F238E27FC236}">
              <a16:creationId xmlns:a16="http://schemas.microsoft.com/office/drawing/2014/main" id="{82F7DAF3-5FB0-CFE9-A118-7A4FD0A3AAB8}"/>
            </a:ext>
            <a:ext uri="{147F2762-F138-4A5C-976F-8EAC2B608ADB}">
              <a16:predDERef xmlns:a16="http://schemas.microsoft.com/office/drawing/2014/main" pred="{7A0DFF0D-D006-8FA1-594B-D757029F543C}"/>
            </a:ext>
          </a:extLst>
        </xdr:cNvPr>
        <xdr:cNvPicPr>
          <a:picLocks noChangeAspect="1"/>
        </xdr:cNvPicPr>
      </xdr:nvPicPr>
      <xdr:blipFill>
        <a:blip xmlns:r="http://schemas.openxmlformats.org/officeDocument/2006/relationships" r:embed="rId3"/>
        <a:stretch>
          <a:fillRect/>
        </a:stretch>
      </xdr:blipFill>
      <xdr:spPr>
        <a:xfrm>
          <a:off x="85725" y="2409825"/>
          <a:ext cx="1933575" cy="714375"/>
        </a:xfrm>
        <a:prstGeom prst="rect">
          <a:avLst/>
        </a:prstGeom>
      </xdr:spPr>
    </xdr:pic>
    <xdr:clientData/>
  </xdr:twoCellAnchor>
  <xdr:twoCellAnchor editAs="oneCell">
    <xdr:from>
      <xdr:col>1</xdr:col>
      <xdr:colOff>172384</xdr:colOff>
      <xdr:row>5</xdr:row>
      <xdr:rowOff>198718</xdr:rowOff>
    </xdr:from>
    <xdr:to>
      <xdr:col>1</xdr:col>
      <xdr:colOff>1944034</xdr:colOff>
      <xdr:row>5</xdr:row>
      <xdr:rowOff>789268</xdr:rowOff>
    </xdr:to>
    <xdr:pic>
      <xdr:nvPicPr>
        <xdr:cNvPr id="6" name="Picture 5">
          <a:extLst>
            <a:ext uri="{FF2B5EF4-FFF2-40B4-BE49-F238E27FC236}">
              <a16:creationId xmlns:a16="http://schemas.microsoft.com/office/drawing/2014/main" id="{B069CAAB-BA5C-B24B-8ED9-A63C63688EE3}"/>
            </a:ext>
            <a:ext uri="{147F2762-F138-4A5C-976F-8EAC2B608ADB}">
              <a16:predDERef xmlns:a16="http://schemas.microsoft.com/office/drawing/2014/main" pred="{82F7DAF3-5FB0-CFE9-A118-7A4FD0A3AAB8}"/>
            </a:ext>
          </a:extLst>
        </xdr:cNvPr>
        <xdr:cNvPicPr>
          <a:picLocks noChangeAspect="1"/>
        </xdr:cNvPicPr>
      </xdr:nvPicPr>
      <xdr:blipFill>
        <a:blip xmlns:r="http://schemas.openxmlformats.org/officeDocument/2006/relationships" r:embed="rId4"/>
        <a:stretch>
          <a:fillRect/>
        </a:stretch>
      </xdr:blipFill>
      <xdr:spPr>
        <a:xfrm>
          <a:off x="200959" y="4523068"/>
          <a:ext cx="1771650" cy="590550"/>
        </a:xfrm>
        <a:prstGeom prst="rect">
          <a:avLst/>
        </a:prstGeom>
      </xdr:spPr>
    </xdr:pic>
    <xdr:clientData/>
  </xdr:twoCellAnchor>
  <xdr:twoCellAnchor editAs="oneCell">
    <xdr:from>
      <xdr:col>1</xdr:col>
      <xdr:colOff>211667</xdr:colOff>
      <xdr:row>4</xdr:row>
      <xdr:rowOff>74083</xdr:rowOff>
    </xdr:from>
    <xdr:to>
      <xdr:col>1</xdr:col>
      <xdr:colOff>1735667</xdr:colOff>
      <xdr:row>4</xdr:row>
      <xdr:rowOff>1005417</xdr:rowOff>
    </xdr:to>
    <xdr:pic>
      <xdr:nvPicPr>
        <xdr:cNvPr id="8" name="Picture 7">
          <a:extLst>
            <a:ext uri="{FF2B5EF4-FFF2-40B4-BE49-F238E27FC236}">
              <a16:creationId xmlns:a16="http://schemas.microsoft.com/office/drawing/2014/main" id="{CBA9DA21-5538-7B5B-940D-F55BEFA5C1C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54000" y="3333750"/>
          <a:ext cx="1524000" cy="9313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17</xdr:col>
      <xdr:colOff>262618</xdr:colOff>
      <xdr:row>1</xdr:row>
      <xdr:rowOff>147864</xdr:rowOff>
    </xdr:from>
    <xdr:to>
      <xdr:col>21</xdr:col>
      <xdr:colOff>1179739</xdr:colOff>
      <xdr:row>7</xdr:row>
      <xdr:rowOff>401864</xdr:rowOff>
    </xdr:to>
    <xdr:graphicFrame macro="">
      <xdr:nvGraphicFramePr>
        <xdr:cNvPr id="310" name="Gráfico 8">
          <a:extLst>
            <a:ext uri="{FF2B5EF4-FFF2-40B4-BE49-F238E27FC236}">
              <a16:creationId xmlns:a16="http://schemas.microsoft.com/office/drawing/2014/main" id="{834A8E00-B31D-EC7A-4166-66F40E641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234042</xdr:colOff>
      <xdr:row>7</xdr:row>
      <xdr:rowOff>486228</xdr:rowOff>
    </xdr:from>
    <xdr:to>
      <xdr:col>21</xdr:col>
      <xdr:colOff>1145720</xdr:colOff>
      <xdr:row>12</xdr:row>
      <xdr:rowOff>435428</xdr:rowOff>
    </xdr:to>
    <xdr:graphicFrame macro="">
      <xdr:nvGraphicFramePr>
        <xdr:cNvPr id="301" name="Gráfico 9">
          <a:extLst>
            <a:ext uri="{FF2B5EF4-FFF2-40B4-BE49-F238E27FC236}">
              <a16:creationId xmlns:a16="http://schemas.microsoft.com/office/drawing/2014/main" id="{CF12CB32-795F-7528-355F-ABE1EF8A5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210911</xdr:colOff>
      <xdr:row>12</xdr:row>
      <xdr:rowOff>481693</xdr:rowOff>
    </xdr:from>
    <xdr:to>
      <xdr:col>21</xdr:col>
      <xdr:colOff>1122589</xdr:colOff>
      <xdr:row>19</xdr:row>
      <xdr:rowOff>75293</xdr:rowOff>
    </xdr:to>
    <xdr:graphicFrame macro="">
      <xdr:nvGraphicFramePr>
        <xdr:cNvPr id="284" name="Gráfico 10">
          <a:extLst>
            <a:ext uri="{FF2B5EF4-FFF2-40B4-BE49-F238E27FC236}">
              <a16:creationId xmlns:a16="http://schemas.microsoft.com/office/drawing/2014/main" id="{E53AAB4F-BCF1-AFDB-6C67-D6DB06F29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200025</xdr:colOff>
      <xdr:row>19</xdr:row>
      <xdr:rowOff>117929</xdr:rowOff>
    </xdr:from>
    <xdr:to>
      <xdr:col>21</xdr:col>
      <xdr:colOff>1111703</xdr:colOff>
      <xdr:row>26</xdr:row>
      <xdr:rowOff>486229</xdr:rowOff>
    </xdr:to>
    <xdr:graphicFrame macro="">
      <xdr:nvGraphicFramePr>
        <xdr:cNvPr id="271" name="Gráfico 11">
          <a:extLst>
            <a:ext uri="{FF2B5EF4-FFF2-40B4-BE49-F238E27FC236}">
              <a16:creationId xmlns:a16="http://schemas.microsoft.com/office/drawing/2014/main" id="{278A061F-1821-F77F-C4FB-83DCDAE48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39914</xdr:colOff>
      <xdr:row>1</xdr:row>
      <xdr:rowOff>156029</xdr:rowOff>
    </xdr:from>
    <xdr:to>
      <xdr:col>26</xdr:col>
      <xdr:colOff>582386</xdr:colOff>
      <xdr:row>7</xdr:row>
      <xdr:rowOff>404586</xdr:rowOff>
    </xdr:to>
    <xdr:graphicFrame macro="">
      <xdr:nvGraphicFramePr>
        <xdr:cNvPr id="234" name="Gráfico 9">
          <a:extLst>
            <a:ext uri="{FF2B5EF4-FFF2-40B4-BE49-F238E27FC236}">
              <a16:creationId xmlns:a16="http://schemas.microsoft.com/office/drawing/2014/main" id="{329C4E22-EDA8-2790-78BC-2BB380AED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29028</xdr:colOff>
      <xdr:row>7</xdr:row>
      <xdr:rowOff>486231</xdr:rowOff>
    </xdr:from>
    <xdr:to>
      <xdr:col>26</xdr:col>
      <xdr:colOff>571500</xdr:colOff>
      <xdr:row>12</xdr:row>
      <xdr:rowOff>440871</xdr:rowOff>
    </xdr:to>
    <xdr:graphicFrame macro="">
      <xdr:nvGraphicFramePr>
        <xdr:cNvPr id="225" name="Gráfico 10">
          <a:extLst>
            <a:ext uri="{FF2B5EF4-FFF2-40B4-BE49-F238E27FC236}">
              <a16:creationId xmlns:a16="http://schemas.microsoft.com/office/drawing/2014/main" id="{1704079C-BD96-E47C-AB2B-4E42B2B1C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29030</xdr:colOff>
      <xdr:row>12</xdr:row>
      <xdr:rowOff>489857</xdr:rowOff>
    </xdr:from>
    <xdr:to>
      <xdr:col>26</xdr:col>
      <xdr:colOff>571502</xdr:colOff>
      <xdr:row>19</xdr:row>
      <xdr:rowOff>67129</xdr:rowOff>
    </xdr:to>
    <xdr:graphicFrame macro="">
      <xdr:nvGraphicFramePr>
        <xdr:cNvPr id="253" name="Gráfico 11">
          <a:extLst>
            <a:ext uri="{FF2B5EF4-FFF2-40B4-BE49-F238E27FC236}">
              <a16:creationId xmlns:a16="http://schemas.microsoft.com/office/drawing/2014/main" id="{DFB6DC05-2790-57DD-8CC3-C444109A2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7256</xdr:colOff>
      <xdr:row>19</xdr:row>
      <xdr:rowOff>161471</xdr:rowOff>
    </xdr:from>
    <xdr:to>
      <xdr:col>26</xdr:col>
      <xdr:colOff>549728</xdr:colOff>
      <xdr:row>26</xdr:row>
      <xdr:rowOff>491672</xdr:rowOff>
    </xdr:to>
    <xdr:graphicFrame macro="">
      <xdr:nvGraphicFramePr>
        <xdr:cNvPr id="262" name="Gráfico 12">
          <a:extLst>
            <a:ext uri="{FF2B5EF4-FFF2-40B4-BE49-F238E27FC236}">
              <a16:creationId xmlns:a16="http://schemas.microsoft.com/office/drawing/2014/main" id="{6B9A0A37-C244-6591-5EF5-1AD985372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AVID TITA" id="{6D2C5BD9-1C3E-4972-9F97-1CA81A3CC14E}" userId="S::david.tita@aln.iseg.ulisboa.pt::2b554b1a-dfdf-4fc2-8414-05963e9f059c"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8">
  <rv s="0">
    <v>https://www.bing.com/financeapi/forcetrigger?t=a1q6k2&amp;q=XNAS%3aCOST&amp;form=skydnc</v>
    <v>Learn more on Bing</v>
  </rv>
  <rv s="1">
    <v>en-GB</v>
    <v>a1q6k2</v>
    <v>268435456</v>
    <v>1</v>
    <v>Powered by Refinitiv</v>
    <v>0</v>
    <v>COSTCO WHOLESALE CORPORATION (XNAS:COST)</v>
    <v>2</v>
    <v>3</v>
    <v>Finance</v>
    <v>4</v>
    <v>896.67</v>
    <v>518.76300000000003</v>
    <v>0.77410000000000001</v>
    <v>-3.69</v>
    <v>-4.0550000000000004E-4</v>
    <v>-4.359E-3</v>
    <v>-0.34179999999999999</v>
    <v>USD</v>
    <v>Costco Wholesale Corporation operates membership warehouses and e-commerce websites. The Company operates 861 warehouses, including 591 in the United States and Puerto Rico, 107 in Canada, 40 in Mexico, 33 in Japan, 29 in the United Kingdom, 18 in Korea, 15 in Australia, 14 in Taiwan, five in China, four in Spain, two in France, and one each in Iceland, New Zealand and Sweden. It also operates e-commerce sites in the United States, Canada, the United Kingdom, Mexico, Korea, Taiwan, Japan and Australia. It provides a wide selection of merchandise, convenience of specialty departments and exclusive member services. It operates through three segments: United States Operations, Canadian Operations, and Other International Operations. The Company offers merchandise categories (foods and sundries, non-foods, and fresh foods), warehouse ancillary (gasoline, pharmacy, optical, food court, hearing aids and tire installation) and other businesses (e-commerce, business centers, travel and other).</v>
    <v>316000</v>
    <v>Nasdaq Stock Market</v>
    <v>XNAS</v>
    <v>XNAS</v>
    <v>999 Lake Dr, ISSAQUAH, WA, 98027- US</v>
    <v>850</v>
    <v>Diversified Retail</v>
    <v>Stock</v>
    <v>45485.999938321096</v>
    <v>0</v>
    <v>838.38</v>
    <v>373687100000</v>
    <v>COSTCO WHOLESALE CORPORATION</v>
    <v>COSTCO WHOLESALE CORPORATION</v>
    <v>849.89</v>
    <v>52.244999999999997</v>
    <v>846.59</v>
    <v>842.9</v>
    <v>842.55820000000006</v>
    <v>443335000</v>
    <v>COST</v>
    <v>COSTCO WHOLESALE CORPORATION (XNAS:COST)</v>
    <v>3288384</v>
    <v>1934516</v>
    <v>1987</v>
  </rv>
  <rv s="2">
    <v>1</v>
  </rv>
  <rv s="0">
    <v>https://www.bing.com/financeapi/forcetrigger?t=a25ya2&amp;q=XNYS%3aWMT&amp;form=skydnc</v>
    <v>Learn more on Bing</v>
  </rv>
  <rv s="1">
    <v>en-GB</v>
    <v>a25ya2</v>
    <v>268435456</v>
    <v>1</v>
    <v>Powered by Refinitiv</v>
    <v>0</v>
    <v>WALMART INC. (XNYS:WMT)</v>
    <v>2</v>
    <v>3</v>
    <v>Finance</v>
    <v>4</v>
    <v>70.45</v>
    <v>49.846600000000002</v>
    <v>0.50149999999999995</v>
    <v>-0.56000000000000005</v>
    <v>-1.415E-4</v>
    <v>-8.0230000000000006E-3</v>
    <v>-9.7999999999999997E-3</v>
    <v>USD</v>
    <v>Walmart Inc. is a technology-powered omnichannel retailer. The Company is engaged in the operation of retail and wholesale stores and clubs, as well as e-commerce websites and mobile applications, located throughout the United States, Africa, Canada, Central America, Chile, China, India and Mexico. It operates through three segments: Walmart U.S., Walmart International and Sam's Club. The Walmart U.S. segment includes the Company's mass merchant concept in the United States, as well as e-commerce, which includes omni-channel initiatives and certain other business offerings such as advertising services through Walmart Connect. It operates under the Walmart and Walmart Neighborhood Market brands. The Walmart International segment consists of the Company's operations outside of the United States, as well as e-commerce and omni-channel initiatives. The Sam's Club segment includes the warehouse membership clubs in the United States, as well as e-commerce and omni-channel initiatives.</v>
    <v>2100000</v>
    <v>New York Stock Exchange</v>
    <v>XNYS</v>
    <v>XNYS</v>
    <v>702 SW 8th St, BENTONVILLE, AR, 72716-6209 US</v>
    <v>70.029899999999998</v>
    <v>Food &amp; Drug Retailing</v>
    <v>Stock</v>
    <v>45485.999950821097</v>
    <v>3</v>
    <v>69.17</v>
    <v>556934900000</v>
    <v>WALMART INC.</v>
    <v>WALMART INC.</v>
    <v>69.900000000000006</v>
    <v>36.706800000000001</v>
    <v>69.8</v>
    <v>69.239999999999995</v>
    <v>69.230199999999996</v>
    <v>8043543000</v>
    <v>WMT</v>
    <v>WALMART INC. (XNYS:WMT)</v>
    <v>12145317</v>
    <v>14258357</v>
    <v>1969</v>
  </rv>
  <rv s="2">
    <v>4</v>
  </rv>
  <rv s="0">
    <v>https://www.bing.com/financeapi/forcetrigger?t=a1nhlh&amp;q=XNAS%3aAMZN&amp;form=skydnc</v>
    <v>Learn more on Bing</v>
  </rv>
  <rv s="1">
    <v>en-GB</v>
    <v>a1nhlh</v>
    <v>268435456</v>
    <v>1</v>
    <v>Powered by Refinitiv</v>
    <v>0</v>
    <v>AMAZON.COM, INC. (XNAS:AMZN)</v>
    <v>2</v>
    <v>3</v>
    <v>Finance</v>
    <v>4</v>
    <v>201.2</v>
    <v>118.35</v>
    <v>1.1516999999999999</v>
    <v>-0.56000000000000005</v>
    <v>2.0570000000000001E-4</v>
    <v>-2.8710000000000003E-3</v>
    <v>0.04</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manufactures and sells electronic devices, including Kindle, Fire tablet, Fire TV, Echo, Ring, Blink, and eero, and it develops and produces media content. It serves developers and enterprises of all sizes, including start-ups, government agencies, and academic institutions, through AWS, which offers a broad set of on-demand technology services, including compute, storage, database, analytics, and machine learning, and other services.</v>
    <v>1521000</v>
    <v>Nasdaq Stock Market</v>
    <v>XNAS</v>
    <v>XNAS</v>
    <v>410 Terry Ave N, SEATTLE, WA, 98109 US</v>
    <v>196.47</v>
    <v>Diversified Retail</v>
    <v>Stock</v>
    <v>45485.999931481252</v>
    <v>6</v>
    <v>193.83009999999999</v>
    <v>2023985000000</v>
    <v>AMAZON.COM, INC.</v>
    <v>AMAZON.COM, INC.</v>
    <v>194.8</v>
    <v>54.625900000000001</v>
    <v>195.05</v>
    <v>194.49</v>
    <v>194.53</v>
    <v>10406630000</v>
    <v>AMZN</v>
    <v>AMAZON.COM, INC. (XNAS:AMZN)</v>
    <v>30598525</v>
    <v>42340498</v>
    <v>1996</v>
  </rv>
  <rv s="2">
    <v>7</v>
  </rv>
  <rv s="0">
    <v>https://www.bing.com/financeapi/forcetrigger?t=a1wmu2&amp;q=XNYS%3aKR&amp;form=skydnc</v>
    <v>Learn more on Bing</v>
  </rv>
  <rv s="1">
    <v>en-GB</v>
    <v>a1wmu2</v>
    <v>268435456</v>
    <v>1</v>
    <v>Powered by Refinitiv</v>
    <v>0</v>
    <v>THE KROGER CO. (XNYS:KR)</v>
    <v>2</v>
    <v>3</v>
    <v>Finance</v>
    <v>4</v>
    <v>58.3399</v>
    <v>42.094999999999999</v>
    <v>0.44650000000000001</v>
    <v>-0.26</v>
    <v>0</v>
    <v>-4.9290000000000002E-3</v>
    <v>0</v>
    <v>USD</v>
    <v>The Kroger Co. is a food and drug retailer. The Company operate supermarkets, multi-department stores and fulfillment centers throughout the United States. It operates approximately 2,722 supermarkets, 2,257 pharmacies and 1,665 fuel centers in 35 states and the District of Columbia while also operating online through a digital ecosystem to offer customers an omnichannel shopping experience. The Company also manufactures and processes food for sale by its supermarkets and online. It offers Pickup and Harris Teeter ExpressLane personalized, order online, pick up at the store services at 2,350 of its supermarkets and provide delivery, which allows it to offer digital solutions to substantially all of its customers. Its delivery solutions include orders delivered to customers from retail store locations, customer fulfillment centers powered by Ocado and orders placed through third-party platforms. The Company also offers customer-facing apps and interfaces.</v>
    <v>414000</v>
    <v>New York Stock Exchange</v>
    <v>XNYS</v>
    <v>XNYS</v>
    <v>1014 Vine St, CINCINNATI, OH, 45202-1141 US</v>
    <v>53.02</v>
    <v>Food &amp; Drug Retailing</v>
    <v>Stock</v>
    <v>45485.999163414061</v>
    <v>9</v>
    <v>52.44</v>
    <v>37886800000</v>
    <v>THE KROGER CO.</v>
    <v>THE KROGER CO.</v>
    <v>52.83</v>
    <v>17.882300000000001</v>
    <v>52.75</v>
    <v>52.49</v>
    <v>52.49</v>
    <v>721790800</v>
    <v>KR</v>
    <v>THE KROGER CO. (XNYS:KR)</v>
    <v>3586450</v>
    <v>6415128</v>
    <v>1902</v>
  </rv>
  <rv s="2">
    <v>10</v>
  </rv>
  <rv s="0">
    <v>https://www.bing.com/financeapi/forcetrigger?t=a25pm7&amp;q=XNAS%3aWBA&amp;form=skydnc</v>
    <v>Learn more on Bing</v>
  </rv>
  <rv s="1">
    <v>en-GB</v>
    <v>a25pm7</v>
    <v>268435456</v>
    <v>1</v>
    <v>Powered by Refinitiv</v>
    <v>0</v>
    <v>WALGREENS BOOTS ALLIANCE, INC. (XNAS:WBA)</v>
    <v>2</v>
    <v>3</v>
    <v>Finance</v>
    <v>4</v>
    <v>31.315000000000001</v>
    <v>10.69</v>
    <v>0.69879999999999998</v>
    <v>7.0000000000000007E-2</v>
    <v>-8.696E-4</v>
    <v>6.124000000000001E-3</v>
    <v>-0.01</v>
    <v>USD</v>
    <v>Walgreens Boots Alliance, Inc. is an integrated healthcare, pharmacy and retailing company. Its segments include U.S. Retail Pharmacy, International, and U.S. Healthcare. The U.S. Retail Pharmacy segment includes the Walgreens business, which includes the operations of retail drug stores, health and wellness services, and specialty and home delivery pharmacy services, and its equity method investment in Cencora, Inc. The International segment consists of pharmacy-led health and beauty retail businesses outside the United States and a pharmaceutical wholesaling and distribution business in Germany. The pharmacy-led health and beauty retail businesses include Boots branded stores in the United Kingdom, the Republic of Ireland and Thailand, the Benavides brand in Mexico and the Ahumada brand in Chile. The U.S. Healthcare segment is a consumer-centric, technology-enabled healthcare business that engages consumers through a personalized, omni-channel experience across the care journey.</v>
    <v>206000</v>
    <v>Nasdaq Stock Market</v>
    <v>XNAS</v>
    <v>XNAS</v>
    <v>108 Wilmot Rd, DEERFIELD, IL, 60015 US</v>
    <v>11.6158</v>
    <v>Food &amp; Drug Retailing</v>
    <v>Stock</v>
    <v>45485.999934710155</v>
    <v>12</v>
    <v>11.29</v>
    <v>9927663000</v>
    <v>WALGREENS BOOTS ALLIANCE, INC.</v>
    <v>WALGREENS BOOTS ALLIANCE, INC.</v>
    <v>11.52</v>
    <v>0</v>
    <v>11.43</v>
    <v>11.5</v>
    <v>11.49</v>
    <v>863275000</v>
    <v>WBA</v>
    <v>WALGREENS BOOTS ALLIANCE, INC. (XNAS:WBA)</v>
    <v>17210231</v>
    <v>22429568</v>
    <v>2014</v>
  </rv>
  <rv s="2">
    <v>13</v>
  </rv>
  <rv s="0">
    <v>https://www.bing.com/financeapi/forcetrigger?t=a246z2&amp;q=XNYS%3aTGT&amp;form=skydnc</v>
    <v>Learn more on Bing</v>
  </rv>
  <rv s="1">
    <v>en-GB</v>
    <v>a246z2</v>
    <v>268435456</v>
    <v>1</v>
    <v>Powered by Refinitiv</v>
    <v>0</v>
    <v>TARGET CORPORATION (XNYS:TGT)</v>
    <v>2</v>
    <v>3</v>
    <v>Finance</v>
    <v>4</v>
    <v>181.86</v>
    <v>102.93</v>
    <v>1.1880999999999999</v>
    <v>1.45</v>
    <v>-9.8140000000000011E-4</v>
    <v>9.5770000000000004E-3</v>
    <v>-0.15</v>
    <v>USD</v>
    <v>Target Corporation is a general merchandise retailer selling products to its guests through its stores and digital channels. The Company serves guests at nearly 2,000 stores and at Target.com. It offers to its customers, referred to as guests, everyday essentials and fashionable, differentiated merchandise at discounted prices. The majority of its stores offer a wide assortment of general merchandise and food. Its merchandise categories include apparel and accessories, beauty and household essentials, food and beverage, hardlines, and home furnishings and decor. Most of its stores larger than 170,000 square feet offer a variety of general merchandise and a full line of food items comparable to traditional supermarkets. Its digital channels include a wide merchandise and food assortment, including many items found in its stores, along with a complementary assortment sold by the Company and third parties. Its brands include A New Day, Ava &amp; Viv, Cloud Island, Favorite Day, and others.</v>
    <v>415000</v>
    <v>New York Stock Exchange</v>
    <v>XNYS</v>
    <v>XNYS</v>
    <v>1000 Nicollet Mall, MINNEAPOLIS, MN, 55403 US</v>
    <v>153.63499999999999</v>
    <v>Diversified Retail</v>
    <v>Stock</v>
    <v>45485.997905925782</v>
    <v>15</v>
    <v>150.81</v>
    <v>70714000000</v>
    <v>TARGET CORPORATION</v>
    <v>TARGET CORPORATION</v>
    <v>152.47</v>
    <v>17.136399999999998</v>
    <v>151.4</v>
    <v>152.85</v>
    <v>152.69999999999999</v>
    <v>462636600</v>
    <v>TGT</v>
    <v>TARGET CORPORATION (XNYS:TGT)</v>
    <v>2675771</v>
    <v>4031528</v>
    <v>1902</v>
  </rv>
  <rv s="2">
    <v>16</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1" formatCode="0"/>
    </x:dxf>
    <x:dxf>
      <x:numFmt numFmtId="2" formatCode="0.00"/>
    </x:dxf>
    <x:dxf>
      <x:numFmt numFmtId="27" formatCode="m/d/yyyy\ h:mm"/>
    </x:dxf>
  </dxfs>
  <richProperties>
    <rPr n="NumberFormat" t="s"/>
    <rPr n="IsTitleField" t="b"/>
  </richProperties>
  <richStyles>
    <rSty dxfid="0">
      <rpv i="0">_([$$-en-US]* #,##0.00_);_([$$-en-US]* (#,##0.00);_([$$-en-US]* "-"??_);_(@_)</rpv>
    </rSty>
    <rSty dxfid="1">
      <rpv i="0">#,##0.00</rpv>
    </rSty>
    <rSty>
      <rpv i="1">1</rpv>
    </rSty>
    <rSty dxfid="2">
      <rpv i="0">#,##0</rpv>
    </rSty>
    <rSty dxfid="3"/>
    <rSty dxfid="0">
      <rpv i="0">_([$$-en-US]* #,##0_);_([$$-en-US]* (#,##0);_([$$-en-US]* "-"_);_(@_)</rpv>
    </rSty>
    <rSty dxfid="6"/>
    <rSty dxfid="4">
      <rpv i="0">0</rpv>
    </rSty>
    <rSty dxfid="5">
      <rpv i="0">0.00</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simplywall.st/markets/us/consumer-staple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pages.stern.nyu.edu/~adamodar/New_Home_Page/datafile/ctryprem.html"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hyperlink" Target="https://www.statista.com/statistics/244983/projected-inflation-rate-in-the-united-stat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1"/>
  <sheetViews>
    <sheetView showGridLines="0" zoomScale="70" zoomScaleNormal="100" workbookViewId="0">
      <selection activeCell="M41" sqref="M41:M44"/>
    </sheetView>
  </sheetViews>
  <sheetFormatPr defaultColWidth="11.42578125" defaultRowHeight="12.75"/>
  <cols>
    <col min="1" max="1" width="0.42578125" customWidth="1"/>
    <col min="2" max="2" width="24.28515625" customWidth="1"/>
    <col min="3" max="3" width="23.42578125" customWidth="1"/>
    <col min="4" max="4" width="32" customWidth="1"/>
    <col min="5" max="5" width="20.42578125" bestFit="1" customWidth="1"/>
    <col min="6" max="6" width="17" bestFit="1" customWidth="1"/>
    <col min="7" max="7" width="15.85546875" customWidth="1"/>
    <col min="8" max="8" width="24.85546875" customWidth="1"/>
    <col min="9" max="9" width="17.140625" customWidth="1"/>
    <col min="10" max="10" width="10.42578125" customWidth="1"/>
    <col min="11" max="11" width="13.7109375" customWidth="1"/>
    <col min="12" max="12" width="20.85546875" bestFit="1" customWidth="1"/>
    <col min="13" max="13" width="31" customWidth="1"/>
  </cols>
  <sheetData>
    <row r="1" spans="2:17" ht="3.75" customHeight="1" thickBot="1"/>
    <row r="2" spans="2:17" ht="22.5" customHeight="1">
      <c r="B2" s="496">
        <v>45141</v>
      </c>
      <c r="C2" s="344" t="s">
        <v>0</v>
      </c>
      <c r="D2" s="497">
        <v>45169</v>
      </c>
      <c r="E2" s="838" t="e" vm="1">
        <f>Inputs!H3</f>
        <v>#VALUE!</v>
      </c>
      <c r="F2" s="839"/>
      <c r="G2" s="839"/>
      <c r="H2" s="839"/>
      <c r="I2" s="839"/>
      <c r="J2" s="839"/>
      <c r="K2" s="840"/>
      <c r="L2" s="345" t="s">
        <v>1</v>
      </c>
      <c r="M2" s="596" t="s">
        <v>2</v>
      </c>
    </row>
    <row r="3" spans="2:17" ht="26.25" customHeight="1">
      <c r="B3" s="828"/>
      <c r="C3" s="829"/>
      <c r="D3" s="848" t="s">
        <v>3</v>
      </c>
      <c r="E3" s="848"/>
      <c r="F3" s="848"/>
      <c r="G3" s="848"/>
      <c r="H3" s="848" t="s">
        <v>4</v>
      </c>
      <c r="I3" s="848"/>
      <c r="J3" s="848"/>
      <c r="K3" s="848"/>
      <c r="L3" s="848"/>
      <c r="M3" s="849"/>
    </row>
    <row r="4" spans="2:17">
      <c r="B4" s="828"/>
      <c r="C4" s="829"/>
      <c r="D4" s="847" t="str" cm="1">
        <f t="array" ref="D4">_FV(Inputs!H3,"Description")</f>
        <v>Costco Wholesale Corporation operates membership warehouses and e-commerce websites. The Company operates 861 warehouses, including 591 in the United States and Puerto Rico, 107 in Canada, 40 in Mexico, 33 in Japan, 29 in the United Kingdom, 18 in Korea, 15 in Australia, 14 in Taiwan, five in China, four in Spain, two in France, and one each in Iceland, New Zealand and Sweden. It also operates e-commerce sites in the United States, Canada, the United Kingdom, Mexico, Korea, Taiwan, Japan and Australia. It provides a wide selection of merchandise, convenience of specialty departments and exclusive member services. It operates through three segments: United States Operations, Canadian Operations, and Other International Operations. The Company offers merchandise categories (foods and sundries, non-foods, and fresh foods), warehouse ancillary (gasoline, pharmacy, optical, food court, hearing aids and tire installation) and other businesses (e-commerce, business centers, travel and other).</v>
      </c>
      <c r="E4" s="847"/>
      <c r="F4" s="847"/>
      <c r="G4" s="847"/>
      <c r="H4" s="134" t="s">
        <v>5</v>
      </c>
      <c r="I4" s="135" t="s">
        <v>6</v>
      </c>
      <c r="J4" s="135" t="s">
        <v>7</v>
      </c>
      <c r="K4" s="135" t="s">
        <v>8</v>
      </c>
      <c r="L4" s="135" t="s">
        <v>9</v>
      </c>
      <c r="M4" s="136" t="s">
        <v>10</v>
      </c>
    </row>
    <row r="5" spans="2:17">
      <c r="B5" s="828"/>
      <c r="C5" s="829"/>
      <c r="D5" s="847"/>
      <c r="E5" s="847"/>
      <c r="F5" s="847"/>
      <c r="G5" s="847"/>
      <c r="H5" s="137" t="s">
        <v>11</v>
      </c>
      <c r="I5" s="476" t="s">
        <v>12</v>
      </c>
      <c r="J5" s="476">
        <v>70</v>
      </c>
      <c r="K5" s="476">
        <v>11.6</v>
      </c>
      <c r="L5" s="476" t="s">
        <v>13</v>
      </c>
      <c r="M5" s="732" t="s">
        <v>14</v>
      </c>
    </row>
    <row r="6" spans="2:17">
      <c r="B6" s="828"/>
      <c r="C6" s="829"/>
      <c r="D6" s="847"/>
      <c r="E6" s="847"/>
      <c r="F6" s="847"/>
      <c r="G6" s="847"/>
      <c r="H6" s="11" t="s">
        <v>15</v>
      </c>
      <c r="I6" s="476" t="s">
        <v>12</v>
      </c>
      <c r="J6" s="476">
        <v>58</v>
      </c>
      <c r="K6" s="476">
        <v>1.5</v>
      </c>
      <c r="L6" s="476" t="s">
        <v>13</v>
      </c>
      <c r="M6" s="732" t="s">
        <v>16</v>
      </c>
    </row>
    <row r="7" spans="2:17">
      <c r="B7" s="828"/>
      <c r="C7" s="829"/>
      <c r="D7" s="847"/>
      <c r="E7" s="847"/>
      <c r="F7" s="847"/>
      <c r="G7" s="847"/>
      <c r="H7" s="137" t="s">
        <v>17</v>
      </c>
      <c r="I7" s="476" t="s">
        <v>12</v>
      </c>
      <c r="J7" s="476">
        <v>67</v>
      </c>
      <c r="K7" s="476">
        <v>28.6</v>
      </c>
      <c r="L7" s="476" t="s">
        <v>13</v>
      </c>
      <c r="M7" s="346" t="s">
        <v>18</v>
      </c>
    </row>
    <row r="8" spans="2:17">
      <c r="B8" s="828"/>
      <c r="C8" s="829"/>
      <c r="D8" s="847"/>
      <c r="E8" s="847"/>
      <c r="F8" s="847"/>
      <c r="G8" s="847"/>
      <c r="H8" s="137" t="s">
        <v>19</v>
      </c>
      <c r="I8" s="476" t="s">
        <v>12</v>
      </c>
      <c r="J8" s="476">
        <v>65</v>
      </c>
      <c r="K8" s="476">
        <v>14.7</v>
      </c>
      <c r="L8" s="476" t="s">
        <v>20</v>
      </c>
      <c r="M8" s="732" t="s">
        <v>21</v>
      </c>
    </row>
    <row r="9" spans="2:17" ht="25.5">
      <c r="B9" s="828"/>
      <c r="C9" s="829"/>
      <c r="D9" s="847"/>
      <c r="E9" s="847"/>
      <c r="F9" s="847"/>
      <c r="G9" s="847"/>
      <c r="H9" s="137" t="s">
        <v>22</v>
      </c>
      <c r="I9" s="476" t="s">
        <v>12</v>
      </c>
      <c r="J9" s="476">
        <v>64</v>
      </c>
      <c r="K9" s="476">
        <v>6.4</v>
      </c>
      <c r="L9" s="476" t="s">
        <v>20</v>
      </c>
      <c r="M9" s="732" t="s">
        <v>23</v>
      </c>
    </row>
    <row r="10" spans="2:17">
      <c r="B10" s="828"/>
      <c r="C10" s="829"/>
      <c r="D10" s="847"/>
      <c r="E10" s="847"/>
      <c r="F10" s="847"/>
      <c r="G10" s="847"/>
      <c r="H10" s="137" t="s">
        <v>24</v>
      </c>
      <c r="I10" s="476" t="s">
        <v>25</v>
      </c>
      <c r="J10" s="476">
        <v>60</v>
      </c>
      <c r="K10" s="476">
        <v>18.8</v>
      </c>
      <c r="L10" s="476" t="s">
        <v>20</v>
      </c>
      <c r="M10" s="732" t="s">
        <v>21</v>
      </c>
    </row>
    <row r="11" spans="2:17">
      <c r="B11" s="828"/>
      <c r="C11" s="829"/>
      <c r="D11" s="847"/>
      <c r="E11" s="847"/>
      <c r="F11" s="847"/>
      <c r="G11" s="847"/>
      <c r="H11" s="137" t="s">
        <v>26</v>
      </c>
      <c r="I11" s="476" t="s">
        <v>25</v>
      </c>
      <c r="J11" s="476">
        <v>68</v>
      </c>
      <c r="K11" s="476">
        <v>7.8</v>
      </c>
      <c r="L11" s="476" t="s">
        <v>20</v>
      </c>
      <c r="M11" s="732" t="s">
        <v>21</v>
      </c>
    </row>
    <row r="12" spans="2:17">
      <c r="B12" s="828"/>
      <c r="C12" s="829"/>
      <c r="D12" s="847"/>
      <c r="E12" s="847"/>
      <c r="F12" s="847"/>
      <c r="G12" s="847"/>
      <c r="H12" s="137" t="s">
        <v>27</v>
      </c>
      <c r="I12" s="476" t="s">
        <v>12</v>
      </c>
      <c r="J12" s="476">
        <v>99</v>
      </c>
      <c r="K12" s="476">
        <v>26.6</v>
      </c>
      <c r="L12" s="476" t="s">
        <v>20</v>
      </c>
      <c r="M12" s="732" t="s">
        <v>21</v>
      </c>
      <c r="P12" s="498"/>
    </row>
    <row r="13" spans="2:17">
      <c r="B13" s="828"/>
      <c r="C13" s="829"/>
      <c r="D13" s="847"/>
      <c r="E13" s="847"/>
      <c r="F13" s="847"/>
      <c r="G13" s="847"/>
      <c r="H13" s="137" t="s">
        <v>28</v>
      </c>
      <c r="I13" s="476" t="s">
        <v>12</v>
      </c>
      <c r="J13" s="476">
        <v>68</v>
      </c>
      <c r="K13" s="476">
        <v>7.8</v>
      </c>
      <c r="L13" s="476" t="s">
        <v>20</v>
      </c>
      <c r="M13" s="732" t="s">
        <v>21</v>
      </c>
    </row>
    <row r="14" spans="2:17" ht="24" customHeight="1">
      <c r="B14" s="828"/>
      <c r="C14" s="829"/>
      <c r="D14" s="847"/>
      <c r="E14" s="847"/>
      <c r="F14" s="847"/>
      <c r="G14" s="847"/>
      <c r="H14" s="137" t="s">
        <v>29</v>
      </c>
      <c r="I14" s="476" t="s">
        <v>12</v>
      </c>
      <c r="J14" s="476">
        <v>72</v>
      </c>
      <c r="K14" s="476">
        <v>35</v>
      </c>
      <c r="L14" s="476" t="s">
        <v>20</v>
      </c>
      <c r="M14" s="346" t="s">
        <v>30</v>
      </c>
      <c r="Q14" s="347"/>
    </row>
    <row r="15" spans="2:17" ht="25.5" customHeight="1">
      <c r="B15" s="828"/>
      <c r="C15" s="829"/>
      <c r="D15" s="847"/>
      <c r="E15" s="847"/>
      <c r="F15" s="847"/>
      <c r="G15" s="847"/>
      <c r="H15" s="137" t="s">
        <v>31</v>
      </c>
      <c r="I15" s="476" t="s">
        <v>25</v>
      </c>
      <c r="J15" s="476">
        <v>67</v>
      </c>
      <c r="K15" s="476">
        <v>3.6</v>
      </c>
      <c r="L15" s="476" t="s">
        <v>20</v>
      </c>
      <c r="M15" s="732" t="s">
        <v>21</v>
      </c>
    </row>
    <row r="16" spans="2:17">
      <c r="B16" s="828"/>
      <c r="C16" s="829"/>
      <c r="D16" s="847"/>
      <c r="E16" s="847"/>
      <c r="F16" s="847"/>
      <c r="G16" s="847"/>
      <c r="H16" s="137"/>
      <c r="I16" s="477"/>
      <c r="J16" s="476"/>
      <c r="K16" s="476"/>
      <c r="L16" s="476"/>
      <c r="M16" s="346"/>
    </row>
    <row r="17" spans="2:13">
      <c r="B17" s="826" t="s">
        <v>32</v>
      </c>
      <c r="C17" s="827"/>
      <c r="D17" s="847"/>
      <c r="E17" s="847"/>
      <c r="F17" s="847"/>
      <c r="G17" s="847"/>
      <c r="H17" s="137"/>
      <c r="I17" s="477"/>
      <c r="J17" s="476"/>
      <c r="K17" s="476"/>
      <c r="L17" s="476"/>
      <c r="M17" s="595"/>
    </row>
    <row r="18" spans="2:13" ht="18">
      <c r="B18" s="807" t="s">
        <v>33</v>
      </c>
      <c r="C18" s="808"/>
      <c r="D18" s="808"/>
      <c r="E18" s="808"/>
      <c r="F18" s="808"/>
      <c r="G18" s="808"/>
      <c r="H18" s="808"/>
      <c r="I18" s="808"/>
      <c r="J18" s="808"/>
      <c r="K18" s="808"/>
      <c r="L18" s="808"/>
      <c r="M18" s="809"/>
    </row>
    <row r="19" spans="2:13" ht="15.75">
      <c r="B19" s="832" t="s">
        <v>34</v>
      </c>
      <c r="C19" s="833"/>
      <c r="D19" s="830" t="s">
        <v>35</v>
      </c>
      <c r="E19" s="834"/>
      <c r="F19" s="850" t="s">
        <v>36</v>
      </c>
      <c r="G19" s="851"/>
      <c r="H19" s="852"/>
      <c r="I19" s="830" t="s">
        <v>37</v>
      </c>
      <c r="J19" s="837"/>
      <c r="K19" s="834"/>
      <c r="L19" s="830" t="s">
        <v>38</v>
      </c>
      <c r="M19" s="831"/>
    </row>
    <row r="20" spans="2:13">
      <c r="B20" s="594" t="s">
        <v>39</v>
      </c>
      <c r="C20" s="149" cm="1">
        <f t="array" ref="C20">_FV(E2,"Price")</f>
        <v>842.9</v>
      </c>
      <c r="D20" s="13" t="s">
        <v>40</v>
      </c>
      <c r="E20" s="148">
        <f>_xlfn.XLOOKUP(D20,'Fin. Data'!A:A,'Fin. Data'!B:B,,0)</f>
        <v>64166</v>
      </c>
      <c r="F20" s="841" t="s">
        <v>41</v>
      </c>
      <c r="G20" s="842"/>
      <c r="H20" s="127" t="s">
        <v>42</v>
      </c>
      <c r="I20" t="s">
        <v>43</v>
      </c>
      <c r="J20" s="835">
        <v>2022</v>
      </c>
      <c r="K20" s="836"/>
      <c r="L20" s="12" t="s">
        <v>44</v>
      </c>
      <c r="M20" s="749">
        <f>441.99/443.15</f>
        <v>0.99738237617059688</v>
      </c>
    </row>
    <row r="21" spans="2:13" ht="12.75" customHeight="1">
      <c r="B21" s="594" t="s">
        <v>45</v>
      </c>
      <c r="C21" s="391" cm="1">
        <f t="array" ref="C21">_FV(E2,"Shares outstanding",TRUE)</f>
        <v>443335000</v>
      </c>
      <c r="D21" s="12" t="s">
        <v>46</v>
      </c>
      <c r="E21" s="148">
        <f>_xlfn.XLOOKUP(D21,'Fin. Data'!A:A,'Fin. Data'!B:B,,0)</f>
        <v>43519</v>
      </c>
      <c r="F21" s="822" t="str">
        <f>Segments!C5</f>
        <v>United States and Canada</v>
      </c>
      <c r="G21" s="823"/>
      <c r="H21" s="18">
        <f>Segments!B5</f>
        <v>0.86788071591600058</v>
      </c>
      <c r="I21" s="12" t="s">
        <v>47</v>
      </c>
      <c r="J21" s="845" t="s">
        <v>48</v>
      </c>
      <c r="K21" s="846"/>
      <c r="L21" s="12" t="s">
        <v>49</v>
      </c>
      <c r="M21" s="593">
        <v>2E-3</v>
      </c>
    </row>
    <row r="22" spans="2:13" ht="12.75" customHeight="1">
      <c r="B22" s="594" t="s">
        <v>50</v>
      </c>
      <c r="C22" s="57">
        <f>C20*C21/1000000</f>
        <v>373687.07150000002</v>
      </c>
      <c r="D22" s="12" t="s">
        <v>51</v>
      </c>
      <c r="E22" s="636">
        <f>_xlfn.XLOOKUP("Cash &amp; Eq.",'Fin. Data'!A:A,'Fin. Data'!B:B,,0)*1000000/C21</f>
        <v>24.922462697508657</v>
      </c>
      <c r="F22" s="822" t="str">
        <f>Segments!C6</f>
        <v>Other International</v>
      </c>
      <c r="G22" s="823"/>
      <c r="H22" s="18">
        <f>Segments!B6</f>
        <v>0.13211928408399939</v>
      </c>
      <c r="I22" s="780" t="s">
        <v>52</v>
      </c>
      <c r="J22" s="781"/>
      <c r="K22" s="148">
        <f>_xlfn.XLOOKUP(I22,'Fin. Data'!A:A,'Fin. Data'!B:B,,0)</f>
        <v>25546</v>
      </c>
      <c r="L22" s="8" t="s">
        <v>53</v>
      </c>
      <c r="M22" s="591">
        <v>0.79</v>
      </c>
    </row>
    <row r="23" spans="2:13" ht="12.75" customHeight="1">
      <c r="B23" s="592" t="s">
        <v>54</v>
      </c>
      <c r="C23" s="57">
        <f>'Fin. Data'!B58</f>
        <v>10906</v>
      </c>
      <c r="D23" s="12" t="s">
        <v>55</v>
      </c>
      <c r="E23" s="465">
        <f>'Fin. Data (Common Size)'!B19/(-'Fin. Data (Common Size)'!B14)</f>
        <v>102.68041237113403</v>
      </c>
      <c r="F23" s="822"/>
      <c r="G23" s="823"/>
      <c r="H23" s="18"/>
      <c r="I23" s="782" t="s">
        <v>56</v>
      </c>
      <c r="J23" s="783"/>
      <c r="K23" s="148">
        <f>_xlfn.XLOOKUP(I23,'Fin. Data'!A:A,'Fin. Data'!B:B,,0)</f>
        <v>1900</v>
      </c>
      <c r="L23" s="12" t="s">
        <v>57</v>
      </c>
      <c r="M23" s="750" t="s">
        <v>58</v>
      </c>
    </row>
    <row r="24" spans="2:13" ht="12.75" customHeight="1">
      <c r="B24" s="592" t="s">
        <v>59</v>
      </c>
      <c r="C24" s="57">
        <f>'Fin. Data'!B39</f>
        <v>11049</v>
      </c>
      <c r="D24" s="12" t="s">
        <v>60</v>
      </c>
      <c r="E24" s="465">
        <f>_xlfn.XLOOKUP("Total Debt",'Fin. Data'!A:A,'Fin. Data'!B:B,,0)/_xlfn.XLOOKUP("EBITDA",'Fin. Data'!A:A,'Fin. Data'!B:B,,0)</f>
        <v>0.4269161512565568</v>
      </c>
      <c r="F24" s="822"/>
      <c r="G24" s="823"/>
      <c r="H24" s="44"/>
      <c r="I24" s="782" t="s">
        <v>61</v>
      </c>
      <c r="J24" s="783"/>
      <c r="K24" s="148">
        <f>_xlfn.XLOOKUP(I24,'Fin. Data'!A:A,'Fin. Data'!B:B,,0)</f>
        <v>7919</v>
      </c>
      <c r="L24" s="12" t="s">
        <v>62</v>
      </c>
      <c r="M24" s="591">
        <f>IFERROR((C20*C21/(E20-E21))/1000000,"")</f>
        <v>18.09885559645469</v>
      </c>
    </row>
    <row r="25" spans="2:13" ht="12.75" customHeight="1">
      <c r="B25" s="592" t="s">
        <v>63</v>
      </c>
      <c r="C25" s="57">
        <f>C22+C23-C24</f>
        <v>373544.07150000002</v>
      </c>
      <c r="D25" s="12" t="s">
        <v>64</v>
      </c>
      <c r="E25" s="465">
        <f>_xlfn.XLOOKUP("Other Assets",'Fin. Data'!A:A,'Fin. Data'!B:B,,0)/_xlfn.XLOOKUP("Total Assets",'Fin. Data'!A:A,'Fin. Data'!B:B,,0)</f>
        <v>3.8821182557740856E-2</v>
      </c>
      <c r="F25" s="853"/>
      <c r="G25" s="854"/>
      <c r="H25" s="17"/>
      <c r="I25" s="780" t="s">
        <v>65</v>
      </c>
      <c r="J25" s="781"/>
      <c r="K25" s="148">
        <f>_xlfn.XLOOKUP(I25,'Fin. Data'!A:A,'Fin. Data'!B:B,,0)</f>
        <v>5844</v>
      </c>
      <c r="L25" s="12" t="s">
        <v>66</v>
      </c>
      <c r="M25" s="590">
        <f>IFERROR(K31/E20,"")</f>
        <v>7.7159243212916492E-2</v>
      </c>
    </row>
    <row r="26" spans="2:13" ht="12.75" customHeight="1">
      <c r="B26" s="592" t="s">
        <v>67</v>
      </c>
      <c r="C26" s="150" t="s">
        <v>68</v>
      </c>
      <c r="D26" s="12" t="s">
        <v>69</v>
      </c>
      <c r="E26" s="465">
        <f>_xlfn.XLOOKUP(D26,'Fin. Data'!A:A,'Fin. Data'!B:B,,0)</f>
        <v>0.16996540223794532</v>
      </c>
      <c r="F26" s="843" t="s">
        <v>70</v>
      </c>
      <c r="G26" s="844"/>
      <c r="H26" s="128" t="s">
        <v>42</v>
      </c>
      <c r="I26" s="780" t="s">
        <v>71</v>
      </c>
      <c r="J26" s="781"/>
      <c r="K26" s="88">
        <f>1000000*K25/C21</f>
        <v>13.181905331182966</v>
      </c>
      <c r="L26" s="12" t="s">
        <v>72</v>
      </c>
      <c r="M26" s="589">
        <f>IFERROR(C22/K30,"")</f>
        <v>75.477089779842458</v>
      </c>
    </row>
    <row r="27" spans="2:13" ht="12.75" customHeight="1">
      <c r="B27" s="594" t="s">
        <v>73</v>
      </c>
      <c r="C27" s="151" t="s">
        <v>68</v>
      </c>
      <c r="D27" s="12" t="s">
        <v>74</v>
      </c>
      <c r="E27" s="748">
        <f>AVERAGE(_xlfn.XLOOKUP("EBITDA Margin",'Fin. Data'!A:A,'Fin. Data'!B:D,,0))</f>
        <v>0.1175909509745436</v>
      </c>
      <c r="F27" s="822" t="str">
        <f>Segments!C14</f>
        <v>Foods and Sundries</v>
      </c>
      <c r="G27" s="823"/>
      <c r="H27" s="18">
        <f>Segments!B14</f>
        <v>0.38445202711803528</v>
      </c>
      <c r="I27" s="780" t="s">
        <v>75</v>
      </c>
      <c r="J27" s="781"/>
      <c r="K27" s="89">
        <f>K25/E20</f>
        <v>9.1076270922295297E-2</v>
      </c>
      <c r="L27" s="12" t="s">
        <v>76</v>
      </c>
      <c r="M27" s="588">
        <f>IFERROR(C25/E20,"")</f>
        <v>5.8215265327431975</v>
      </c>
    </row>
    <row r="28" spans="2:13" ht="12.75" customHeight="1">
      <c r="B28" s="594" t="s">
        <v>77</v>
      </c>
      <c r="C28" s="19"/>
      <c r="D28" s="12" t="s">
        <v>78</v>
      </c>
      <c r="E28" s="748">
        <f>AVERAGE(_xlfn.XLOOKUP("Operating Margin",'Fin. Data'!A:A,'Fin. Data'!B:D,,0))</f>
        <v>3.3721933274161189E-2</v>
      </c>
      <c r="F28" s="822" t="str">
        <f>Segments!C15</f>
        <v>Non-Foods</v>
      </c>
      <c r="G28" s="823"/>
      <c r="H28" s="18">
        <f>Segments!B15</f>
        <v>0.2743231715530014</v>
      </c>
      <c r="I28" s="780" t="s">
        <v>79</v>
      </c>
      <c r="J28" s="781"/>
      <c r="K28" s="89">
        <f>K25/(E20-(E21-C23))</f>
        <v>0.18521218267676606</v>
      </c>
      <c r="L28" s="12" t="s">
        <v>80</v>
      </c>
      <c r="M28" s="588">
        <f>IFERROR(C25/K29,"")</f>
        <v>16.22176854318057</v>
      </c>
    </row>
    <row r="29" spans="2:13" ht="15.75">
      <c r="B29" s="832" t="s">
        <v>81</v>
      </c>
      <c r="C29" s="833"/>
      <c r="D29" s="12" t="s">
        <v>82</v>
      </c>
      <c r="E29" s="748">
        <f>AVERAGE(_xlfn.XLOOKUP("Net Income Margin",'Fin. Data'!A:A,'Fin. Data'!B:D,,0))</f>
        <v>2.5101101296873939E-2</v>
      </c>
      <c r="F29" s="822" t="str">
        <f>Segments!C16</f>
        <v>Fresh Foods</v>
      </c>
      <c r="G29" s="823"/>
      <c r="H29" s="18">
        <f>Segments!B16</f>
        <v>0.13256858079288825</v>
      </c>
      <c r="I29" s="780" t="s">
        <v>83</v>
      </c>
      <c r="J29" s="781"/>
      <c r="K29" s="148">
        <f>AVERAGE(_xlfn.XLOOKUP("EBITDA",'Fin. Data'!A:A,'Fin. Data'!B:D,,0))</f>
        <v>23027.333333333332</v>
      </c>
      <c r="L29" s="12" t="s">
        <v>84</v>
      </c>
      <c r="M29" s="589">
        <f>IFERROR(C22/K31,"")</f>
        <v>75.477089779842458</v>
      </c>
    </row>
    <row r="30" spans="2:13" ht="12.75" customHeight="1">
      <c r="B30" s="9" t="s">
        <v>85</v>
      </c>
      <c r="C30" s="753"/>
      <c r="D30" s="502"/>
      <c r="E30" s="156"/>
      <c r="F30" s="822" t="str">
        <f>Segments!C17</f>
        <v>Warehouse Ancillary and Other Businesses</v>
      </c>
      <c r="G30" s="823"/>
      <c r="H30" s="18">
        <f>Segments!B17</f>
        <v>0.20865622053607508</v>
      </c>
      <c r="I30" s="780" t="s">
        <v>86</v>
      </c>
      <c r="J30" s="781"/>
      <c r="K30" s="148">
        <f>AVERAGE(_xlfn.XLOOKUP("Net Income",'Fin. Data'!A:A,'Fin. Data'!B:D,,0))</f>
        <v>4951</v>
      </c>
      <c r="L30" s="12" t="s">
        <v>87</v>
      </c>
      <c r="M30" s="587" t="s">
        <v>68</v>
      </c>
    </row>
    <row r="31" spans="2:13" ht="12.75" customHeight="1">
      <c r="B31" s="9" t="s">
        <v>88</v>
      </c>
      <c r="C31" s="754"/>
      <c r="D31" s="12" t="s">
        <v>89</v>
      </c>
      <c r="E31" s="645">
        <f>-_xlfn.XLOOKUP("Net Financial Cost",'Fin. Data'!A:A,'Fin. Data'!B:B,,0)/AVERAGE(_xlfn.XLOOKUP("Net Debt",'Fin. Data'!A:A,'Fin. Data'!B:D,,0))</f>
        <v>9.2971246006389785E-2</v>
      </c>
      <c r="F31" s="822" t="e">
        <f>Segments!#REF!</f>
        <v>#REF!</v>
      </c>
      <c r="G31" s="823"/>
      <c r="H31" s="18" t="e">
        <f>Segments!#REF!</f>
        <v>#REF!</v>
      </c>
      <c r="I31" s="780" t="s">
        <v>90</v>
      </c>
      <c r="J31" s="781"/>
      <c r="K31" s="148">
        <f>AVERAGE(_xlfn.XLOOKUP("Net Income",'Fin. Data'!A:A,'Fin. Data'!B:D,,0))</f>
        <v>4951</v>
      </c>
      <c r="L31" s="12" t="s">
        <v>91</v>
      </c>
      <c r="M31" s="586">
        <f>-IFERROR(SUM(E53:E55)/(3*C22),"")</f>
        <v>5.7365288503610076E-3</v>
      </c>
    </row>
    <row r="32" spans="2:13" ht="12.6" customHeight="1">
      <c r="B32" s="9" t="s">
        <v>92</v>
      </c>
      <c r="C32" s="751"/>
      <c r="D32" s="153"/>
      <c r="E32" s="155"/>
      <c r="F32" s="820"/>
      <c r="G32" s="821"/>
      <c r="H32" s="20"/>
      <c r="I32" s="153"/>
      <c r="J32" s="154"/>
      <c r="K32" s="154"/>
      <c r="L32" s="12" t="s">
        <v>93</v>
      </c>
      <c r="M32" s="585">
        <f>-IFERROR(L54/C22,"")</f>
        <v>4.0087017032378117E-3</v>
      </c>
    </row>
    <row r="33" spans="1:19" ht="18.75" thickBot="1">
      <c r="B33" s="807" t="s">
        <v>94</v>
      </c>
      <c r="C33" s="808"/>
      <c r="D33" s="808"/>
      <c r="E33" s="808"/>
      <c r="F33" s="808"/>
      <c r="G33" s="808"/>
      <c r="H33" s="808"/>
      <c r="I33" s="808"/>
      <c r="J33" s="808"/>
      <c r="K33" s="808"/>
      <c r="L33" s="808"/>
      <c r="M33" s="809"/>
    </row>
    <row r="34" spans="1:19" ht="16.5" thickBot="1">
      <c r="B34" s="818" t="s">
        <v>95</v>
      </c>
      <c r="C34" s="818"/>
      <c r="D34" s="818"/>
      <c r="E34" s="818"/>
      <c r="F34" s="818"/>
      <c r="G34" s="818"/>
      <c r="H34" s="757" t="s">
        <v>96</v>
      </c>
      <c r="I34" s="818" t="s">
        <v>97</v>
      </c>
      <c r="J34" s="818"/>
      <c r="K34" s="818"/>
      <c r="L34" s="818"/>
      <c r="M34" s="818"/>
      <c r="N34" s="11"/>
    </row>
    <row r="35" spans="1:19" ht="13.35" customHeight="1" thickBot="1">
      <c r="A35" s="11"/>
      <c r="B35" s="758" t="s">
        <v>98</v>
      </c>
      <c r="C35" s="819" t="s">
        <v>99</v>
      </c>
      <c r="D35" s="819"/>
      <c r="E35" s="819"/>
      <c r="F35" s="819"/>
      <c r="G35" s="819"/>
      <c r="H35" s="824" t="s">
        <v>100</v>
      </c>
      <c r="I35" s="825" t="s">
        <v>101</v>
      </c>
      <c r="J35" s="825"/>
      <c r="K35" s="825"/>
      <c r="L35" s="825"/>
      <c r="M35" s="825"/>
    </row>
    <row r="36" spans="1:19" s="474" customFormat="1" ht="51" customHeight="1" thickBot="1">
      <c r="A36" s="752"/>
      <c r="B36" s="759" t="s">
        <v>102</v>
      </c>
      <c r="C36" s="810" t="s">
        <v>103</v>
      </c>
      <c r="D36" s="817"/>
      <c r="E36" s="817"/>
      <c r="F36" s="817"/>
      <c r="G36" s="817"/>
      <c r="H36" s="824"/>
      <c r="I36" s="825"/>
      <c r="J36" s="825"/>
      <c r="K36" s="825"/>
      <c r="L36" s="825"/>
      <c r="M36" s="825"/>
    </row>
    <row r="37" spans="1:19" s="474" customFormat="1" ht="51.95" customHeight="1" thickBot="1">
      <c r="A37" s="752"/>
      <c r="B37" s="759" t="s">
        <v>104</v>
      </c>
      <c r="C37" s="810" t="s">
        <v>105</v>
      </c>
      <c r="D37" s="811"/>
      <c r="E37" s="811"/>
      <c r="F37" s="811"/>
      <c r="G37" s="811"/>
      <c r="H37" s="824"/>
      <c r="I37" s="825"/>
      <c r="J37" s="825"/>
      <c r="K37" s="825"/>
      <c r="L37" s="825"/>
      <c r="M37" s="825"/>
    </row>
    <row r="38" spans="1:19" ht="51.95" customHeight="1" thickBot="1">
      <c r="A38" s="11"/>
      <c r="B38" s="759" t="s">
        <v>106</v>
      </c>
      <c r="C38" s="810" t="s">
        <v>107</v>
      </c>
      <c r="D38" s="811"/>
      <c r="E38" s="811"/>
      <c r="F38" s="811"/>
      <c r="G38" s="811"/>
      <c r="H38" s="824"/>
      <c r="I38" s="825"/>
      <c r="J38" s="825"/>
      <c r="K38" s="825"/>
      <c r="L38" s="825"/>
      <c r="M38" s="825"/>
    </row>
    <row r="39" spans="1:19" ht="24.6" customHeight="1" thickBot="1">
      <c r="B39" s="760" t="s">
        <v>108</v>
      </c>
      <c r="C39" s="810" t="s">
        <v>109</v>
      </c>
      <c r="D39" s="810"/>
      <c r="E39" s="810"/>
      <c r="F39" s="810"/>
      <c r="G39" s="810"/>
      <c r="H39" s="824"/>
      <c r="I39" s="825"/>
      <c r="J39" s="825"/>
      <c r="K39" s="825"/>
      <c r="L39" s="825"/>
      <c r="M39" s="825"/>
    </row>
    <row r="40" spans="1:19" ht="16.5" thickBot="1">
      <c r="B40" s="818" t="s">
        <v>110</v>
      </c>
      <c r="C40" s="818"/>
      <c r="D40" s="818"/>
      <c r="E40" s="818"/>
      <c r="F40" s="818"/>
      <c r="G40" s="818"/>
      <c r="H40" s="757" t="s">
        <v>111</v>
      </c>
      <c r="I40" s="818" t="s">
        <v>112</v>
      </c>
      <c r="J40" s="818"/>
      <c r="K40" s="818"/>
      <c r="L40" s="818"/>
      <c r="M40" s="818"/>
    </row>
    <row r="41" spans="1:19" ht="13.35" customHeight="1" thickBot="1">
      <c r="B41" s="758" t="s">
        <v>113</v>
      </c>
      <c r="C41" s="819" t="s">
        <v>99</v>
      </c>
      <c r="D41" s="819"/>
      <c r="E41" s="819"/>
      <c r="F41" s="819"/>
      <c r="G41" s="819"/>
      <c r="H41" s="812">
        <f ca="1">DCF!D75</f>
        <v>623.05999088589749</v>
      </c>
      <c r="I41" s="813" t="s">
        <v>114</v>
      </c>
      <c r="J41" s="814">
        <f>DCF!F50</f>
        <v>9.9456413831877838E-2</v>
      </c>
      <c r="K41" s="814"/>
      <c r="L41" s="815" t="s">
        <v>115</v>
      </c>
      <c r="M41" s="816">
        <f ca="1">DCF!D74</f>
        <v>-0.26081386773532145</v>
      </c>
    </row>
    <row r="42" spans="1:19" ht="131.1" customHeight="1" thickBot="1">
      <c r="B42" s="759" t="s">
        <v>116</v>
      </c>
      <c r="C42" s="817" t="s">
        <v>117</v>
      </c>
      <c r="D42" s="811"/>
      <c r="E42" s="811"/>
      <c r="F42" s="811"/>
      <c r="G42" s="811"/>
      <c r="H42" s="812"/>
      <c r="I42" s="813"/>
      <c r="J42" s="814"/>
      <c r="K42" s="814"/>
      <c r="L42" s="815"/>
      <c r="M42" s="816"/>
    </row>
    <row r="43" spans="1:19" ht="69" customHeight="1" thickBot="1">
      <c r="B43" s="759" t="s">
        <v>118</v>
      </c>
      <c r="C43" s="817" t="s">
        <v>119</v>
      </c>
      <c r="D43" s="817"/>
      <c r="E43" s="817"/>
      <c r="F43" s="817"/>
      <c r="G43" s="817"/>
      <c r="H43" s="812"/>
      <c r="I43" s="813"/>
      <c r="J43" s="814"/>
      <c r="K43" s="814"/>
      <c r="L43" s="815"/>
      <c r="M43" s="816"/>
    </row>
    <row r="44" spans="1:19" ht="51" customHeight="1" thickBot="1">
      <c r="B44" s="759" t="s">
        <v>120</v>
      </c>
      <c r="C44" s="817" t="s">
        <v>121</v>
      </c>
      <c r="D44" s="817"/>
      <c r="E44" s="817"/>
      <c r="F44" s="817"/>
      <c r="G44" s="817"/>
      <c r="H44" s="812"/>
      <c r="I44" s="813"/>
      <c r="J44" s="814"/>
      <c r="K44" s="814"/>
      <c r="L44" s="815"/>
      <c r="M44" s="816"/>
    </row>
    <row r="45" spans="1:19" ht="18">
      <c r="B45" s="807" t="s">
        <v>122</v>
      </c>
      <c r="C45" s="808"/>
      <c r="D45" s="808"/>
      <c r="E45" s="808"/>
      <c r="F45" s="808"/>
      <c r="G45" s="808"/>
      <c r="H45" s="808"/>
      <c r="I45" s="808"/>
      <c r="J45" s="808"/>
      <c r="K45" s="808"/>
      <c r="L45" s="808"/>
      <c r="M45" s="809"/>
    </row>
    <row r="46" spans="1:19">
      <c r="B46" s="138" t="s">
        <v>123</v>
      </c>
      <c r="C46" s="139" t="s">
        <v>124</v>
      </c>
      <c r="D46" s="139" t="s">
        <v>125</v>
      </c>
      <c r="E46" s="160" t="s">
        <v>126</v>
      </c>
      <c r="F46" s="139" t="s">
        <v>127</v>
      </c>
      <c r="G46" s="139" t="s">
        <v>69</v>
      </c>
      <c r="H46" s="159" t="s">
        <v>56</v>
      </c>
      <c r="I46" s="159" t="s">
        <v>128</v>
      </c>
      <c r="J46" s="789" t="s">
        <v>129</v>
      </c>
      <c r="K46" s="789"/>
      <c r="L46" s="789"/>
      <c r="M46" s="806"/>
    </row>
    <row r="47" spans="1:19">
      <c r="B47" s="129">
        <f t="shared" ref="B47:B53" si="0">B48-1</f>
        <v>2014</v>
      </c>
      <c r="C47" s="158" cm="1">
        <f t="array" ref="C47:C55">_xlfn.SORTBY(TRANSPOSE(_xlfn.XLOOKUP(C$46,'Fin. Data'!$A:$A,'Fin. Data'!$B:$J,,0)),$B$47:$B$55,-1)</f>
        <v>112640</v>
      </c>
      <c r="D47" s="769" cm="1">
        <f t="array" ref="D47:D55">_xlfn.SORTBY(TRANSPOSE(_xlfn.XLOOKUP(D$46,'Fin. Data'!$A:$A,'Fin. Data'!$B:$J,,0)),$B$47:$B$55,-1)</f>
        <v>2.8924005681818181E-2</v>
      </c>
      <c r="E47" s="158" cm="1">
        <f t="array" ref="E47:E55">_xlfn.SORTBY(TRANSPOSE(_xlfn.XLOOKUP(E$46,'Fin. Data'!$A:$A,'Fin. Data'!$B:$J,,0)),$B$47:$B$55,-1)</f>
        <v>-1082</v>
      </c>
      <c r="F47" s="157">
        <f>Inputs!J77</f>
        <v>-444</v>
      </c>
      <c r="G47" s="130" cm="1">
        <f t="array" ref="G47:G55">_xlfn.SORTBY(TRANSPOSE(_xlfn.XLOOKUP(G$46,'Fin. Data'!$A:$A,'Fin. Data'!$B:$J,,0)),$B$47:$B$55,-1)</f>
        <v>0.15422117248062014</v>
      </c>
      <c r="H47" s="158" cm="1">
        <f t="array" ref="H47:H55">_xlfn.SORTBY(TRANSPOSE(_xlfn.XLOOKUP(H$46,'Fin. Data'!$A:$A,'Fin. Data'!$B:$J,,0)),$B$47:$B$55,-1)</f>
        <v>1029</v>
      </c>
      <c r="I47" s="158" cm="1">
        <f t="array" ref="I47:I55">_xlfn.SORTBY(TRANSPOSE(_xlfn.XLOOKUP(I$46,'Fin. Data'!$A:$A,'Fin. Data'!$B:$J,,0)),$B$47:$B$55,-1)</f>
        <v>-2073</v>
      </c>
      <c r="J47" s="501"/>
      <c r="K47" s="153"/>
      <c r="L47" s="131">
        <f>J20</f>
        <v>2022</v>
      </c>
      <c r="M47" s="504">
        <f>L47-1</f>
        <v>2021</v>
      </c>
    </row>
    <row r="48" spans="1:19">
      <c r="B48" s="129">
        <f t="shared" si="0"/>
        <v>2015</v>
      </c>
      <c r="C48" s="158">
        <v>116199</v>
      </c>
      <c r="D48" s="770">
        <v>3.1652595977590167E-2</v>
      </c>
      <c r="E48" s="158">
        <v>-1323</v>
      </c>
      <c r="F48" s="157">
        <f>Inputs!I77</f>
        <v>-1032</v>
      </c>
      <c r="G48" s="130">
        <v>0.18581336887058181</v>
      </c>
      <c r="H48" s="158">
        <v>1127</v>
      </c>
      <c r="I48" s="158">
        <v>-2507</v>
      </c>
      <c r="J48" s="802" t="s">
        <v>65</v>
      </c>
      <c r="K48" s="803"/>
      <c r="L48" s="57">
        <f>_xlfn.XLOOKUP($J48,'Fin. Data'!$A:$A,'Fin. Data'!B:B,,0)</f>
        <v>5844</v>
      </c>
      <c r="M48" s="584">
        <f>_xlfn.XLOOKUP($J48,'Fin. Data'!$A:$A,'Fin. Data'!C:C,,0)</f>
        <v>5007</v>
      </c>
      <c r="N48" s="23">
        <f t="shared" ref="N48:N56" si="1">(C48/C47)-1</f>
        <v>3.1596235795454453E-2</v>
      </c>
      <c r="O48" s="23">
        <f t="shared" ref="O48:O56" si="2">(D48/D47)-1</f>
        <v>9.4336528826199029E-2</v>
      </c>
      <c r="P48" s="22"/>
      <c r="Q48" s="21"/>
      <c r="R48" s="21"/>
      <c r="S48" s="21"/>
    </row>
    <row r="49" spans="2:19">
      <c r="B49" s="129">
        <f t="shared" si="0"/>
        <v>2016</v>
      </c>
      <c r="C49" s="158">
        <v>118719</v>
      </c>
      <c r="D49" s="770">
        <v>3.1258686478154295E-2</v>
      </c>
      <c r="E49" s="158">
        <v>-1442</v>
      </c>
      <c r="F49" s="157">
        <f>Inputs!H77</f>
        <v>-2221</v>
      </c>
      <c r="G49" s="130">
        <v>0.15562524500196001</v>
      </c>
      <c r="H49" s="158">
        <v>1255</v>
      </c>
      <c r="I49" s="158">
        <v>-2375</v>
      </c>
      <c r="J49" s="802" t="s">
        <v>130</v>
      </c>
      <c r="K49" s="803"/>
      <c r="L49" s="57">
        <f>_xlfn.XLOOKUP($J49,'Fin. Data'!$A:$A,'Fin. Data'!B:B,,0)</f>
        <v>7392</v>
      </c>
      <c r="M49" s="584">
        <f>_xlfn.XLOOKUP($J49,'Fin. Data'!$A:$A,'Fin. Data'!C:C,,0)</f>
        <v>8958</v>
      </c>
      <c r="N49" s="23">
        <f t="shared" si="1"/>
        <v>2.1686933622492521E-2</v>
      </c>
      <c r="O49" s="23">
        <f t="shared" si="2"/>
        <v>-1.2444777032340704E-2</v>
      </c>
      <c r="P49" s="22"/>
      <c r="Q49" s="21">
        <f t="shared" ref="Q49:Q55" si="3">F49/F48-1</f>
        <v>1.1521317829457365</v>
      </c>
      <c r="R49" s="21">
        <f t="shared" ref="R49:S55" si="4">H49/H48-1</f>
        <v>0.11357586512866025</v>
      </c>
      <c r="S49" s="21">
        <f t="shared" si="4"/>
        <v>-5.2652572796170749E-2</v>
      </c>
    </row>
    <row r="50" spans="2:19">
      <c r="B50" s="129">
        <f t="shared" si="0"/>
        <v>2017</v>
      </c>
      <c r="C50" s="158">
        <v>129025</v>
      </c>
      <c r="D50" s="770">
        <v>3.1955047471420264E-2</v>
      </c>
      <c r="E50" s="158">
        <v>-1475</v>
      </c>
      <c r="F50" s="157">
        <f>Inputs!G77</f>
        <v>3104</v>
      </c>
      <c r="G50" s="130">
        <v>0.18320631688997716</v>
      </c>
      <c r="H50" s="158">
        <v>1370</v>
      </c>
      <c r="I50" s="158">
        <v>-2370</v>
      </c>
      <c r="J50" s="802" t="s">
        <v>131</v>
      </c>
      <c r="K50" s="803"/>
      <c r="L50" s="57">
        <f>_xlfn.XLOOKUP($J50,'Fin. Data'!$A:$A,'Fin. Data'!B:B,,0)</f>
        <v>-3915</v>
      </c>
      <c r="M50" s="584">
        <f>_xlfn.XLOOKUP($J50,'Fin. Data'!$A:$A,'Fin. Data'!C:C,,0)</f>
        <v>-3535</v>
      </c>
      <c r="N50" s="23">
        <f t="shared" si="1"/>
        <v>8.6810030407937999E-2</v>
      </c>
      <c r="O50" s="23">
        <f t="shared" si="2"/>
        <v>2.2277359407044672E-2</v>
      </c>
      <c r="P50" s="22"/>
      <c r="Q50" s="21">
        <f t="shared" si="3"/>
        <v>-2.3975686627645203</v>
      </c>
      <c r="R50" s="21">
        <f t="shared" si="4"/>
        <v>9.1633466135458086E-2</v>
      </c>
      <c r="S50" s="21">
        <f t="shared" si="4"/>
        <v>-2.1052631578947212E-3</v>
      </c>
    </row>
    <row r="51" spans="2:19">
      <c r="B51" s="129">
        <f t="shared" si="0"/>
        <v>2018</v>
      </c>
      <c r="C51" s="158">
        <v>141576</v>
      </c>
      <c r="D51" s="770">
        <v>3.1968695259083461E-2</v>
      </c>
      <c r="E51" s="158">
        <v>-1234</v>
      </c>
      <c r="F51" s="157">
        <f>Inputs!F77</f>
        <v>1643</v>
      </c>
      <c r="G51" s="130">
        <v>0.16108253734998776</v>
      </c>
      <c r="H51" s="158">
        <v>1437</v>
      </c>
      <c r="I51" s="158">
        <v>-2943</v>
      </c>
      <c r="J51" s="804" t="s">
        <v>132</v>
      </c>
      <c r="K51" s="805"/>
      <c r="L51" s="57">
        <f>_xlfn.XLOOKUP($J51,'Fin. Data'!$A:$A,'Fin. Data'!B:B,,0)</f>
        <v>-3891</v>
      </c>
      <c r="M51" s="584">
        <f>_xlfn.XLOOKUP($J51,'Fin. Data'!$A:$A,'Fin. Data'!C:C,,0)</f>
        <v>-3588</v>
      </c>
      <c r="N51" s="23">
        <f t="shared" si="1"/>
        <v>9.7275721759348954E-2</v>
      </c>
      <c r="O51" s="23">
        <f t="shared" si="2"/>
        <v>4.2709333088630785E-4</v>
      </c>
      <c r="P51" s="22"/>
      <c r="Q51" s="21">
        <f t="shared" si="3"/>
        <v>-0.47068298969072164</v>
      </c>
      <c r="R51" s="21">
        <f t="shared" si="4"/>
        <v>4.8905109489051135E-2</v>
      </c>
      <c r="S51" s="21">
        <f t="shared" si="4"/>
        <v>0.24177215189873413</v>
      </c>
    </row>
    <row r="52" spans="2:19">
      <c r="B52" s="129">
        <f t="shared" si="0"/>
        <v>2019</v>
      </c>
      <c r="C52" s="158">
        <v>152703</v>
      </c>
      <c r="D52" s="770">
        <v>3.1021001552032378E-2</v>
      </c>
      <c r="E52" s="158">
        <v>-1557</v>
      </c>
      <c r="F52" s="157">
        <f>Inputs!E77</f>
        <v>2329</v>
      </c>
      <c r="G52" s="130">
        <v>0.15955947136563878</v>
      </c>
      <c r="H52" s="158">
        <v>1492</v>
      </c>
      <c r="I52" s="158">
        <v>-2835</v>
      </c>
      <c r="J52" s="804" t="s">
        <v>133</v>
      </c>
      <c r="K52" s="805"/>
      <c r="L52" s="57">
        <f>_xlfn.XLOOKUP($J52,'Fin. Data'!$A:$A,'Fin. Data'!B:B,,0)</f>
        <v>3</v>
      </c>
      <c r="M52" s="584">
        <f>_xlfn.XLOOKUP($J52,'Fin. Data'!$A:$A,'Fin. Data'!C:C,,0)</f>
        <v>101</v>
      </c>
      <c r="N52" s="23">
        <f t="shared" si="1"/>
        <v>7.8593829462620723E-2</v>
      </c>
      <c r="O52" s="23">
        <f t="shared" si="2"/>
        <v>-2.9644428694092895E-2</v>
      </c>
      <c r="P52" s="22"/>
      <c r="Q52" s="21">
        <f t="shared" si="3"/>
        <v>0.41752891052951924</v>
      </c>
      <c r="R52" s="21">
        <f t="shared" si="4"/>
        <v>3.8274182324286699E-2</v>
      </c>
      <c r="S52" s="21">
        <f t="shared" si="4"/>
        <v>-3.669724770642202E-2</v>
      </c>
    </row>
    <row r="53" spans="2:19">
      <c r="B53" s="129">
        <f t="shared" si="0"/>
        <v>2020</v>
      </c>
      <c r="C53" s="158">
        <v>166761</v>
      </c>
      <c r="D53" s="770">
        <v>3.259155318089961E-2</v>
      </c>
      <c r="E53" s="158">
        <v>-2005</v>
      </c>
      <c r="F53" s="157">
        <f>Inputs!D77</f>
        <v>-1448</v>
      </c>
      <c r="G53" s="130">
        <v>0.19954640362877096</v>
      </c>
      <c r="H53" s="158">
        <v>1645</v>
      </c>
      <c r="I53" s="158">
        <v>-3829</v>
      </c>
      <c r="J53" s="802" t="s">
        <v>134</v>
      </c>
      <c r="K53" s="803"/>
      <c r="L53" s="57">
        <f>_xlfn.XLOOKUP($J53,'Fin. Data'!$A:$A,'Fin. Data'!B:B,,0)</f>
        <v>-3890</v>
      </c>
      <c r="M53" s="584">
        <f>_xlfn.XLOOKUP($J53,'Fin. Data'!$A:$A,'Fin. Data'!C:C,,0)</f>
        <v>-4283</v>
      </c>
      <c r="N53" s="23">
        <f t="shared" si="1"/>
        <v>9.2061059704131587E-2</v>
      </c>
      <c r="O53" s="23">
        <f t="shared" si="2"/>
        <v>5.0628656403401529E-2</v>
      </c>
      <c r="P53" s="22"/>
      <c r="Q53" s="21">
        <f t="shared" si="3"/>
        <v>-1.6217260626878489</v>
      </c>
      <c r="R53" s="21">
        <f t="shared" si="4"/>
        <v>0.10254691689008033</v>
      </c>
      <c r="S53" s="21">
        <f t="shared" si="4"/>
        <v>0.3506172839506172</v>
      </c>
    </row>
    <row r="54" spans="2:19">
      <c r="B54" s="129">
        <f>B55-1</f>
        <v>2021</v>
      </c>
      <c r="C54" s="158">
        <v>195929</v>
      </c>
      <c r="D54" s="770">
        <v>3.4236891935343926E-2</v>
      </c>
      <c r="E54" s="158">
        <v>-2126</v>
      </c>
      <c r="F54" s="157">
        <f>Inputs!C$77</f>
        <v>1186</v>
      </c>
      <c r="G54" s="130">
        <v>0.19246473645137344</v>
      </c>
      <c r="H54" s="158">
        <v>1781</v>
      </c>
      <c r="I54" s="158">
        <v>-3487</v>
      </c>
      <c r="J54" s="804" t="s">
        <v>135</v>
      </c>
      <c r="K54" s="805"/>
      <c r="L54" s="57">
        <f>_xlfn.XLOOKUP($J54,'Fin. Data'!$A:$A,'Fin. Data'!B:B,,0)</f>
        <v>-1498</v>
      </c>
      <c r="M54" s="584">
        <f>_xlfn.XLOOKUP($J54,'Fin. Data'!$A:$A,'Fin. Data'!C:C,,0)</f>
        <v>-1318</v>
      </c>
      <c r="N54" s="23">
        <f t="shared" si="1"/>
        <v>0.17490900150514799</v>
      </c>
      <c r="O54" s="23">
        <f t="shared" si="2"/>
        <v>5.048359448572004E-2</v>
      </c>
      <c r="P54" s="22"/>
      <c r="Q54" s="21">
        <f t="shared" si="3"/>
        <v>-1.819060773480663</v>
      </c>
      <c r="R54" s="21">
        <f t="shared" si="4"/>
        <v>8.267477203647422E-2</v>
      </c>
      <c r="S54" s="21">
        <f t="shared" si="4"/>
        <v>-8.9318359885087517E-2</v>
      </c>
    </row>
    <row r="55" spans="2:19">
      <c r="B55" s="129">
        <f>J20</f>
        <v>2022</v>
      </c>
      <c r="C55" s="158">
        <v>226954</v>
      </c>
      <c r="D55" s="770">
        <v>3.4337354706240032E-2</v>
      </c>
      <c r="E55" s="158">
        <v>-2300</v>
      </c>
      <c r="F55" s="157">
        <f>Inputs!B77</f>
        <v>-662</v>
      </c>
      <c r="G55" s="130">
        <v>0.16996540223794532</v>
      </c>
      <c r="H55" s="158">
        <v>1900</v>
      </c>
      <c r="I55" s="158">
        <v>-3888</v>
      </c>
      <c r="J55" s="804" t="s">
        <v>136</v>
      </c>
      <c r="K55" s="805"/>
      <c r="L55" s="57">
        <f>_xlfn.XLOOKUP($J55,'Fin. Data'!$A:$A,'Fin. Data'!B:B,,0)</f>
        <v>-802</v>
      </c>
      <c r="M55" s="584">
        <f>_xlfn.XLOOKUP($J55,'Fin. Data'!$A:$A,'Fin. Data'!C:C,,0)</f>
        <v>-808</v>
      </c>
      <c r="N55" s="23">
        <f t="shared" si="1"/>
        <v>0.15834817714580285</v>
      </c>
      <c r="O55" s="23">
        <f t="shared" si="2"/>
        <v>2.9343426116432703E-3</v>
      </c>
      <c r="P55" s="22"/>
      <c r="Q55" s="21">
        <f t="shared" si="3"/>
        <v>-1.5581787521079258</v>
      </c>
      <c r="R55" s="21">
        <f t="shared" si="4"/>
        <v>6.6816395283548546E-2</v>
      </c>
      <c r="S55" s="21">
        <f t="shared" si="4"/>
        <v>0.11499856610266712</v>
      </c>
    </row>
    <row r="56" spans="2:19">
      <c r="B56" s="133" t="s">
        <v>137</v>
      </c>
      <c r="C56" s="132">
        <f>IFERROR((C55/C47)^(1/8)-1,"")</f>
        <v>9.1517366626558072E-2</v>
      </c>
      <c r="D56" s="132">
        <f>IFERROR((D55/D47)^(1/8)-1,"")</f>
        <v>2.1676842205231361E-2</v>
      </c>
      <c r="E56" s="152"/>
      <c r="F56" s="132">
        <f>IFERROR((F55/F47)^(1/8)-1,"")</f>
        <v>5.119764052105924E-2</v>
      </c>
      <c r="G56" s="152"/>
      <c r="H56" s="132">
        <f>IFERROR((H55/H47)^(1/8)-1,"")</f>
        <v>7.9673093017239793E-2</v>
      </c>
      <c r="I56" s="152"/>
      <c r="J56" s="802" t="s">
        <v>138</v>
      </c>
      <c r="K56" s="803"/>
      <c r="L56" s="57">
        <f>_xlfn.XLOOKUP($J56,'Fin. Data'!$A:$A,'Fin. Data'!B:B,,0)</f>
        <v>-249</v>
      </c>
      <c r="M56" s="584">
        <f>_xlfn.XLOOKUP($J56,'Fin. Data'!$A:$A,'Fin. Data'!C:C,,0)</f>
        <v>46</v>
      </c>
      <c r="N56" s="23">
        <f t="shared" si="1"/>
        <v>-0.99999959675808037</v>
      </c>
      <c r="O56" s="23">
        <f t="shared" si="2"/>
        <v>-0.36870960530654717</v>
      </c>
      <c r="P56" s="22"/>
      <c r="Q56" s="21"/>
      <c r="R56" s="21"/>
      <c r="S56" s="21"/>
    </row>
    <row r="57" spans="2:19">
      <c r="B57" s="133" t="s">
        <v>139</v>
      </c>
      <c r="C57" s="132">
        <f>IFERROR(AVERAGE(N48:N55),"")</f>
        <v>9.2660123675367134E-2</v>
      </c>
      <c r="D57" s="132">
        <f>IFERROR(AVERAGE(O48:O55),"")</f>
        <v>2.2374796167307656E-2</v>
      </c>
      <c r="E57" s="152"/>
      <c r="F57" s="132">
        <f>IFERROR(AVERAGE(Q48:Q55),"")</f>
        <v>-0.8996509353223463</v>
      </c>
      <c r="G57" s="152"/>
      <c r="H57" s="132">
        <f>IFERROR(AVERAGE(S48:S55),"")</f>
        <v>7.5230651200920498E-2</v>
      </c>
      <c r="I57" s="152"/>
      <c r="J57" s="884" t="s">
        <v>140</v>
      </c>
      <c r="K57" s="885"/>
      <c r="L57" s="161">
        <f>L49-L50+L53-L54-L55</f>
        <v>9717</v>
      </c>
      <c r="M57" s="505">
        <f>M49-M50+M53-M54-M55</f>
        <v>10336</v>
      </c>
    </row>
    <row r="58" spans="2:19">
      <c r="B58" s="133" t="s">
        <v>141</v>
      </c>
      <c r="C58" s="132">
        <f>IFERROR(STDEV(C48:C55)/AVERAGE(C48:C55),"")</f>
        <v>0.2502399506940764</v>
      </c>
      <c r="D58" s="132">
        <f>IFERROR(STDEV(D47:D55)/AVERAGE(D47:D55),"")</f>
        <v>5.1725807669919709E-2</v>
      </c>
      <c r="E58" s="152"/>
      <c r="F58" s="132">
        <f>IFERROR(STDEV(F47:F55)/AVERAGE(F47:F55),"")</f>
        <v>6.7629006418830029</v>
      </c>
      <c r="G58" s="152"/>
      <c r="H58" s="132">
        <f>IFERROR(STDEV(H47:H55)/AVERAGE(H47:H55),"")</f>
        <v>0.20098586719513706</v>
      </c>
      <c r="I58" s="152"/>
      <c r="J58" s="886" t="s">
        <v>142</v>
      </c>
      <c r="K58" s="887"/>
      <c r="L58" s="499">
        <f>IFERROR(SUM(I52:I55)/(C55-C51),"")</f>
        <v>-0.16443346061046171</v>
      </c>
      <c r="M58" s="583">
        <f>IFERROR((SUM(I52:I55)-SUM(H52:H55))/(C55-C51),"")</f>
        <v>-0.24429009815174868</v>
      </c>
    </row>
    <row r="59" spans="2:19">
      <c r="B59" s="133" t="s">
        <v>143</v>
      </c>
      <c r="C59" s="132">
        <f>IFERROR(C55/C54-1,"")</f>
        <v>0.15834817714580285</v>
      </c>
      <c r="D59" s="132">
        <f>IFERROR(1-(D55/D54),"")</f>
        <v>-2.9343426116432703E-3</v>
      </c>
      <c r="E59" s="152"/>
      <c r="F59" s="132">
        <f>IFERROR(1-(F55/F54),"")</f>
        <v>1.5581787521079258</v>
      </c>
      <c r="G59" s="152"/>
      <c r="H59" s="132">
        <f>IFERROR(1-(H55/H54),"")</f>
        <v>-6.6816395283548546E-2</v>
      </c>
      <c r="I59" s="152"/>
      <c r="J59" s="888" t="s">
        <v>144</v>
      </c>
      <c r="K59" s="889"/>
      <c r="L59" s="500">
        <f>IFERROR(L58/E27,"")</f>
        <v>-1.3983513123051339</v>
      </c>
      <c r="M59" s="506">
        <f>IFERROR(M58/E27,"")</f>
        <v>-2.0774566080738071</v>
      </c>
    </row>
    <row r="60" spans="2:19" ht="18">
      <c r="B60" s="855" t="s">
        <v>145</v>
      </c>
      <c r="C60" s="808"/>
      <c r="D60" s="808"/>
      <c r="E60" s="808"/>
      <c r="F60" s="808"/>
      <c r="G60" s="808"/>
      <c r="H60" s="808"/>
      <c r="I60" s="808"/>
      <c r="J60" s="808"/>
      <c r="K60" s="808"/>
      <c r="L60" s="808"/>
      <c r="M60" s="809"/>
    </row>
    <row r="61" spans="2:19" ht="15.75">
      <c r="B61" s="874" t="s">
        <v>146</v>
      </c>
      <c r="C61" s="787"/>
      <c r="D61" s="787"/>
      <c r="E61" s="787"/>
      <c r="F61" s="787"/>
      <c r="G61" s="787"/>
      <c r="H61" s="787"/>
      <c r="I61" s="787"/>
      <c r="J61" s="787" t="s">
        <v>147</v>
      </c>
      <c r="K61" s="787"/>
      <c r="L61" s="787"/>
      <c r="M61" s="788"/>
    </row>
    <row r="62" spans="2:19">
      <c r="B62" s="873" t="s">
        <v>148</v>
      </c>
      <c r="C62" s="789"/>
      <c r="D62" s="789"/>
      <c r="E62" s="789" t="s">
        <v>149</v>
      </c>
      <c r="F62" s="789"/>
      <c r="G62" s="789"/>
      <c r="H62" s="789"/>
      <c r="I62" s="789"/>
      <c r="J62" s="789" t="s">
        <v>5</v>
      </c>
      <c r="K62" s="789"/>
      <c r="L62" s="789"/>
      <c r="M62" s="503" t="s">
        <v>150</v>
      </c>
    </row>
    <row r="63" spans="2:19" ht="51" customHeight="1">
      <c r="B63" s="862" t="s">
        <v>151</v>
      </c>
      <c r="C63" s="862"/>
      <c r="D63" s="863"/>
      <c r="E63" s="864" t="s">
        <v>152</v>
      </c>
      <c r="F63" s="865"/>
      <c r="G63" s="865"/>
      <c r="H63" s="865"/>
      <c r="I63" s="866"/>
      <c r="J63" s="790" t="s">
        <v>153</v>
      </c>
      <c r="K63" s="791"/>
      <c r="L63" s="791"/>
      <c r="M63" s="507">
        <v>8.9700000000000002E-2</v>
      </c>
    </row>
    <row r="64" spans="2:19" ht="42.95" customHeight="1">
      <c r="B64" s="862" t="s">
        <v>154</v>
      </c>
      <c r="C64" s="862"/>
      <c r="D64" s="863"/>
      <c r="E64" s="867"/>
      <c r="F64" s="868"/>
      <c r="G64" s="868"/>
      <c r="H64" s="868"/>
      <c r="I64" s="869"/>
      <c r="J64" s="790" t="s">
        <v>155</v>
      </c>
      <c r="K64" s="791"/>
      <c r="L64" s="791"/>
      <c r="M64" s="507">
        <v>7.0099999999999996E-2</v>
      </c>
    </row>
    <row r="65" spans="2:13" ht="36.950000000000003" customHeight="1">
      <c r="B65" s="862" t="s">
        <v>156</v>
      </c>
      <c r="C65" s="862"/>
      <c r="D65" s="863"/>
      <c r="E65" s="870"/>
      <c r="F65" s="871"/>
      <c r="G65" s="871"/>
      <c r="H65" s="871"/>
      <c r="I65" s="872"/>
      <c r="J65" s="790" t="s">
        <v>157</v>
      </c>
      <c r="K65" s="791"/>
      <c r="L65" s="791"/>
      <c r="M65" s="507">
        <v>4.24E-2</v>
      </c>
    </row>
    <row r="66" spans="2:13" ht="33.950000000000003" customHeight="1">
      <c r="B66" s="862" t="s">
        <v>158</v>
      </c>
      <c r="C66" s="862"/>
      <c r="D66" s="863"/>
      <c r="E66" s="864" t="s">
        <v>159</v>
      </c>
      <c r="F66" s="865"/>
      <c r="G66" s="865"/>
      <c r="H66" s="865"/>
      <c r="I66" s="866"/>
      <c r="J66" s="790" t="s">
        <v>160</v>
      </c>
      <c r="K66" s="791"/>
      <c r="L66" s="791"/>
      <c r="M66" s="507">
        <v>2.1299999999999999E-2</v>
      </c>
    </row>
    <row r="67" spans="2:13" ht="54.95" customHeight="1">
      <c r="B67" s="856" t="s">
        <v>161</v>
      </c>
      <c r="C67" s="856"/>
      <c r="D67" s="857"/>
      <c r="E67" s="867"/>
      <c r="F67" s="868"/>
      <c r="G67" s="868"/>
      <c r="H67" s="868"/>
      <c r="I67" s="869"/>
      <c r="J67" s="790" t="s">
        <v>162</v>
      </c>
      <c r="K67" s="791"/>
      <c r="L67" s="791"/>
      <c r="M67" s="507">
        <v>1.9300000000000001E-2</v>
      </c>
    </row>
    <row r="68" spans="2:13" ht="12.95" customHeight="1">
      <c r="B68" s="858"/>
      <c r="C68" s="858"/>
      <c r="D68" s="859"/>
      <c r="E68" s="867"/>
      <c r="F68" s="868"/>
      <c r="G68" s="868"/>
      <c r="H68" s="868"/>
      <c r="I68" s="869"/>
      <c r="J68" s="790" t="s">
        <v>163</v>
      </c>
      <c r="K68" s="791"/>
      <c r="L68" s="791"/>
      <c r="M68" s="507">
        <v>1.8499999999999999E-2</v>
      </c>
    </row>
    <row r="69" spans="2:13">
      <c r="B69" s="858"/>
      <c r="C69" s="858"/>
      <c r="D69" s="859"/>
      <c r="E69" s="867"/>
      <c r="F69" s="868"/>
      <c r="G69" s="868"/>
      <c r="H69" s="868"/>
      <c r="I69" s="869"/>
      <c r="J69" s="790" t="s">
        <v>164</v>
      </c>
      <c r="K69" s="791"/>
      <c r="L69" s="791"/>
      <c r="M69" s="507">
        <v>1.83E-2</v>
      </c>
    </row>
    <row r="70" spans="2:13">
      <c r="B70" s="858"/>
      <c r="C70" s="858"/>
      <c r="D70" s="859"/>
      <c r="E70" s="867"/>
      <c r="F70" s="868"/>
      <c r="G70" s="868"/>
      <c r="H70" s="868"/>
      <c r="I70" s="869"/>
      <c r="J70" s="790" t="s">
        <v>165</v>
      </c>
      <c r="K70" s="791"/>
      <c r="L70" s="791"/>
      <c r="M70" s="507">
        <v>1.26E-2</v>
      </c>
    </row>
    <row r="71" spans="2:13">
      <c r="B71" s="858"/>
      <c r="C71" s="858"/>
      <c r="D71" s="859"/>
      <c r="E71" s="867"/>
      <c r="F71" s="868"/>
      <c r="G71" s="868"/>
      <c r="H71" s="868"/>
      <c r="I71" s="869"/>
      <c r="J71" s="790" t="s">
        <v>166</v>
      </c>
      <c r="K71" s="791"/>
      <c r="L71" s="791"/>
      <c r="M71" s="507">
        <v>1.1599999999999999E-2</v>
      </c>
    </row>
    <row r="72" spans="2:13">
      <c r="B72" s="860"/>
      <c r="C72" s="860"/>
      <c r="D72" s="861"/>
      <c r="E72" s="870"/>
      <c r="F72" s="871"/>
      <c r="G72" s="871"/>
      <c r="H72" s="871"/>
      <c r="I72" s="872"/>
      <c r="J72" s="790" t="s">
        <v>167</v>
      </c>
      <c r="K72" s="791"/>
      <c r="L72" s="791"/>
      <c r="M72" s="507">
        <v>1.15E-2</v>
      </c>
    </row>
    <row r="73" spans="2:13">
      <c r="B73" s="873" t="s">
        <v>168</v>
      </c>
      <c r="C73" s="789"/>
      <c r="D73" s="789"/>
      <c r="E73" s="789" t="s">
        <v>169</v>
      </c>
      <c r="F73" s="789"/>
      <c r="G73" s="789"/>
      <c r="H73" s="789"/>
      <c r="I73" s="789"/>
      <c r="J73" s="875"/>
      <c r="K73" s="876"/>
      <c r="L73" s="876"/>
      <c r="M73" s="877"/>
    </row>
    <row r="74" spans="2:13" ht="78" customHeight="1">
      <c r="B74" s="862" t="s">
        <v>170</v>
      </c>
      <c r="C74" s="862"/>
      <c r="D74" s="863"/>
      <c r="E74" s="864" t="s">
        <v>171</v>
      </c>
      <c r="F74" s="865"/>
      <c r="G74" s="865"/>
      <c r="H74" s="865"/>
      <c r="I74" s="866"/>
      <c r="J74" s="878"/>
      <c r="K74" s="879"/>
      <c r="L74" s="879"/>
      <c r="M74" s="880"/>
    </row>
    <row r="75" spans="2:13" ht="78.95" customHeight="1">
      <c r="B75" s="862" t="s">
        <v>172</v>
      </c>
      <c r="C75" s="862"/>
      <c r="D75" s="863"/>
      <c r="E75" s="864" t="s">
        <v>173</v>
      </c>
      <c r="F75" s="865"/>
      <c r="G75" s="865"/>
      <c r="H75" s="865"/>
      <c r="I75" s="866"/>
      <c r="J75" s="881"/>
      <c r="K75" s="882"/>
      <c r="L75" s="882"/>
      <c r="M75" s="883"/>
    </row>
    <row r="76" spans="2:13" ht="15.75">
      <c r="B76" s="800" t="s">
        <v>174</v>
      </c>
      <c r="C76" s="801"/>
      <c r="D76" s="801"/>
      <c r="E76" s="801"/>
      <c r="F76" s="801"/>
      <c r="G76" s="787" t="s">
        <v>175</v>
      </c>
      <c r="H76" s="787"/>
      <c r="I76" s="787"/>
      <c r="J76" s="787"/>
      <c r="K76" s="787"/>
      <c r="L76" s="787"/>
      <c r="M76" s="788"/>
    </row>
    <row r="77" spans="2:13" s="11" customFormat="1">
      <c r="B77" s="1023"/>
      <c r="C77" s="792"/>
      <c r="D77" s="792"/>
      <c r="E77" s="792"/>
      <c r="F77" s="793"/>
      <c r="G77"/>
      <c r="H77"/>
      <c r="I77"/>
      <c r="J77"/>
      <c r="K77"/>
      <c r="L77"/>
      <c r="M77" s="54"/>
    </row>
    <row r="78" spans="2:13">
      <c r="B78" s="794"/>
      <c r="C78" s="795"/>
      <c r="D78" s="795"/>
      <c r="E78" s="795"/>
      <c r="F78" s="796"/>
      <c r="M78" s="54"/>
    </row>
    <row r="79" spans="2:13">
      <c r="B79" s="794"/>
      <c r="C79" s="795"/>
      <c r="D79" s="795"/>
      <c r="E79" s="795"/>
      <c r="F79" s="796"/>
      <c r="M79" s="54"/>
    </row>
    <row r="80" spans="2:13">
      <c r="B80" s="794"/>
      <c r="C80" s="795"/>
      <c r="D80" s="795"/>
      <c r="E80" s="795"/>
      <c r="F80" s="796"/>
      <c r="M80" s="54"/>
    </row>
    <row r="81" spans="2:13">
      <c r="B81" s="794"/>
      <c r="C81" s="795"/>
      <c r="D81" s="795"/>
      <c r="E81" s="795"/>
      <c r="F81" s="796"/>
      <c r="M81" s="54"/>
    </row>
    <row r="82" spans="2:13">
      <c r="B82" s="794"/>
      <c r="C82" s="795"/>
      <c r="D82" s="795"/>
      <c r="E82" s="795"/>
      <c r="F82" s="796"/>
      <c r="M82" s="54"/>
    </row>
    <row r="83" spans="2:13">
      <c r="B83" s="794"/>
      <c r="C83" s="795"/>
      <c r="D83" s="795"/>
      <c r="E83" s="795"/>
      <c r="F83" s="796"/>
      <c r="M83" s="54"/>
    </row>
    <row r="84" spans="2:13">
      <c r="B84" s="794"/>
      <c r="C84" s="795"/>
      <c r="D84" s="795"/>
      <c r="E84" s="795"/>
      <c r="F84" s="796"/>
      <c r="M84" s="54"/>
    </row>
    <row r="85" spans="2:13">
      <c r="B85" s="794"/>
      <c r="C85" s="795"/>
      <c r="D85" s="795"/>
      <c r="E85" s="795"/>
      <c r="F85" s="796"/>
      <c r="M85" s="54"/>
    </row>
    <row r="86" spans="2:13">
      <c r="B86" s="794"/>
      <c r="C86" s="795"/>
      <c r="D86" s="795"/>
      <c r="E86" s="795"/>
      <c r="F86" s="796"/>
      <c r="M86" s="54"/>
    </row>
    <row r="87" spans="2:13">
      <c r="B87" s="794"/>
      <c r="C87" s="795"/>
      <c r="D87" s="795"/>
      <c r="E87" s="795"/>
      <c r="F87" s="796"/>
      <c r="M87" s="54"/>
    </row>
    <row r="88" spans="2:13">
      <c r="B88" s="794"/>
      <c r="C88" s="795"/>
      <c r="D88" s="795"/>
      <c r="E88" s="795"/>
      <c r="F88" s="796"/>
      <c r="M88" s="54"/>
    </row>
    <row r="89" spans="2:13">
      <c r="B89" s="794"/>
      <c r="C89" s="795"/>
      <c r="D89" s="795"/>
      <c r="E89" s="795"/>
      <c r="F89" s="796"/>
      <c r="M89" s="54"/>
    </row>
    <row r="90" spans="2:13">
      <c r="B90" s="794"/>
      <c r="C90" s="795"/>
      <c r="D90" s="795"/>
      <c r="E90" s="795"/>
      <c r="F90" s="796"/>
      <c r="M90" s="54"/>
    </row>
    <row r="91" spans="2:13">
      <c r="B91" s="794"/>
      <c r="C91" s="795"/>
      <c r="D91" s="795"/>
      <c r="E91" s="795"/>
      <c r="F91" s="796"/>
      <c r="M91" s="54"/>
    </row>
    <row r="92" spans="2:13">
      <c r="B92" s="794"/>
      <c r="C92" s="795"/>
      <c r="D92" s="795"/>
      <c r="E92" s="795"/>
      <c r="F92" s="796"/>
      <c r="M92" s="54"/>
    </row>
    <row r="93" spans="2:13">
      <c r="B93" s="794"/>
      <c r="C93" s="795"/>
      <c r="D93" s="795"/>
      <c r="E93" s="795"/>
      <c r="F93" s="796"/>
      <c r="M93" s="54"/>
    </row>
    <row r="94" spans="2:13">
      <c r="B94" s="794"/>
      <c r="C94" s="795"/>
      <c r="D94" s="795"/>
      <c r="E94" s="795"/>
      <c r="F94" s="796"/>
      <c r="M94" s="54"/>
    </row>
    <row r="95" spans="2:13">
      <c r="B95" s="794"/>
      <c r="C95" s="795"/>
      <c r="D95" s="795"/>
      <c r="E95" s="795"/>
      <c r="F95" s="796"/>
      <c r="M95" s="54"/>
    </row>
    <row r="96" spans="2:13">
      <c r="B96" s="794"/>
      <c r="C96" s="795"/>
      <c r="D96" s="795"/>
      <c r="E96" s="795"/>
      <c r="F96" s="796"/>
      <c r="M96" s="54"/>
    </row>
    <row r="97" spans="2:13">
      <c r="B97" s="794"/>
      <c r="C97" s="795"/>
      <c r="D97" s="795"/>
      <c r="E97" s="795"/>
      <c r="F97" s="796"/>
      <c r="M97" s="54"/>
    </row>
    <row r="98" spans="2:13">
      <c r="B98" s="794"/>
      <c r="C98" s="795"/>
      <c r="D98" s="795"/>
      <c r="E98" s="795"/>
      <c r="F98" s="796"/>
      <c r="M98" s="54"/>
    </row>
    <row r="99" spans="2:13">
      <c r="B99" s="794"/>
      <c r="C99" s="795"/>
      <c r="D99" s="795"/>
      <c r="E99" s="795"/>
      <c r="F99" s="796"/>
      <c r="M99" s="54"/>
    </row>
    <row r="100" spans="2:13" ht="13.5" thickBot="1">
      <c r="B100" s="794"/>
      <c r="C100" s="795"/>
      <c r="D100" s="795"/>
      <c r="E100" s="795"/>
      <c r="F100" s="796"/>
      <c r="M100" s="54"/>
    </row>
    <row r="101" spans="2:13" ht="13.5" thickBot="1">
      <c r="B101" s="797"/>
      <c r="C101" s="798"/>
      <c r="D101" s="798"/>
      <c r="E101" s="798"/>
      <c r="F101" s="799"/>
      <c r="G101" s="785"/>
      <c r="H101" s="786"/>
      <c r="I101" s="561"/>
      <c r="J101" s="562"/>
      <c r="K101" s="563"/>
      <c r="L101" s="564"/>
      <c r="M101" s="565"/>
    </row>
  </sheetData>
  <mergeCells count="97">
    <mergeCell ref="J55:K55"/>
    <mergeCell ref="J56:K56"/>
    <mergeCell ref="J57:K57"/>
    <mergeCell ref="J58:K58"/>
    <mergeCell ref="J59:K59"/>
    <mergeCell ref="B73:D73"/>
    <mergeCell ref="J61:M61"/>
    <mergeCell ref="B61:I61"/>
    <mergeCell ref="J73:M75"/>
    <mergeCell ref="E74:I74"/>
    <mergeCell ref="E75:I75"/>
    <mergeCell ref="B74:D74"/>
    <mergeCell ref="B75:D75"/>
    <mergeCell ref="B60:M60"/>
    <mergeCell ref="B67:D72"/>
    <mergeCell ref="B63:D63"/>
    <mergeCell ref="B64:D64"/>
    <mergeCell ref="B65:D65"/>
    <mergeCell ref="B66:D66"/>
    <mergeCell ref="E66:I72"/>
    <mergeCell ref="E63:I65"/>
    <mergeCell ref="J72:L72"/>
    <mergeCell ref="B62:D62"/>
    <mergeCell ref="E2:K2"/>
    <mergeCell ref="F20:G20"/>
    <mergeCell ref="F28:G28"/>
    <mergeCell ref="F26:G26"/>
    <mergeCell ref="J21:K21"/>
    <mergeCell ref="F27:G27"/>
    <mergeCell ref="D4:G17"/>
    <mergeCell ref="D3:G3"/>
    <mergeCell ref="H3:M3"/>
    <mergeCell ref="F19:H19"/>
    <mergeCell ref="F22:G22"/>
    <mergeCell ref="F23:G23"/>
    <mergeCell ref="F24:G24"/>
    <mergeCell ref="F25:G25"/>
    <mergeCell ref="F21:G21"/>
    <mergeCell ref="B17:C17"/>
    <mergeCell ref="B3:C16"/>
    <mergeCell ref="L19:M19"/>
    <mergeCell ref="B19:C19"/>
    <mergeCell ref="B29:C29"/>
    <mergeCell ref="D19:E19"/>
    <mergeCell ref="B18:M18"/>
    <mergeCell ref="J20:K20"/>
    <mergeCell ref="I19:K19"/>
    <mergeCell ref="F32:G32"/>
    <mergeCell ref="F31:G31"/>
    <mergeCell ref="F29:G29"/>
    <mergeCell ref="F30:G30"/>
    <mergeCell ref="H35:H39"/>
    <mergeCell ref="C37:G37"/>
    <mergeCell ref="C39:G39"/>
    <mergeCell ref="B34:G34"/>
    <mergeCell ref="C35:G35"/>
    <mergeCell ref="C36:G36"/>
    <mergeCell ref="B33:M33"/>
    <mergeCell ref="I35:M39"/>
    <mergeCell ref="I34:M34"/>
    <mergeCell ref="J46:M46"/>
    <mergeCell ref="B45:M45"/>
    <mergeCell ref="C38:G38"/>
    <mergeCell ref="J48:K48"/>
    <mergeCell ref="J49:K49"/>
    <mergeCell ref="H41:H44"/>
    <mergeCell ref="I41:I44"/>
    <mergeCell ref="J41:K44"/>
    <mergeCell ref="L41:L44"/>
    <mergeCell ref="M41:M44"/>
    <mergeCell ref="C42:G42"/>
    <mergeCell ref="I40:M40"/>
    <mergeCell ref="C44:G44"/>
    <mergeCell ref="C43:G43"/>
    <mergeCell ref="B40:G40"/>
    <mergeCell ref="C41:G41"/>
    <mergeCell ref="J50:K50"/>
    <mergeCell ref="J51:K51"/>
    <mergeCell ref="J52:K52"/>
    <mergeCell ref="J53:K53"/>
    <mergeCell ref="J54:K54"/>
    <mergeCell ref="G101:H101"/>
    <mergeCell ref="G76:M76"/>
    <mergeCell ref="J62:L62"/>
    <mergeCell ref="E73:I73"/>
    <mergeCell ref="J65:L65"/>
    <mergeCell ref="J66:L66"/>
    <mergeCell ref="J67:L67"/>
    <mergeCell ref="J68:L68"/>
    <mergeCell ref="J69:L69"/>
    <mergeCell ref="J70:L70"/>
    <mergeCell ref="J71:L71"/>
    <mergeCell ref="J63:L63"/>
    <mergeCell ref="J64:L64"/>
    <mergeCell ref="E62:I62"/>
    <mergeCell ref="B77:F101"/>
    <mergeCell ref="B76:F76"/>
  </mergeCells>
  <phoneticPr fontId="0" type="noConversion"/>
  <conditionalFormatting sqref="C47:C55 D47:E47">
    <cfRule type="dataBar" priority="5">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7:D55">
    <cfRule type="dataBar" priority="4">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8:D55">
    <cfRule type="dataBar" priority="11">
      <dataBar>
        <cfvo type="min"/>
        <cfvo type="max"/>
        <color rgb="FF638EC6"/>
      </dataBar>
      <extLst>
        <ext xmlns:x14="http://schemas.microsoft.com/office/spreadsheetml/2009/9/main" uri="{B025F937-C7B1-47D3-B67F-A62EFF666E3E}">
          <x14:id>{8F05AC94-FB75-41DC-A030-BD50695363B2}</x14:id>
        </ext>
      </extLst>
    </cfRule>
    <cfRule type="dataBar" priority="13">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7:E55">
    <cfRule type="dataBar" priority="3">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8:E55">
    <cfRule type="dataBar" priority="6">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6:E59 G56:G59 I56:I59">
    <cfRule type="dataBar" priority="8">
      <dataBar>
        <cfvo type="min"/>
        <cfvo type="max"/>
        <color rgb="FF638EC6"/>
      </dataBar>
      <extLst>
        <ext xmlns:x14="http://schemas.microsoft.com/office/spreadsheetml/2009/9/main" uri="{B025F937-C7B1-47D3-B67F-A62EFF666E3E}">
          <x14:id>{4382A5A4-8938-4754-913D-04C8EB3E9944}</x14:id>
        </ext>
      </extLst>
    </cfRule>
    <cfRule type="dataBar" priority="9">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7:F55">
    <cfRule type="dataBar" priority="10">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7:G55">
    <cfRule type="dataBar" priority="12">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1:H22">
    <cfRule type="dataBar" priority="2">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7:H31">
    <cfRule type="dataBar" priority="1">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7:H55">
    <cfRule type="dataBar" priority="15">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7:I55">
    <cfRule type="dataBar" priority="7">
      <dataBar>
        <cfvo type="min"/>
        <cfvo type="max"/>
        <color rgb="FF63C384"/>
      </dataBar>
      <extLst>
        <ext xmlns:x14="http://schemas.microsoft.com/office/spreadsheetml/2009/9/main" uri="{B025F937-C7B1-47D3-B67F-A62EFF666E3E}">
          <x14:id>{60823727-C433-4BFE-A422-F2DB16A0B39B}</x14:id>
        </ext>
      </extLst>
    </cfRule>
  </conditionalFormatting>
  <printOptions horizontalCentered="1" verticalCentered="1"/>
  <pageMargins left="0" right="0" top="0.19685039370078741" bottom="0.19685039370078741" header="0" footer="0"/>
  <pageSetup paperSize="134" scale="64" orientation="landscape" r:id="rId1"/>
  <headerFooter alignWithMargins="0"/>
  <ignoredErrors>
    <ignoredError sqref="N48:S58"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C47:C55 D47:E47</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D47:D55</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D48:D55</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E47:E55</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E48:E55</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E56:E59 G56:G59 I56:I59</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F47:F55</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G47:G55</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H21:H22</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H27:H31</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H47:H55</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I47:I55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A1:Y71"/>
  <sheetViews>
    <sheetView showGridLines="0" zoomScale="75" workbookViewId="0">
      <selection activeCell="D22" sqref="D22:H22"/>
    </sheetView>
  </sheetViews>
  <sheetFormatPr defaultColWidth="11.42578125" defaultRowHeight="12.75"/>
  <cols>
    <col min="1" max="1" width="2.140625" customWidth="1"/>
    <col min="2" max="2" width="11.140625" customWidth="1"/>
    <col min="3" max="3" width="42.85546875" customWidth="1"/>
    <col min="4" max="4" width="15.42578125" style="2" customWidth="1"/>
    <col min="5" max="9" width="15.42578125" customWidth="1"/>
    <col min="10" max="11" width="11.42578125" bestFit="1" customWidth="1"/>
    <col min="17" max="17" width="23.42578125" customWidth="1"/>
  </cols>
  <sheetData>
    <row r="1" spans="1:25" ht="7.5" customHeight="1">
      <c r="A1" s="11" t="s">
        <v>176</v>
      </c>
    </row>
    <row r="2" spans="1:25" ht="20.25">
      <c r="B2" s="937" t="str">
        <f>"Regions "&amp;"("&amp;OP!$J$20&amp;")"</f>
        <v>Regions (2022)</v>
      </c>
      <c r="C2" s="938"/>
      <c r="D2" s="938"/>
      <c r="E2" s="938"/>
      <c r="F2" s="938"/>
      <c r="G2" s="938"/>
      <c r="H2" s="938"/>
      <c r="I2" s="938"/>
      <c r="J2" s="938"/>
      <c r="K2" s="938"/>
      <c r="L2" s="938"/>
      <c r="M2" s="938"/>
      <c r="N2" s="938"/>
      <c r="O2" s="938"/>
      <c r="P2" s="938"/>
      <c r="Q2" s="933" t="s">
        <v>177</v>
      </c>
      <c r="R2" s="934"/>
      <c r="S2" s="934"/>
      <c r="T2" s="934"/>
      <c r="U2" s="934"/>
      <c r="V2" s="934"/>
      <c r="W2" s="934"/>
      <c r="X2" s="934"/>
      <c r="Y2" s="935"/>
    </row>
    <row r="3" spans="1:25" ht="18.75" thickBot="1">
      <c r="B3" s="198"/>
      <c r="C3" s="199"/>
      <c r="D3" s="948" t="s">
        <v>178</v>
      </c>
      <c r="E3" s="948"/>
      <c r="F3" s="948"/>
      <c r="G3" s="948"/>
      <c r="H3" s="948"/>
      <c r="I3" s="949"/>
      <c r="J3" s="174"/>
      <c r="K3" s="936" t="s">
        <v>179</v>
      </c>
      <c r="L3" s="936"/>
      <c r="M3" s="936"/>
      <c r="N3" s="936"/>
      <c r="O3" s="936"/>
      <c r="P3" s="936"/>
      <c r="Q3" s="163"/>
      <c r="Y3" s="192"/>
    </row>
    <row r="4" spans="1:25" ht="13.5" thickBot="1">
      <c r="B4" s="181" t="s">
        <v>180</v>
      </c>
      <c r="C4" s="182" t="s">
        <v>181</v>
      </c>
      <c r="D4" s="183">
        <f>OP!J20</f>
        <v>2022</v>
      </c>
      <c r="E4" s="183">
        <f>D4-1</f>
        <v>2021</v>
      </c>
      <c r="F4" s="183">
        <f>E4-1</f>
        <v>2020</v>
      </c>
      <c r="G4" s="183">
        <f>F4-1</f>
        <v>2019</v>
      </c>
      <c r="H4" s="183">
        <f>G4-1</f>
        <v>2018</v>
      </c>
      <c r="I4" s="183">
        <f>H4-1</f>
        <v>2017</v>
      </c>
      <c r="J4" s="175"/>
      <c r="K4" s="183">
        <f>OP!J20</f>
        <v>2022</v>
      </c>
      <c r="L4" s="183">
        <f t="shared" ref="L4:P4" si="0">K4-1</f>
        <v>2021</v>
      </c>
      <c r="M4" s="183">
        <f t="shared" si="0"/>
        <v>2020</v>
      </c>
      <c r="N4" s="183">
        <f t="shared" si="0"/>
        <v>2019</v>
      </c>
      <c r="O4" s="183">
        <f t="shared" si="0"/>
        <v>2018</v>
      </c>
      <c r="P4" s="200">
        <f t="shared" si="0"/>
        <v>2017</v>
      </c>
      <c r="Q4" s="163"/>
      <c r="Y4" s="192"/>
    </row>
    <row r="5" spans="1:25">
      <c r="B5" s="179">
        <f>IFERROR(D5/$D$9,"")</f>
        <v>0.86788071591600058</v>
      </c>
      <c r="C5" s="180" t="s">
        <v>182</v>
      </c>
      <c r="D5" s="184">
        <f>165294+31675</f>
        <v>196969</v>
      </c>
      <c r="E5" s="184">
        <f>141398+27298</f>
        <v>168696</v>
      </c>
      <c r="F5" s="184">
        <f>122142+22434</f>
        <v>144576</v>
      </c>
      <c r="G5" s="184">
        <f>111751+21366</f>
        <v>133117</v>
      </c>
      <c r="H5" s="184">
        <f>102286+20689</f>
        <v>122975</v>
      </c>
      <c r="I5" s="184">
        <f>93889+18775</f>
        <v>112664</v>
      </c>
      <c r="J5" s="176"/>
      <c r="K5" s="365">
        <f t="shared" ref="K5:O6" si="1">(D5-E5)/E5</f>
        <v>0.16759733485085598</v>
      </c>
      <c r="L5" s="365">
        <f t="shared" si="1"/>
        <v>0.16683266932270915</v>
      </c>
      <c r="M5" s="365">
        <f t="shared" si="1"/>
        <v>8.6082168318096106E-2</v>
      </c>
      <c r="N5" s="365">
        <f t="shared" si="1"/>
        <v>8.2472047164057732E-2</v>
      </c>
      <c r="O5" s="365">
        <f t="shared" si="1"/>
        <v>9.151991763118654E-2</v>
      </c>
      <c r="P5" s="365"/>
      <c r="Q5" s="163"/>
      <c r="Y5" s="192"/>
    </row>
    <row r="6" spans="1:25" ht="13.5" thickBot="1">
      <c r="B6" s="168">
        <f>IFERROR(D6/$D$9,"")</f>
        <v>0.13211928408399939</v>
      </c>
      <c r="C6" s="166" t="s">
        <v>183</v>
      </c>
      <c r="D6" s="172">
        <f>29985</f>
        <v>29985</v>
      </c>
      <c r="E6" s="172">
        <v>27233</v>
      </c>
      <c r="F6" s="172">
        <v>22185</v>
      </c>
      <c r="G6" s="172">
        <v>19586</v>
      </c>
      <c r="H6" s="172">
        <v>18601</v>
      </c>
      <c r="I6" s="172">
        <v>16361</v>
      </c>
      <c r="J6" s="176"/>
      <c r="K6" s="365">
        <f t="shared" si="1"/>
        <v>0.10105386846840231</v>
      </c>
      <c r="L6" s="365">
        <f t="shared" si="1"/>
        <v>0.22754113139508678</v>
      </c>
      <c r="M6" s="365">
        <f t="shared" si="1"/>
        <v>0.13269682426222812</v>
      </c>
      <c r="N6" s="365">
        <f t="shared" si="1"/>
        <v>5.2954142250416641E-2</v>
      </c>
      <c r="O6" s="365">
        <f t="shared" si="1"/>
        <v>0.13691094676364526</v>
      </c>
      <c r="P6" s="365"/>
      <c r="Q6" s="163"/>
      <c r="Y6" s="192"/>
    </row>
    <row r="7" spans="1:25" hidden="1">
      <c r="B7" s="168">
        <f>IFERROR(D7/$D$9,"")</f>
        <v>0</v>
      </c>
      <c r="C7" s="166"/>
      <c r="D7" s="172"/>
      <c r="E7" s="172"/>
      <c r="F7" s="172"/>
      <c r="G7" s="172"/>
      <c r="H7" s="172"/>
      <c r="I7" s="172"/>
      <c r="J7" s="176"/>
      <c r="K7" s="172"/>
      <c r="L7" s="172"/>
      <c r="M7" s="172"/>
      <c r="N7" s="172"/>
      <c r="O7" s="172"/>
      <c r="P7" s="201"/>
      <c r="Q7" s="163"/>
      <c r="Y7" s="192"/>
    </row>
    <row r="8" spans="1:25" hidden="1">
      <c r="B8" s="169">
        <f>IFERROR(D8/$D$9,"")</f>
        <v>0</v>
      </c>
      <c r="C8" s="185"/>
      <c r="D8" s="173"/>
      <c r="E8" s="173"/>
      <c r="F8" s="173"/>
      <c r="G8" s="173"/>
      <c r="H8" s="173"/>
      <c r="I8" s="173"/>
      <c r="J8" s="176"/>
      <c r="K8" s="173"/>
      <c r="L8" s="173"/>
      <c r="M8" s="173"/>
      <c r="N8" s="173"/>
      <c r="O8" s="173"/>
      <c r="P8" s="202"/>
      <c r="Q8" s="163"/>
      <c r="Y8" s="192"/>
    </row>
    <row r="9" spans="1:25" ht="13.5" thickBot="1">
      <c r="B9" s="171">
        <f>SUM(B5:B8)</f>
        <v>1</v>
      </c>
      <c r="C9" s="186" t="s">
        <v>184</v>
      </c>
      <c r="D9" s="167">
        <f>SUM(D5:D8)</f>
        <v>226954</v>
      </c>
      <c r="E9" s="167">
        <f t="shared" ref="E9:I9" si="2">SUM(E5:E8)</f>
        <v>195929</v>
      </c>
      <c r="F9" s="167">
        <f t="shared" si="2"/>
        <v>166761</v>
      </c>
      <c r="G9" s="167">
        <f t="shared" si="2"/>
        <v>152703</v>
      </c>
      <c r="H9" s="167">
        <f t="shared" si="2"/>
        <v>141576</v>
      </c>
      <c r="I9" s="167">
        <f t="shared" si="2"/>
        <v>129025</v>
      </c>
      <c r="J9" s="177"/>
      <c r="K9" s="367">
        <f>(D9-E9)/E9</f>
        <v>0.15834817714580282</v>
      </c>
      <c r="L9" s="367">
        <f>(E9-F9)/F9</f>
        <v>0.1749090015051481</v>
      </c>
      <c r="M9" s="367">
        <f>(F9-G9)/G9</f>
        <v>9.2061059704131545E-2</v>
      </c>
      <c r="N9" s="367">
        <f t="shared" ref="N9:O9" si="3">(G9-H9)/H9</f>
        <v>7.8593829462620779E-2</v>
      </c>
      <c r="O9" s="367">
        <f t="shared" si="3"/>
        <v>9.7275721759348968E-2</v>
      </c>
      <c r="P9" s="367">
        <v>3.6999999999999998E-2</v>
      </c>
      <c r="Q9" s="163"/>
      <c r="Y9" s="192"/>
    </row>
    <row r="10" spans="1:25">
      <c r="B10" s="196"/>
      <c r="C10" s="6"/>
      <c r="D10" s="15"/>
      <c r="E10" s="15"/>
      <c r="F10" s="15"/>
      <c r="G10" s="15"/>
      <c r="H10" s="15"/>
      <c r="I10" s="15"/>
      <c r="J10" s="15"/>
      <c r="K10" s="15"/>
      <c r="L10" s="15"/>
      <c r="M10" s="15"/>
      <c r="N10" s="15"/>
      <c r="O10" s="15"/>
      <c r="P10" s="15"/>
      <c r="Q10" s="163"/>
      <c r="Y10" s="192"/>
    </row>
    <row r="11" spans="1:25" ht="21" thickBot="1">
      <c r="B11" s="937" t="str">
        <f>"Categories "&amp;"("&amp;OP!$J$20&amp;")"</f>
        <v>Categories (2022)</v>
      </c>
      <c r="C11" s="938"/>
      <c r="D11" s="938"/>
      <c r="E11" s="938"/>
      <c r="F11" s="938"/>
      <c r="G11" s="938"/>
      <c r="H11" s="938"/>
      <c r="I11" s="938"/>
      <c r="J11" s="938"/>
      <c r="K11" s="938"/>
      <c r="L11" s="938"/>
      <c r="M11" s="938"/>
      <c r="N11" s="938"/>
      <c r="O11" s="938"/>
      <c r="P11" s="938"/>
      <c r="Q11" s="163"/>
      <c r="S11" s="370"/>
      <c r="Y11" s="192"/>
    </row>
    <row r="12" spans="1:25" ht="21" thickBot="1">
      <c r="B12" s="198"/>
      <c r="C12" s="199"/>
      <c r="D12" s="912" t="s">
        <v>178</v>
      </c>
      <c r="E12" s="913"/>
      <c r="F12" s="913"/>
      <c r="G12" s="913"/>
      <c r="H12" s="913"/>
      <c r="I12" s="914"/>
      <c r="J12" s="174"/>
      <c r="K12" s="939" t="s">
        <v>179</v>
      </c>
      <c r="L12" s="940"/>
      <c r="M12" s="940"/>
      <c r="N12" s="940"/>
      <c r="O12" s="940"/>
      <c r="P12" s="940"/>
      <c r="Q12" s="163"/>
      <c r="Y12" s="192"/>
    </row>
    <row r="13" spans="1:25">
      <c r="B13" s="197" t="s">
        <v>180</v>
      </c>
      <c r="C13" s="162" t="s">
        <v>185</v>
      </c>
      <c r="D13" s="170">
        <f>OP!J20</f>
        <v>2022</v>
      </c>
      <c r="E13" s="170">
        <f>D13-1</f>
        <v>2021</v>
      </c>
      <c r="F13" s="170">
        <f>E13-1</f>
        <v>2020</v>
      </c>
      <c r="G13" s="170">
        <f>F13-1</f>
        <v>2019</v>
      </c>
      <c r="H13" s="170">
        <f>G13-1</f>
        <v>2018</v>
      </c>
      <c r="I13" s="170">
        <f>H13-1</f>
        <v>2017</v>
      </c>
      <c r="J13" s="175"/>
      <c r="K13" s="178">
        <f>OP!J20</f>
        <v>2022</v>
      </c>
      <c r="L13" s="178">
        <f t="shared" ref="L13:P13" si="4">K13-1</f>
        <v>2021</v>
      </c>
      <c r="M13" s="178">
        <f t="shared" si="4"/>
        <v>2020</v>
      </c>
      <c r="N13" s="178">
        <f t="shared" si="4"/>
        <v>2019</v>
      </c>
      <c r="O13" s="178">
        <f t="shared" si="4"/>
        <v>2018</v>
      </c>
      <c r="P13" s="203">
        <f t="shared" si="4"/>
        <v>2017</v>
      </c>
      <c r="Q13" s="163"/>
      <c r="Y13" s="192"/>
    </row>
    <row r="14" spans="1:25">
      <c r="B14" s="179">
        <f>IFERROR(D14/$D$18,"")</f>
        <v>0.38445202711803528</v>
      </c>
      <c r="C14" s="165" t="s">
        <v>186</v>
      </c>
      <c r="D14" s="364">
        <v>85629</v>
      </c>
      <c r="E14" s="364">
        <v>77277</v>
      </c>
      <c r="F14" s="364">
        <v>68659</v>
      </c>
      <c r="G14" s="364">
        <v>59672</v>
      </c>
      <c r="H14" s="364">
        <v>56073</v>
      </c>
      <c r="I14" s="364">
        <v>52362</v>
      </c>
      <c r="J14" s="176"/>
      <c r="K14" s="368">
        <f>(D14-E14)/E14</f>
        <v>0.1080787297643542</v>
      </c>
      <c r="L14" s="368">
        <f t="shared" ref="L14:O18" si="5">(E14-F14)/F14</f>
        <v>0.12551886861154402</v>
      </c>
      <c r="M14" s="368">
        <f t="shared" si="5"/>
        <v>0.15060664968494436</v>
      </c>
      <c r="N14" s="368">
        <f t="shared" si="5"/>
        <v>6.4184188468603423E-2</v>
      </c>
      <c r="O14" s="368">
        <f t="shared" si="5"/>
        <v>7.0872006416867195E-2</v>
      </c>
      <c r="P14" s="368"/>
      <c r="Q14" s="163"/>
      <c r="Y14" s="192"/>
    </row>
    <row r="15" spans="1:25">
      <c r="B15" s="179">
        <f>IFERROR(D15/$D$18,"")</f>
        <v>0.2743231715530014</v>
      </c>
      <c r="C15" s="166" t="s">
        <v>187</v>
      </c>
      <c r="D15" s="364">
        <v>61100</v>
      </c>
      <c r="E15" s="364">
        <v>55966</v>
      </c>
      <c r="F15" s="364">
        <v>44807</v>
      </c>
      <c r="G15" s="364">
        <f>24570+16590</f>
        <v>41160</v>
      </c>
      <c r="H15" s="364">
        <f>22620+15387</f>
        <v>38007</v>
      </c>
      <c r="I15" s="364">
        <f>20583+14537</f>
        <v>35120</v>
      </c>
      <c r="J15" s="176"/>
      <c r="K15" s="369">
        <f t="shared" ref="K15:K17" si="6">(D15-E15)/E15</f>
        <v>9.1734267233677586E-2</v>
      </c>
      <c r="L15" s="369">
        <f t="shared" si="5"/>
        <v>0.24904590800544557</v>
      </c>
      <c r="M15" s="369">
        <f t="shared" si="5"/>
        <v>8.8605442176870747E-2</v>
      </c>
      <c r="N15" s="369">
        <f t="shared" si="5"/>
        <v>8.2958402399557971E-2</v>
      </c>
      <c r="O15" s="369">
        <f t="shared" si="5"/>
        <v>8.2203872437357633E-2</v>
      </c>
      <c r="P15" s="369"/>
      <c r="Q15" s="163"/>
      <c r="Y15" s="192"/>
    </row>
    <row r="16" spans="1:25">
      <c r="B16" s="179">
        <f>IFERROR(D16/$D$18,"")</f>
        <v>0.13256858079288825</v>
      </c>
      <c r="C16" s="166" t="s">
        <v>188</v>
      </c>
      <c r="D16" s="364">
        <v>29527</v>
      </c>
      <c r="E16" s="364">
        <v>27183</v>
      </c>
      <c r="F16" s="364">
        <v>23204</v>
      </c>
      <c r="G16" s="364">
        <v>19948</v>
      </c>
      <c r="H16" s="364">
        <v>18879</v>
      </c>
      <c r="I16" s="364">
        <v>17849</v>
      </c>
      <c r="J16" s="176"/>
      <c r="K16" s="369">
        <f t="shared" si="6"/>
        <v>8.6230364566089096E-2</v>
      </c>
      <c r="L16" s="369">
        <f t="shared" si="5"/>
        <v>0.17147905533528701</v>
      </c>
      <c r="M16" s="369">
        <f t="shared" si="5"/>
        <v>0.16322438339683176</v>
      </c>
      <c r="N16" s="369">
        <f t="shared" si="5"/>
        <v>5.6623761851792999E-2</v>
      </c>
      <c r="O16" s="369">
        <f t="shared" si="5"/>
        <v>5.7706314079220125E-2</v>
      </c>
      <c r="P16" s="369"/>
      <c r="Q16" s="163"/>
      <c r="Y16" s="192"/>
    </row>
    <row r="17" spans="2:25" ht="13.5" thickBot="1">
      <c r="B17" s="179">
        <f>IFERROR(D17/$D$18,"")</f>
        <v>0.20865622053607508</v>
      </c>
      <c r="C17" s="166" t="s">
        <v>189</v>
      </c>
      <c r="D17" s="364">
        <v>46474</v>
      </c>
      <c r="E17" s="364">
        <v>31626</v>
      </c>
      <c r="F17" s="364">
        <v>26550</v>
      </c>
      <c r="G17" s="364">
        <v>28571</v>
      </c>
      <c r="H17" s="364">
        <v>25475</v>
      </c>
      <c r="I17" s="364">
        <v>20841</v>
      </c>
      <c r="J17" s="176"/>
      <c r="K17" s="369">
        <f t="shared" si="6"/>
        <v>0.46948713084171251</v>
      </c>
      <c r="L17" s="369">
        <f t="shared" si="5"/>
        <v>0.19118644067796611</v>
      </c>
      <c r="M17" s="369">
        <f t="shared" si="5"/>
        <v>-7.0736061040915607E-2</v>
      </c>
      <c r="N17" s="369">
        <f t="shared" si="5"/>
        <v>0.12153091265947007</v>
      </c>
      <c r="O17" s="369">
        <f t="shared" si="5"/>
        <v>0.22235017513555011</v>
      </c>
      <c r="P17" s="369"/>
      <c r="Q17" s="163"/>
      <c r="Y17" s="192"/>
    </row>
    <row r="18" spans="2:25" ht="13.5" thickBot="1">
      <c r="B18" s="171">
        <f>SUM(B14:B17)</f>
        <v>1</v>
      </c>
      <c r="C18" s="186" t="s">
        <v>184</v>
      </c>
      <c r="D18" s="167">
        <f t="shared" ref="D18:I18" si="7">SUM(D14:D17)</f>
        <v>222730</v>
      </c>
      <c r="E18" s="167">
        <f t="shared" si="7"/>
        <v>192052</v>
      </c>
      <c r="F18" s="167">
        <f t="shared" si="7"/>
        <v>163220</v>
      </c>
      <c r="G18" s="167">
        <f t="shared" si="7"/>
        <v>149351</v>
      </c>
      <c r="H18" s="167">
        <f t="shared" si="7"/>
        <v>138434</v>
      </c>
      <c r="I18" s="167">
        <f t="shared" si="7"/>
        <v>126172</v>
      </c>
      <c r="J18" s="177"/>
      <c r="K18" s="366">
        <f>(D18-E18)/E18</f>
        <v>0.15973798762835065</v>
      </c>
      <c r="L18" s="367">
        <f t="shared" si="5"/>
        <v>0.17664501899277049</v>
      </c>
      <c r="M18" s="367">
        <f t="shared" ref="M18" si="8">(F18-G18)/G18</f>
        <v>9.2861781976685792E-2</v>
      </c>
      <c r="N18" s="367">
        <f t="shared" ref="N18" si="9">(G18-H18)/H18</f>
        <v>7.886068451391999E-2</v>
      </c>
      <c r="O18" s="367">
        <f t="shared" ref="O18" si="10">(H18-I18)/I18</f>
        <v>9.7184795358716672E-2</v>
      </c>
      <c r="P18" s="367">
        <v>3.6999999999999998E-2</v>
      </c>
      <c r="Q18" s="163"/>
      <c r="Y18" s="192"/>
    </row>
    <row r="19" spans="2:25" ht="13.5" thickBot="1">
      <c r="C19" s="14"/>
      <c r="D19" s="15"/>
      <c r="E19" s="16"/>
      <c r="F19" s="15"/>
      <c r="G19" s="16"/>
      <c r="H19" s="15"/>
      <c r="I19" s="16"/>
      <c r="J19" s="45"/>
      <c r="Q19" s="163"/>
      <c r="Y19" s="192"/>
    </row>
    <row r="20" spans="2:25" ht="20.25">
      <c r="B20" s="912" t="s">
        <v>70</v>
      </c>
      <c r="C20" s="914"/>
      <c r="D20" s="912" t="s">
        <v>190</v>
      </c>
      <c r="E20" s="913"/>
      <c r="F20" s="913"/>
      <c r="G20" s="913"/>
      <c r="H20" s="913"/>
      <c r="I20" s="946" t="s">
        <v>191</v>
      </c>
      <c r="J20" s="947"/>
      <c r="K20" s="947"/>
      <c r="L20" s="947"/>
      <c r="M20" s="947"/>
      <c r="N20" s="947"/>
      <c r="O20" s="947"/>
      <c r="P20" s="947"/>
      <c r="Q20" s="163"/>
      <c r="Y20" s="192"/>
    </row>
    <row r="21" spans="2:25" ht="30.6" customHeight="1">
      <c r="B21" s="923" t="s">
        <v>186</v>
      </c>
      <c r="C21" s="924"/>
      <c r="D21" s="941" t="s">
        <v>192</v>
      </c>
      <c r="E21" s="942"/>
      <c r="F21" s="942"/>
      <c r="G21" s="942"/>
      <c r="H21" s="942"/>
      <c r="I21" s="163"/>
      <c r="Q21" s="163"/>
      <c r="Y21" s="192"/>
    </row>
    <row r="22" spans="2:25" ht="41.25" customHeight="1">
      <c r="B22" s="923" t="s">
        <v>187</v>
      </c>
      <c r="C22" s="924"/>
      <c r="D22" s="941" t="s">
        <v>193</v>
      </c>
      <c r="E22" s="942"/>
      <c r="F22" s="942"/>
      <c r="G22" s="942"/>
      <c r="H22" s="942"/>
      <c r="I22" s="163"/>
      <c r="Q22" s="163"/>
      <c r="Y22" s="192"/>
    </row>
    <row r="23" spans="2:25" ht="28.35" customHeight="1">
      <c r="B23" s="923" t="s">
        <v>188</v>
      </c>
      <c r="C23" s="924"/>
      <c r="D23" s="943" t="s">
        <v>194</v>
      </c>
      <c r="E23" s="942"/>
      <c r="F23" s="942"/>
      <c r="G23" s="942"/>
      <c r="H23" s="942"/>
      <c r="I23" s="163"/>
      <c r="Q23" s="163"/>
      <c r="Y23" s="192"/>
    </row>
    <row r="24" spans="2:25" ht="30.6" customHeight="1">
      <c r="B24" s="923" t="s">
        <v>189</v>
      </c>
      <c r="C24" s="924"/>
      <c r="D24" s="943" t="s">
        <v>195</v>
      </c>
      <c r="E24" s="942"/>
      <c r="F24" s="942"/>
      <c r="G24" s="942"/>
      <c r="H24" s="942"/>
      <c r="I24" s="163"/>
      <c r="Q24" s="163"/>
      <c r="Y24" s="192"/>
    </row>
    <row r="25" spans="2:25" ht="41.25" customHeight="1" thickBot="1">
      <c r="B25" s="923"/>
      <c r="C25" s="924"/>
      <c r="D25" s="943"/>
      <c r="E25" s="942"/>
      <c r="F25" s="942"/>
      <c r="G25" s="942"/>
      <c r="H25" s="942"/>
      <c r="I25" s="163"/>
      <c r="Q25" s="163"/>
      <c r="Y25" s="192"/>
    </row>
    <row r="26" spans="2:25" ht="28.35" hidden="1" customHeight="1">
      <c r="B26" s="923"/>
      <c r="C26" s="924"/>
      <c r="D26" s="944"/>
      <c r="E26" s="945"/>
      <c r="F26" s="945"/>
      <c r="G26" s="945"/>
      <c r="H26" s="945"/>
      <c r="I26" s="163"/>
      <c r="Q26" s="163"/>
      <c r="Y26" s="192"/>
    </row>
    <row r="27" spans="2:25" ht="56.25" customHeight="1" thickBot="1">
      <c r="I27" s="164"/>
      <c r="J27" s="193"/>
      <c r="K27" s="193"/>
      <c r="L27" s="193"/>
      <c r="M27" s="193"/>
      <c r="N27" s="193"/>
      <c r="O27" s="193"/>
      <c r="P27" s="193"/>
      <c r="Q27" s="164"/>
      <c r="R27" s="193"/>
      <c r="S27" s="193"/>
      <c r="T27" s="193"/>
      <c r="U27" s="193"/>
      <c r="V27" s="193"/>
      <c r="W27" s="193"/>
      <c r="X27" s="193"/>
      <c r="Y27" s="195"/>
    </row>
    <row r="28" spans="2:25" ht="21" thickBot="1">
      <c r="B28" s="912" t="s">
        <v>196</v>
      </c>
      <c r="C28" s="913"/>
      <c r="D28" s="913"/>
      <c r="E28" s="913"/>
      <c r="F28" s="913"/>
      <c r="G28" s="913"/>
      <c r="H28" s="913"/>
      <c r="I28" s="914"/>
      <c r="J28" s="896" t="s">
        <v>197</v>
      </c>
      <c r="K28" s="897"/>
      <c r="L28" s="897"/>
      <c r="M28" s="897"/>
      <c r="N28" s="897"/>
      <c r="O28" s="897"/>
      <c r="P28" s="897"/>
      <c r="Q28" s="898"/>
    </row>
    <row r="29" spans="2:25">
      <c r="B29" s="905" t="s">
        <v>198</v>
      </c>
      <c r="C29" s="907"/>
      <c r="D29" s="905" t="s">
        <v>190</v>
      </c>
      <c r="E29" s="906"/>
      <c r="F29" s="906"/>
      <c r="G29" s="906"/>
      <c r="H29" s="906"/>
      <c r="I29" s="907"/>
      <c r="J29" s="187"/>
      <c r="K29" s="190"/>
      <c r="L29" s="190"/>
      <c r="M29" s="190"/>
      <c r="N29" s="190"/>
      <c r="O29" s="190"/>
      <c r="P29" s="190"/>
      <c r="Q29" s="191"/>
    </row>
    <row r="30" spans="2:25" s="474" customFormat="1" ht="50.1" customHeight="1">
      <c r="B30" s="915" t="s">
        <v>199</v>
      </c>
      <c r="C30" s="916"/>
      <c r="D30" s="928" t="s">
        <v>200</v>
      </c>
      <c r="E30" s="929"/>
      <c r="F30" s="929"/>
      <c r="G30" s="929"/>
      <c r="H30" s="929"/>
      <c r="I30" s="930"/>
      <c r="J30" s="742"/>
      <c r="Q30" s="743"/>
    </row>
    <row r="31" spans="2:25" s="474" customFormat="1" ht="30" customHeight="1">
      <c r="B31" s="915" t="s">
        <v>201</v>
      </c>
      <c r="C31" s="916"/>
      <c r="D31" s="928"/>
      <c r="E31" s="929"/>
      <c r="F31" s="929"/>
      <c r="G31" s="929"/>
      <c r="H31" s="929"/>
      <c r="I31" s="930"/>
      <c r="J31" s="742"/>
      <c r="Q31" s="743"/>
    </row>
    <row r="32" spans="2:25" s="474" customFormat="1" ht="30" customHeight="1">
      <c r="B32" s="915" t="s">
        <v>202</v>
      </c>
      <c r="C32" s="916"/>
      <c r="D32" s="928"/>
      <c r="E32" s="929"/>
      <c r="F32" s="929"/>
      <c r="G32" s="929"/>
      <c r="H32" s="929"/>
      <c r="I32" s="930"/>
      <c r="J32" s="742"/>
      <c r="Q32" s="743"/>
    </row>
    <row r="33" spans="2:21" s="474" customFormat="1" ht="13.5" thickBot="1">
      <c r="B33" s="925" t="s">
        <v>203</v>
      </c>
      <c r="C33" s="926"/>
      <c r="D33" s="915" t="s">
        <v>204</v>
      </c>
      <c r="E33" s="931"/>
      <c r="F33" s="931"/>
      <c r="G33" s="931"/>
      <c r="H33" s="931"/>
      <c r="I33" s="932"/>
      <c r="J33" s="742"/>
      <c r="Q33" s="743"/>
    </row>
    <row r="34" spans="2:21">
      <c r="B34" s="905" t="s">
        <v>205</v>
      </c>
      <c r="C34" s="906"/>
      <c r="D34" s="906"/>
      <c r="E34" s="906"/>
      <c r="F34" s="906"/>
      <c r="G34" s="906"/>
      <c r="H34" s="906"/>
      <c r="I34" s="907"/>
      <c r="J34" s="163"/>
      <c r="Q34" s="192"/>
    </row>
    <row r="35" spans="2:21" ht="13.5" customHeight="1">
      <c r="B35" s="908" t="s">
        <v>206</v>
      </c>
      <c r="C35" s="909"/>
      <c r="D35" s="917" t="s">
        <v>207</v>
      </c>
      <c r="E35" s="918"/>
      <c r="F35" s="919"/>
      <c r="G35" s="917" t="s">
        <v>208</v>
      </c>
      <c r="H35" s="918"/>
      <c r="I35" s="919"/>
      <c r="J35" s="163"/>
      <c r="Q35" s="192"/>
      <c r="T35" s="11"/>
      <c r="U35" s="11"/>
    </row>
    <row r="36" spans="2:21">
      <c r="B36" s="910" t="s">
        <v>209</v>
      </c>
      <c r="C36" s="911"/>
      <c r="D36" s="902">
        <v>0.12</v>
      </c>
      <c r="E36" s="903"/>
      <c r="F36" s="904"/>
      <c r="G36" s="899" t="s">
        <v>210</v>
      </c>
      <c r="H36" s="900"/>
      <c r="I36" s="901"/>
      <c r="J36" s="163"/>
      <c r="Q36" s="192"/>
      <c r="T36" s="11"/>
      <c r="U36" s="11"/>
    </row>
    <row r="37" spans="2:21">
      <c r="B37" s="927"/>
      <c r="C37" s="911"/>
      <c r="D37" s="902"/>
      <c r="E37" s="903"/>
      <c r="F37" s="904"/>
      <c r="G37" s="899"/>
      <c r="H37" s="900"/>
      <c r="I37" s="901"/>
      <c r="J37" s="163"/>
      <c r="Q37" s="192"/>
      <c r="T37" s="11"/>
      <c r="U37" s="11"/>
    </row>
    <row r="38" spans="2:21">
      <c r="B38" s="927"/>
      <c r="C38" s="911"/>
      <c r="D38" s="902"/>
      <c r="E38" s="903"/>
      <c r="F38" s="904"/>
      <c r="G38" s="899"/>
      <c r="H38" s="900"/>
      <c r="I38" s="901"/>
      <c r="J38" s="163"/>
      <c r="Q38" s="192"/>
      <c r="T38" s="11"/>
      <c r="U38" s="11"/>
    </row>
    <row r="39" spans="2:21">
      <c r="B39" s="927"/>
      <c r="C39" s="911"/>
      <c r="D39" s="920"/>
      <c r="E39" s="921"/>
      <c r="F39" s="922"/>
      <c r="G39" s="893"/>
      <c r="H39" s="894"/>
      <c r="I39" s="895"/>
      <c r="J39" s="163"/>
      <c r="Q39" s="192"/>
      <c r="T39" s="11"/>
      <c r="U39" s="11"/>
    </row>
    <row r="40" spans="2:21" ht="20.25">
      <c r="B40" s="912" t="s">
        <v>211</v>
      </c>
      <c r="C40" s="913"/>
      <c r="D40" s="913"/>
      <c r="E40" s="913"/>
      <c r="F40" s="913"/>
      <c r="G40" s="913"/>
      <c r="H40" s="913"/>
      <c r="I40" s="914"/>
      <c r="J40" s="163"/>
      <c r="Q40" s="192"/>
      <c r="T40" s="11"/>
      <c r="U40" s="11"/>
    </row>
    <row r="41" spans="2:21">
      <c r="B41" s="371"/>
      <c r="C41" s="188"/>
      <c r="D41" s="189"/>
      <c r="E41" s="190"/>
      <c r="F41" s="190"/>
      <c r="G41" s="190"/>
      <c r="H41" s="190"/>
      <c r="I41" s="191"/>
      <c r="J41" s="163"/>
      <c r="Q41" s="192"/>
      <c r="T41" s="11"/>
      <c r="U41" s="11"/>
    </row>
    <row r="42" spans="2:21">
      <c r="B42" s="163"/>
      <c r="I42" s="192"/>
      <c r="J42" s="163"/>
      <c r="Q42" s="192"/>
      <c r="T42" s="11"/>
      <c r="U42" s="11"/>
    </row>
    <row r="43" spans="2:21" ht="12.75" customHeight="1">
      <c r="B43" s="890"/>
      <c r="C43" s="891"/>
      <c r="D43" s="891"/>
      <c r="E43" s="891"/>
      <c r="F43" s="891"/>
      <c r="G43" s="891"/>
      <c r="H43" s="891"/>
      <c r="I43" s="892"/>
      <c r="J43" s="163"/>
      <c r="Q43" s="192"/>
      <c r="T43" s="11"/>
      <c r="U43" s="11"/>
    </row>
    <row r="44" spans="2:21">
      <c r="B44" s="890"/>
      <c r="C44" s="891"/>
      <c r="D44" s="891"/>
      <c r="E44" s="891"/>
      <c r="F44" s="891"/>
      <c r="G44" s="891"/>
      <c r="H44" s="891"/>
      <c r="I44" s="892"/>
      <c r="J44" s="163"/>
      <c r="Q44" s="192"/>
      <c r="T44" s="11"/>
      <c r="U44" s="11"/>
    </row>
    <row r="45" spans="2:21">
      <c r="B45" s="890"/>
      <c r="C45" s="891"/>
      <c r="D45" s="891"/>
      <c r="E45" s="891"/>
      <c r="F45" s="891"/>
      <c r="G45" s="891"/>
      <c r="H45" s="891"/>
      <c r="I45" s="892"/>
      <c r="J45" s="163"/>
      <c r="Q45" s="192"/>
      <c r="T45" s="11"/>
      <c r="U45" s="11"/>
    </row>
    <row r="46" spans="2:21">
      <c r="B46" s="890"/>
      <c r="C46" s="891"/>
      <c r="D46" s="891"/>
      <c r="E46" s="891"/>
      <c r="F46" s="891"/>
      <c r="G46" s="891"/>
      <c r="H46" s="891"/>
      <c r="I46" s="892"/>
      <c r="J46" s="163"/>
      <c r="Q46" s="192"/>
      <c r="T46" s="11"/>
      <c r="U46" s="11"/>
    </row>
    <row r="47" spans="2:21">
      <c r="B47" s="890"/>
      <c r="C47" s="891"/>
      <c r="D47" s="891"/>
      <c r="E47" s="891"/>
      <c r="F47" s="891"/>
      <c r="G47" s="891"/>
      <c r="H47" s="891"/>
      <c r="I47" s="892"/>
      <c r="J47" s="163"/>
      <c r="Q47" s="192"/>
      <c r="T47" s="11"/>
      <c r="U47" s="11"/>
    </row>
    <row r="48" spans="2:21">
      <c r="B48" s="890"/>
      <c r="C48" s="891"/>
      <c r="D48" s="891"/>
      <c r="E48" s="891"/>
      <c r="F48" s="891"/>
      <c r="G48" s="891"/>
      <c r="H48" s="891"/>
      <c r="I48" s="892"/>
      <c r="J48" s="163"/>
      <c r="Q48" s="192"/>
      <c r="T48" s="11"/>
      <c r="U48" s="11"/>
    </row>
    <row r="49" spans="2:21">
      <c r="B49" s="890"/>
      <c r="C49" s="891"/>
      <c r="D49" s="891"/>
      <c r="E49" s="891"/>
      <c r="F49" s="891"/>
      <c r="G49" s="891"/>
      <c r="H49" s="891"/>
      <c r="I49" s="892"/>
      <c r="J49" s="163"/>
      <c r="Q49" s="192"/>
      <c r="T49" s="11"/>
      <c r="U49" s="11"/>
    </row>
    <row r="50" spans="2:21">
      <c r="B50" s="890"/>
      <c r="C50" s="891"/>
      <c r="D50" s="891"/>
      <c r="E50" s="891"/>
      <c r="F50" s="891"/>
      <c r="G50" s="891"/>
      <c r="H50" s="891"/>
      <c r="I50" s="892"/>
      <c r="J50" s="163"/>
      <c r="Q50" s="192"/>
      <c r="T50" s="11"/>
      <c r="U50" s="11"/>
    </row>
    <row r="51" spans="2:21">
      <c r="B51" s="890"/>
      <c r="C51" s="891"/>
      <c r="D51" s="891"/>
      <c r="E51" s="891"/>
      <c r="F51" s="891"/>
      <c r="G51" s="891"/>
      <c r="H51" s="891"/>
      <c r="I51" s="892"/>
      <c r="J51" s="163"/>
      <c r="Q51" s="192"/>
      <c r="T51" s="11"/>
      <c r="U51" s="11"/>
    </row>
    <row r="52" spans="2:21">
      <c r="B52" s="163"/>
      <c r="I52" s="192"/>
      <c r="J52" s="163"/>
      <c r="Q52" s="192"/>
      <c r="T52" s="11"/>
      <c r="U52" s="11"/>
    </row>
    <row r="53" spans="2:21">
      <c r="B53" s="163"/>
      <c r="I53" s="192"/>
      <c r="J53" s="163"/>
      <c r="Q53" s="192"/>
      <c r="T53" s="11"/>
      <c r="U53" s="11"/>
    </row>
    <row r="54" spans="2:21">
      <c r="B54" s="163"/>
      <c r="I54" s="192"/>
      <c r="J54" s="163"/>
      <c r="Q54" s="192"/>
      <c r="T54" s="11"/>
      <c r="U54" s="11"/>
    </row>
    <row r="55" spans="2:21">
      <c r="B55" s="164"/>
      <c r="C55" s="193"/>
      <c r="D55" s="194"/>
      <c r="E55" s="193"/>
      <c r="F55" s="193"/>
      <c r="G55" s="193"/>
      <c r="H55" s="193"/>
      <c r="I55" s="195"/>
      <c r="J55" s="163"/>
      <c r="Q55" s="192"/>
      <c r="T55" s="11"/>
      <c r="U55" s="11"/>
    </row>
    <row r="56" spans="2:21">
      <c r="J56" s="163"/>
      <c r="Q56" s="192"/>
      <c r="T56" s="11"/>
      <c r="U56" s="11"/>
    </row>
    <row r="57" spans="2:21">
      <c r="J57" s="164"/>
      <c r="K57" s="193"/>
      <c r="L57" s="193"/>
      <c r="M57" s="193"/>
      <c r="N57" s="193"/>
      <c r="O57" s="193"/>
      <c r="P57" s="193"/>
      <c r="Q57" s="195"/>
      <c r="T57" s="11"/>
      <c r="U57" s="11"/>
    </row>
    <row r="58" spans="2:21">
      <c r="T58" s="11"/>
      <c r="U58" s="11"/>
    </row>
    <row r="59" spans="2:21">
      <c r="T59" s="11"/>
      <c r="U59" s="11"/>
    </row>
    <row r="60" spans="2:21">
      <c r="T60" s="11"/>
      <c r="U60" s="11"/>
    </row>
    <row r="61" spans="2:21">
      <c r="T61" s="11"/>
      <c r="U61" s="11"/>
    </row>
    <row r="62" spans="2:21">
      <c r="O62" s="372"/>
      <c r="T62" s="11"/>
      <c r="U62" s="11"/>
    </row>
    <row r="63" spans="2:21">
      <c r="O63" s="372"/>
      <c r="T63" s="11"/>
      <c r="U63" s="11"/>
    </row>
    <row r="64" spans="2:21">
      <c r="O64" s="372"/>
      <c r="T64" s="11"/>
      <c r="U64" s="11"/>
    </row>
    <row r="65" spans="20:21">
      <c r="T65" s="11"/>
      <c r="U65" s="11"/>
    </row>
    <row r="66" spans="20:21">
      <c r="T66" s="11"/>
      <c r="U66" s="11"/>
    </row>
    <row r="67" spans="20:21">
      <c r="T67" s="11"/>
      <c r="U67" s="11"/>
    </row>
    <row r="68" spans="20:21">
      <c r="T68" s="11"/>
      <c r="U68" s="11"/>
    </row>
    <row r="69" spans="20:21">
      <c r="T69" s="11"/>
      <c r="U69" s="11"/>
    </row>
    <row r="70" spans="20:21">
      <c r="T70" s="11"/>
      <c r="U70" s="11"/>
    </row>
    <row r="71" spans="20:21">
      <c r="T71" s="11"/>
      <c r="U71" s="11"/>
    </row>
  </sheetData>
  <mergeCells count="52">
    <mergeCell ref="Q2:Y2"/>
    <mergeCell ref="K3:P3"/>
    <mergeCell ref="B2:P2"/>
    <mergeCell ref="K12:P12"/>
    <mergeCell ref="B26:C26"/>
    <mergeCell ref="B11:P11"/>
    <mergeCell ref="D12:I12"/>
    <mergeCell ref="D20:H20"/>
    <mergeCell ref="D21:H21"/>
    <mergeCell ref="D22:H22"/>
    <mergeCell ref="D23:H23"/>
    <mergeCell ref="D24:H24"/>
    <mergeCell ref="D25:H25"/>
    <mergeCell ref="D26:H26"/>
    <mergeCell ref="I20:P20"/>
    <mergeCell ref="D3:I3"/>
    <mergeCell ref="B21:C21"/>
    <mergeCell ref="B24:C24"/>
    <mergeCell ref="B25:C25"/>
    <mergeCell ref="B20:C20"/>
    <mergeCell ref="B23:C23"/>
    <mergeCell ref="D29:I29"/>
    <mergeCell ref="D35:F35"/>
    <mergeCell ref="G35:I35"/>
    <mergeCell ref="D39:F39"/>
    <mergeCell ref="B22:C22"/>
    <mergeCell ref="B33:C33"/>
    <mergeCell ref="B37:C37"/>
    <mergeCell ref="B38:C38"/>
    <mergeCell ref="B39:C39"/>
    <mergeCell ref="D30:I30"/>
    <mergeCell ref="D33:I33"/>
    <mergeCell ref="B31:C31"/>
    <mergeCell ref="D31:I31"/>
    <mergeCell ref="B32:C32"/>
    <mergeCell ref="D32:I32"/>
    <mergeCell ref="B43:I51"/>
    <mergeCell ref="G39:I39"/>
    <mergeCell ref="J28:Q28"/>
    <mergeCell ref="G37:I37"/>
    <mergeCell ref="G38:I38"/>
    <mergeCell ref="D36:F36"/>
    <mergeCell ref="D37:F37"/>
    <mergeCell ref="D38:F38"/>
    <mergeCell ref="B34:I34"/>
    <mergeCell ref="B35:C35"/>
    <mergeCell ref="B36:C36"/>
    <mergeCell ref="G36:I36"/>
    <mergeCell ref="B28:I28"/>
    <mergeCell ref="B40:I40"/>
    <mergeCell ref="B29:C29"/>
    <mergeCell ref="B30:C30"/>
  </mergeCells>
  <phoneticPr fontId="0" type="noConversion"/>
  <conditionalFormatting sqref="B5:B8">
    <cfRule type="dataBar" priority="59">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4:B17">
    <cfRule type="dataBar" priority="60">
      <dataBar>
        <cfvo type="min"/>
        <cfvo type="max"/>
        <color rgb="FF638EC6"/>
      </dataBar>
      <extLst>
        <ext xmlns:x14="http://schemas.microsoft.com/office/spreadsheetml/2009/9/main" uri="{B025F937-C7B1-47D3-B67F-A62EFF666E3E}">
          <x14:id>{070902CC-8EB6-43DB-B9AD-5811F17D394B}</x14:id>
        </ext>
      </extLst>
    </cfRule>
  </conditionalFormatting>
  <conditionalFormatting sqref="D5:D8">
    <cfRule type="dataBar" priority="42">
      <dataBar>
        <cfvo type="min"/>
        <cfvo type="max"/>
        <color rgb="FF63C384"/>
      </dataBar>
      <extLst>
        <ext xmlns:x14="http://schemas.microsoft.com/office/spreadsheetml/2009/9/main" uri="{B025F937-C7B1-47D3-B67F-A62EFF666E3E}">
          <x14:id>{767D33FE-8570-4B26-81B7-5505E2A08A62}</x14:id>
        </ext>
      </extLst>
    </cfRule>
  </conditionalFormatting>
  <conditionalFormatting sqref="D14:D17">
    <cfRule type="dataBar" priority="61">
      <dataBar>
        <cfvo type="min"/>
        <cfvo type="max"/>
        <color rgb="FF63C384"/>
      </dataBar>
      <extLst>
        <ext xmlns:x14="http://schemas.microsoft.com/office/spreadsheetml/2009/9/main" uri="{B025F937-C7B1-47D3-B67F-A62EFF666E3E}">
          <x14:id>{F575A9CD-40CE-4DD0-A0EE-358DA4D46D80}</x14:id>
        </ext>
      </extLst>
    </cfRule>
  </conditionalFormatting>
  <conditionalFormatting sqref="D5:I6">
    <cfRule type="dataBar" priority="16">
      <dataBar>
        <cfvo type="min"/>
        <cfvo type="max"/>
        <color rgb="FF63C384"/>
      </dataBar>
      <extLst>
        <ext xmlns:x14="http://schemas.microsoft.com/office/spreadsheetml/2009/9/main" uri="{B025F937-C7B1-47D3-B67F-A62EFF666E3E}">
          <x14:id>{83BDDF4E-0A7D-4B3E-A60B-AD52AC0FFA68}</x14:id>
        </ext>
      </extLst>
    </cfRule>
  </conditionalFormatting>
  <conditionalFormatting sqref="D14:I17">
    <cfRule type="dataBar" priority="63">
      <dataBar>
        <cfvo type="min"/>
        <cfvo type="max"/>
        <color rgb="FF63C384"/>
      </dataBar>
      <extLst>
        <ext xmlns:x14="http://schemas.microsoft.com/office/spreadsheetml/2009/9/main" uri="{B025F937-C7B1-47D3-B67F-A62EFF666E3E}">
          <x14:id>{34CEE88D-9151-4A21-99EF-7139B3551298}</x14:id>
        </ext>
      </extLst>
    </cfRule>
    <cfRule type="dataBar" priority="62">
      <dataBar>
        <cfvo type="min"/>
        <cfvo type="max"/>
        <color rgb="FF63C384"/>
      </dataBar>
      <extLst>
        <ext xmlns:x14="http://schemas.microsoft.com/office/spreadsheetml/2009/9/main" uri="{B025F937-C7B1-47D3-B67F-A62EFF666E3E}">
          <x14:id>{FE64C78F-7C84-4298-8E01-F0D5B55D0F50}</x14:id>
        </ext>
      </extLst>
    </cfRule>
  </conditionalFormatting>
  <conditionalFormatting sqref="E5:E8">
    <cfRule type="dataBar" priority="41">
      <dataBar>
        <cfvo type="min"/>
        <cfvo type="max"/>
        <color rgb="FF63C384"/>
      </dataBar>
      <extLst>
        <ext xmlns:x14="http://schemas.microsoft.com/office/spreadsheetml/2009/9/main" uri="{B025F937-C7B1-47D3-B67F-A62EFF666E3E}">
          <x14:id>{740A2B96-C6E5-4177-AC04-9573B81E30EC}</x14:id>
        </ext>
      </extLst>
    </cfRule>
  </conditionalFormatting>
  <conditionalFormatting sqref="E14:E17">
    <cfRule type="dataBar" priority="64">
      <dataBar>
        <cfvo type="min"/>
        <cfvo type="max"/>
        <color rgb="FF63C384"/>
      </dataBar>
      <extLst>
        <ext xmlns:x14="http://schemas.microsoft.com/office/spreadsheetml/2009/9/main" uri="{B025F937-C7B1-47D3-B67F-A62EFF666E3E}">
          <x14:id>{A38B14A7-F79E-4BFC-8C5A-104694F33A4C}</x14:id>
        </ext>
      </extLst>
    </cfRule>
  </conditionalFormatting>
  <conditionalFormatting sqref="F5:F8">
    <cfRule type="dataBar" priority="40">
      <dataBar>
        <cfvo type="min"/>
        <cfvo type="max"/>
        <color rgb="FF63C384"/>
      </dataBar>
      <extLst>
        <ext xmlns:x14="http://schemas.microsoft.com/office/spreadsheetml/2009/9/main" uri="{B025F937-C7B1-47D3-B67F-A62EFF666E3E}">
          <x14:id>{5EFE30C4-0901-404E-9108-731E3BE4821E}</x14:id>
        </ext>
      </extLst>
    </cfRule>
  </conditionalFormatting>
  <conditionalFormatting sqref="F14:F17">
    <cfRule type="dataBar" priority="65">
      <dataBar>
        <cfvo type="min"/>
        <cfvo type="max"/>
        <color rgb="FF63C384"/>
      </dataBar>
      <extLst>
        <ext xmlns:x14="http://schemas.microsoft.com/office/spreadsheetml/2009/9/main" uri="{B025F937-C7B1-47D3-B67F-A62EFF666E3E}">
          <x14:id>{505412FE-4EAD-453D-A4BD-B1B63B0ABC2E}</x14:id>
        </ext>
      </extLst>
    </cfRule>
  </conditionalFormatting>
  <conditionalFormatting sqref="G5:G8">
    <cfRule type="dataBar" priority="39">
      <dataBar>
        <cfvo type="min"/>
        <cfvo type="max"/>
        <color rgb="FF63C384"/>
      </dataBar>
      <extLst>
        <ext xmlns:x14="http://schemas.microsoft.com/office/spreadsheetml/2009/9/main" uri="{B025F937-C7B1-47D3-B67F-A62EFF666E3E}">
          <x14:id>{A1F44ECC-EF2B-4606-87E9-B7F443AC18BF}</x14:id>
        </ext>
      </extLst>
    </cfRule>
  </conditionalFormatting>
  <conditionalFormatting sqref="G14:G17">
    <cfRule type="dataBar" priority="66">
      <dataBar>
        <cfvo type="min"/>
        <cfvo type="max"/>
        <color rgb="FF63C384"/>
      </dataBar>
      <extLst>
        <ext xmlns:x14="http://schemas.microsoft.com/office/spreadsheetml/2009/9/main" uri="{B025F937-C7B1-47D3-B67F-A62EFF666E3E}">
          <x14:id>{F51D7CD6-931F-4BA7-90A2-0A736BE3108D}</x14:id>
        </ext>
      </extLst>
    </cfRule>
  </conditionalFormatting>
  <conditionalFormatting sqref="H5:H8">
    <cfRule type="dataBar" priority="38">
      <dataBar>
        <cfvo type="min"/>
        <cfvo type="max"/>
        <color rgb="FF63C384"/>
      </dataBar>
      <extLst>
        <ext xmlns:x14="http://schemas.microsoft.com/office/spreadsheetml/2009/9/main" uri="{B025F937-C7B1-47D3-B67F-A62EFF666E3E}">
          <x14:id>{4320827E-AAAF-46DA-9F47-1F13F9C2B2E6}</x14:id>
        </ext>
      </extLst>
    </cfRule>
  </conditionalFormatting>
  <conditionalFormatting sqref="H14:H17">
    <cfRule type="dataBar" priority="67">
      <dataBar>
        <cfvo type="min"/>
        <cfvo type="max"/>
        <color rgb="FF63C384"/>
      </dataBar>
      <extLst>
        <ext xmlns:x14="http://schemas.microsoft.com/office/spreadsheetml/2009/9/main" uri="{B025F937-C7B1-47D3-B67F-A62EFF666E3E}">
          <x14:id>{454C0D39-C9D6-4F33-943E-21207557A042}</x14:id>
        </ext>
      </extLst>
    </cfRule>
  </conditionalFormatting>
  <conditionalFormatting sqref="I5:I8">
    <cfRule type="dataBar" priority="37">
      <dataBar>
        <cfvo type="min"/>
        <cfvo type="max"/>
        <color rgb="FF63C384"/>
      </dataBar>
      <extLst>
        <ext xmlns:x14="http://schemas.microsoft.com/office/spreadsheetml/2009/9/main" uri="{B025F937-C7B1-47D3-B67F-A62EFF666E3E}">
          <x14:id>{5091493A-8CC0-4646-874A-93DEE51CD4AB}</x14:id>
        </ext>
      </extLst>
    </cfRule>
  </conditionalFormatting>
  <conditionalFormatting sqref="I14:I17">
    <cfRule type="dataBar" priority="68">
      <dataBar>
        <cfvo type="min"/>
        <cfvo type="max"/>
        <color rgb="FF63C384"/>
      </dataBar>
      <extLst>
        <ext xmlns:x14="http://schemas.microsoft.com/office/spreadsheetml/2009/9/main" uri="{B025F937-C7B1-47D3-B67F-A62EFF666E3E}">
          <x14:id>{B2C6EEDC-5358-4682-A598-0CF216F95620}</x14:id>
        </ext>
      </extLst>
    </cfRule>
  </conditionalFormatting>
  <conditionalFormatting sqref="K5:K8">
    <cfRule type="dataBar" priority="49">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4:K17">
    <cfRule type="dataBar" priority="7">
      <dataBar>
        <cfvo type="min"/>
        <cfvo type="max"/>
        <color rgb="FF63C384"/>
      </dataBar>
      <extLst>
        <ext xmlns:x14="http://schemas.microsoft.com/office/spreadsheetml/2009/9/main" uri="{B025F937-C7B1-47D3-B67F-A62EFF666E3E}">
          <x14:id>{60785AC6-7D44-400D-A2D8-9BBBDC5C548B}</x14:id>
        </ext>
      </extLst>
    </cfRule>
  </conditionalFormatting>
  <conditionalFormatting sqref="K14:O17">
    <cfRule type="dataBar" priority="27">
      <dataBar>
        <cfvo type="min"/>
        <cfvo type="max"/>
        <color rgb="FF63C384"/>
      </dataBar>
      <extLst>
        <ext xmlns:x14="http://schemas.microsoft.com/office/spreadsheetml/2009/9/main" uri="{B025F937-C7B1-47D3-B67F-A62EFF666E3E}">
          <x14:id>{BE9D279A-ADD8-46F4-B26E-577DEFFA037B}</x14:id>
        </ext>
      </extLst>
    </cfRule>
    <cfRule type="dataBar" priority="69">
      <dataBar>
        <cfvo type="min"/>
        <cfvo type="max"/>
        <color rgb="FF63C384"/>
      </dataBar>
      <extLst>
        <ext xmlns:x14="http://schemas.microsoft.com/office/spreadsheetml/2009/9/main" uri="{B025F937-C7B1-47D3-B67F-A62EFF666E3E}">
          <x14:id>{CBC457F7-3DB8-46A0-988B-11CCF8FF31E5}</x14:id>
        </ext>
      </extLst>
    </cfRule>
    <cfRule type="dataBar" priority="70">
      <dataBar>
        <cfvo type="min"/>
        <cfvo type="max"/>
        <color rgb="FF63C384"/>
      </dataBar>
      <extLst>
        <ext xmlns:x14="http://schemas.microsoft.com/office/spreadsheetml/2009/9/main" uri="{B025F937-C7B1-47D3-B67F-A62EFF666E3E}">
          <x14:id>{589E11FE-E342-4D21-9EB3-CB0F15AE87A6}</x14:id>
        </ext>
      </extLst>
    </cfRule>
  </conditionalFormatting>
  <conditionalFormatting sqref="K5:P6">
    <cfRule type="dataBar" priority="22">
      <dataBar>
        <cfvo type="min"/>
        <cfvo type="max"/>
        <color rgb="FF63C384"/>
      </dataBar>
      <extLst>
        <ext xmlns:x14="http://schemas.microsoft.com/office/spreadsheetml/2009/9/main" uri="{B025F937-C7B1-47D3-B67F-A62EFF666E3E}">
          <x14:id>{1642E512-5328-4DB9-81F4-5A67EFFA2D7A}</x14:id>
        </ext>
      </extLst>
    </cfRule>
    <cfRule type="dataBar" priority="23">
      <dataBar>
        <cfvo type="min"/>
        <cfvo type="max"/>
        <color rgb="FF63C384"/>
      </dataBar>
      <extLst>
        <ext xmlns:x14="http://schemas.microsoft.com/office/spreadsheetml/2009/9/main" uri="{B025F937-C7B1-47D3-B67F-A62EFF666E3E}">
          <x14:id>{5832A442-CC22-41FC-AD17-86122538435B}</x14:id>
        </ext>
      </extLst>
    </cfRule>
  </conditionalFormatting>
  <conditionalFormatting sqref="K14:P17">
    <cfRule type="dataBar" priority="1">
      <dataBar>
        <cfvo type="min"/>
        <cfvo type="max"/>
        <color rgb="FF63C384"/>
      </dataBar>
      <extLst>
        <ext xmlns:x14="http://schemas.microsoft.com/office/spreadsheetml/2009/9/main" uri="{B025F937-C7B1-47D3-B67F-A62EFF666E3E}">
          <x14:id>{A85696C3-3FD4-4347-BBC8-6CEF041D9BC2}</x14:id>
        </ext>
      </extLst>
    </cfRule>
    <cfRule type="dataBar" priority="18">
      <dataBar>
        <cfvo type="min"/>
        <cfvo type="max"/>
        <color rgb="FF63C384"/>
      </dataBar>
      <extLst>
        <ext xmlns:x14="http://schemas.microsoft.com/office/spreadsheetml/2009/9/main" uri="{B025F937-C7B1-47D3-B67F-A62EFF666E3E}">
          <x14:id>{4CBCF4A4-EFBB-41F0-984E-0C4EF2D8C81C}</x14:id>
        </ext>
      </extLst>
    </cfRule>
    <cfRule type="dataBar" priority="20">
      <dataBar>
        <cfvo type="min"/>
        <cfvo type="max"/>
        <color rgb="FF63C384"/>
      </dataBar>
      <extLst>
        <ext xmlns:x14="http://schemas.microsoft.com/office/spreadsheetml/2009/9/main" uri="{B025F937-C7B1-47D3-B67F-A62EFF666E3E}">
          <x14:id>{9095667E-69EE-4811-BEDE-AFA010708C3B}</x14:id>
        </ext>
      </extLst>
    </cfRule>
    <cfRule type="dataBar" priority="25">
      <dataBar>
        <cfvo type="min"/>
        <cfvo type="max"/>
        <color rgb="FF63C384"/>
      </dataBar>
      <extLst>
        <ext xmlns:x14="http://schemas.microsoft.com/office/spreadsheetml/2009/9/main" uri="{B025F937-C7B1-47D3-B67F-A62EFF666E3E}">
          <x14:id>{00030478-9DDE-4C48-B970-8BFEEA7887D7}</x14:id>
        </ext>
      </extLst>
    </cfRule>
    <cfRule type="dataBar" priority="71">
      <dataBar>
        <cfvo type="min"/>
        <cfvo type="max"/>
        <color rgb="FF63C384"/>
      </dataBar>
      <extLst>
        <ext xmlns:x14="http://schemas.microsoft.com/office/spreadsheetml/2009/9/main" uri="{B025F937-C7B1-47D3-B67F-A62EFF666E3E}">
          <x14:id>{EC7F1560-4E75-4756-AE37-09B82982D1AB}</x14:id>
        </ext>
      </extLst>
    </cfRule>
  </conditionalFormatting>
  <conditionalFormatting sqref="L5:L8">
    <cfRule type="dataBar" priority="47">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4:L17">
    <cfRule type="dataBar" priority="6">
      <dataBar>
        <cfvo type="min"/>
        <cfvo type="max"/>
        <color rgb="FF63C384"/>
      </dataBar>
      <extLst>
        <ext xmlns:x14="http://schemas.microsoft.com/office/spreadsheetml/2009/9/main" uri="{B025F937-C7B1-47D3-B67F-A62EFF666E3E}">
          <x14:id>{4BEF7755-0998-42F9-BE2B-3DDE71DD6879}</x14:id>
        </ext>
      </extLst>
    </cfRule>
  </conditionalFormatting>
  <conditionalFormatting sqref="M7:M8">
    <cfRule type="dataBar" priority="46">
      <dataBar>
        <cfvo type="min"/>
        <cfvo type="max"/>
        <color rgb="FF63C384"/>
      </dataBar>
      <extLst>
        <ext xmlns:x14="http://schemas.microsoft.com/office/spreadsheetml/2009/9/main" uri="{B025F937-C7B1-47D3-B67F-A62EFF666E3E}">
          <x14:id>{CF921376-951B-44A1-A35C-F489AA25CABD}</x14:id>
        </ext>
      </extLst>
    </cfRule>
  </conditionalFormatting>
  <conditionalFormatting sqref="M15:M17">
    <cfRule type="dataBar" priority="5">
      <dataBar>
        <cfvo type="min"/>
        <cfvo type="max"/>
        <color rgb="FF63C384"/>
      </dataBar>
      <extLst>
        <ext xmlns:x14="http://schemas.microsoft.com/office/spreadsheetml/2009/9/main" uri="{B025F937-C7B1-47D3-B67F-A62EFF666E3E}">
          <x14:id>{56FDBD16-DDEB-4D7A-98AA-9D8D76CB1BBA}</x14:id>
        </ext>
      </extLst>
    </cfRule>
  </conditionalFormatting>
  <conditionalFormatting sqref="M5:P6">
    <cfRule type="dataBar" priority="28">
      <dataBar>
        <cfvo type="min"/>
        <cfvo type="max"/>
        <color rgb="FF63C384"/>
      </dataBar>
      <extLst>
        <ext xmlns:x14="http://schemas.microsoft.com/office/spreadsheetml/2009/9/main" uri="{B025F937-C7B1-47D3-B67F-A62EFF666E3E}">
          <x14:id>{418255D3-2B96-41A9-9582-87939D7FAE81}</x14:id>
        </ext>
      </extLst>
    </cfRule>
  </conditionalFormatting>
  <conditionalFormatting sqref="N7:N8">
    <cfRule type="dataBar" priority="45">
      <dataBar>
        <cfvo type="min"/>
        <cfvo type="max"/>
        <color rgb="FF63C384"/>
      </dataBar>
      <extLst>
        <ext xmlns:x14="http://schemas.microsoft.com/office/spreadsheetml/2009/9/main" uri="{B025F937-C7B1-47D3-B67F-A62EFF666E3E}">
          <x14:id>{13101FF6-2EA7-4030-B4D6-DA0DA1C2F6A6}</x14:id>
        </ext>
      </extLst>
    </cfRule>
  </conditionalFormatting>
  <conditionalFormatting sqref="N14:N17">
    <cfRule type="dataBar" priority="4">
      <dataBar>
        <cfvo type="min"/>
        <cfvo type="max"/>
        <color rgb="FF63C384"/>
      </dataBar>
      <extLst>
        <ext xmlns:x14="http://schemas.microsoft.com/office/spreadsheetml/2009/9/main" uri="{B025F937-C7B1-47D3-B67F-A62EFF666E3E}">
          <x14:id>{E359D2BF-B4C7-4D3A-9103-4CBEE70A31B4}</x14:id>
        </ext>
      </extLst>
    </cfRule>
  </conditionalFormatting>
  <conditionalFormatting sqref="O7:O8">
    <cfRule type="dataBar" priority="44">
      <dataBar>
        <cfvo type="min"/>
        <cfvo type="max"/>
        <color rgb="FF63C384"/>
      </dataBar>
      <extLst>
        <ext xmlns:x14="http://schemas.microsoft.com/office/spreadsheetml/2009/9/main" uri="{B025F937-C7B1-47D3-B67F-A62EFF666E3E}">
          <x14:id>{1F18C40A-A33A-4D0B-B57F-47D9D6CF0D64}</x14:id>
        </ext>
      </extLst>
    </cfRule>
  </conditionalFormatting>
  <conditionalFormatting sqref="O14:O17">
    <cfRule type="dataBar" priority="3">
      <dataBar>
        <cfvo type="min"/>
        <cfvo type="max"/>
        <color rgb="FF63C384"/>
      </dataBar>
      <extLst>
        <ext xmlns:x14="http://schemas.microsoft.com/office/spreadsheetml/2009/9/main" uri="{B025F937-C7B1-47D3-B67F-A62EFF666E3E}">
          <x14:id>{26AC0999-7FF4-4431-B91F-7A7C0E85B670}</x14:id>
        </ext>
      </extLst>
    </cfRule>
  </conditionalFormatting>
  <conditionalFormatting sqref="P7:P8">
    <cfRule type="dataBar" priority="43">
      <dataBar>
        <cfvo type="min"/>
        <cfvo type="max"/>
        <color rgb="FF63C384"/>
      </dataBar>
      <extLst>
        <ext xmlns:x14="http://schemas.microsoft.com/office/spreadsheetml/2009/9/main" uri="{B025F937-C7B1-47D3-B67F-A62EFF666E3E}">
          <x14:id>{BA11135A-0895-4A01-87D0-A486C9D5843C}</x14:id>
        </ext>
      </extLst>
    </cfRule>
  </conditionalFormatting>
  <conditionalFormatting sqref="P14:P17">
    <cfRule type="dataBar" priority="2">
      <dataBar>
        <cfvo type="min"/>
        <cfvo type="max"/>
        <color rgb="FF63C384"/>
      </dataBar>
      <extLst>
        <ext xmlns:x14="http://schemas.microsoft.com/office/spreadsheetml/2009/9/main" uri="{B025F937-C7B1-47D3-B67F-A62EFF666E3E}">
          <x14:id>{00154FAC-2C70-4EF2-A308-BA8404420986}</x14:id>
        </ext>
      </extLst>
    </cfRule>
  </conditionalFormatting>
  <hyperlinks>
    <hyperlink ref="B36" r:id="rId1" xr:uid="{442C8A32-547A-7D46-ACFA-668E1FF1552A}"/>
  </hyperlinks>
  <pageMargins left="0.75" right="0.75" top="1" bottom="1" header="0" footer="0"/>
  <pageSetup orientation="landscape" r:id="rId2"/>
  <headerFooter alignWithMargins="0"/>
  <drawing r:id="rId3"/>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B5:B8</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B14:B17</xm:sqref>
        </x14:conditionalFormatting>
        <x14:conditionalFormatting xmlns:xm="http://schemas.microsoft.com/office/excel/2006/main">
          <x14:cfRule type="dataBar" id="{767D33FE-8570-4B26-81B7-5505E2A08A62}">
            <x14:dataBar minLength="0" maxLength="100" gradient="0">
              <x14:cfvo type="autoMin"/>
              <x14:cfvo type="autoMax"/>
              <x14:negativeFillColor rgb="FFFF0000"/>
              <x14:axisColor rgb="FF000000"/>
            </x14:dataBar>
          </x14:cfRule>
          <xm:sqref>D5:D8</xm:sqref>
        </x14:conditionalFormatting>
        <x14:conditionalFormatting xmlns:xm="http://schemas.microsoft.com/office/excel/2006/main">
          <x14:cfRule type="dataBar" id="{F575A9CD-40CE-4DD0-A0EE-358DA4D46D80}">
            <x14:dataBar minLength="0" maxLength="100" gradient="0">
              <x14:cfvo type="autoMin"/>
              <x14:cfvo type="autoMax"/>
              <x14:negativeFillColor rgb="FFFF0000"/>
              <x14:axisColor rgb="FF000000"/>
            </x14:dataBar>
          </x14:cfRule>
          <xm:sqref>D14:D17</xm:sqref>
        </x14:conditionalFormatting>
        <x14:conditionalFormatting xmlns:xm="http://schemas.microsoft.com/office/excel/2006/main">
          <x14:cfRule type="dataBar" id="{83BDDF4E-0A7D-4B3E-A60B-AD52AC0FFA68}">
            <x14:dataBar minLength="0" maxLength="100" gradient="0">
              <x14:cfvo type="autoMin"/>
              <x14:cfvo type="autoMax"/>
              <x14:negativeFillColor rgb="FFFF0000"/>
              <x14:axisColor rgb="FF000000"/>
            </x14:dataBar>
          </x14:cfRule>
          <xm:sqref>D5:I6</xm:sqref>
        </x14:conditionalFormatting>
        <x14:conditionalFormatting xmlns:xm="http://schemas.microsoft.com/office/excel/2006/main">
          <x14:cfRule type="dataBar" id="{34CEE88D-9151-4A21-99EF-7139B3551298}">
            <x14:dataBar minLength="0" maxLength="100" gradient="0">
              <x14:cfvo type="autoMin"/>
              <x14:cfvo type="autoMax"/>
              <x14:negativeFillColor rgb="FFFF0000"/>
              <x14:axisColor rgb="FF000000"/>
            </x14:dataBar>
          </x14:cfRule>
          <x14:cfRule type="dataBar" id="{FE64C78F-7C84-4298-8E01-F0D5B55D0F50}">
            <x14:dataBar minLength="0" maxLength="100" gradient="0">
              <x14:cfvo type="autoMin"/>
              <x14:cfvo type="autoMax"/>
              <x14:negativeFillColor rgb="FFFF0000"/>
              <x14:axisColor rgb="FF000000"/>
            </x14:dataBar>
          </x14:cfRule>
          <xm:sqref>D14:I17</xm:sqref>
        </x14:conditionalFormatting>
        <x14:conditionalFormatting xmlns:xm="http://schemas.microsoft.com/office/excel/2006/main">
          <x14:cfRule type="dataBar" id="{740A2B96-C6E5-4177-AC04-9573B81E30EC}">
            <x14:dataBar minLength="0" maxLength="100" gradient="0">
              <x14:cfvo type="autoMin"/>
              <x14:cfvo type="autoMax"/>
              <x14:negativeFillColor rgb="FFFF0000"/>
              <x14:axisColor rgb="FF000000"/>
            </x14:dataBar>
          </x14:cfRule>
          <xm:sqref>E5:E8</xm:sqref>
        </x14:conditionalFormatting>
        <x14:conditionalFormatting xmlns:xm="http://schemas.microsoft.com/office/excel/2006/main">
          <x14:cfRule type="dataBar" id="{A38B14A7-F79E-4BFC-8C5A-104694F33A4C}">
            <x14:dataBar minLength="0" maxLength="100" gradient="0">
              <x14:cfvo type="autoMin"/>
              <x14:cfvo type="autoMax"/>
              <x14:negativeFillColor rgb="FFFF0000"/>
              <x14:axisColor rgb="FF000000"/>
            </x14:dataBar>
          </x14:cfRule>
          <xm:sqref>E14:E17</xm:sqref>
        </x14:conditionalFormatting>
        <x14:conditionalFormatting xmlns:xm="http://schemas.microsoft.com/office/excel/2006/main">
          <x14:cfRule type="dataBar" id="{5EFE30C4-0901-404E-9108-731E3BE4821E}">
            <x14:dataBar minLength="0" maxLength="100" gradient="0">
              <x14:cfvo type="autoMin"/>
              <x14:cfvo type="autoMax"/>
              <x14:negativeFillColor rgb="FFFF0000"/>
              <x14:axisColor rgb="FF000000"/>
            </x14:dataBar>
          </x14:cfRule>
          <xm:sqref>F5:F8</xm:sqref>
        </x14:conditionalFormatting>
        <x14:conditionalFormatting xmlns:xm="http://schemas.microsoft.com/office/excel/2006/main">
          <x14:cfRule type="dataBar" id="{505412FE-4EAD-453D-A4BD-B1B63B0ABC2E}">
            <x14:dataBar minLength="0" maxLength="100" gradient="0">
              <x14:cfvo type="autoMin"/>
              <x14:cfvo type="autoMax"/>
              <x14:negativeFillColor rgb="FFFF0000"/>
              <x14:axisColor rgb="FF000000"/>
            </x14:dataBar>
          </x14:cfRule>
          <xm:sqref>F14:F17</xm:sqref>
        </x14:conditionalFormatting>
        <x14:conditionalFormatting xmlns:xm="http://schemas.microsoft.com/office/excel/2006/main">
          <x14:cfRule type="dataBar" id="{A1F44ECC-EF2B-4606-87E9-B7F443AC18BF}">
            <x14:dataBar minLength="0" maxLength="100" gradient="0">
              <x14:cfvo type="autoMin"/>
              <x14:cfvo type="autoMax"/>
              <x14:negativeFillColor rgb="FFFF0000"/>
              <x14:axisColor rgb="FF000000"/>
            </x14:dataBar>
          </x14:cfRule>
          <xm:sqref>G5:G8</xm:sqref>
        </x14:conditionalFormatting>
        <x14:conditionalFormatting xmlns:xm="http://schemas.microsoft.com/office/excel/2006/main">
          <x14:cfRule type="dataBar" id="{F51D7CD6-931F-4BA7-90A2-0A736BE3108D}">
            <x14:dataBar minLength="0" maxLength="100" gradient="0">
              <x14:cfvo type="autoMin"/>
              <x14:cfvo type="autoMax"/>
              <x14:negativeFillColor rgb="FFFF0000"/>
              <x14:axisColor rgb="FF000000"/>
            </x14:dataBar>
          </x14:cfRule>
          <xm:sqref>G14:G17</xm:sqref>
        </x14:conditionalFormatting>
        <x14:conditionalFormatting xmlns:xm="http://schemas.microsoft.com/office/excel/2006/main">
          <x14:cfRule type="dataBar" id="{4320827E-AAAF-46DA-9F47-1F13F9C2B2E6}">
            <x14:dataBar minLength="0" maxLength="100" gradient="0">
              <x14:cfvo type="autoMin"/>
              <x14:cfvo type="autoMax"/>
              <x14:negativeFillColor rgb="FFFF0000"/>
              <x14:axisColor rgb="FF000000"/>
            </x14:dataBar>
          </x14:cfRule>
          <xm:sqref>H5:H8</xm:sqref>
        </x14:conditionalFormatting>
        <x14:conditionalFormatting xmlns:xm="http://schemas.microsoft.com/office/excel/2006/main">
          <x14:cfRule type="dataBar" id="{454C0D39-C9D6-4F33-943E-21207557A042}">
            <x14:dataBar minLength="0" maxLength="100" gradient="0">
              <x14:cfvo type="autoMin"/>
              <x14:cfvo type="autoMax"/>
              <x14:negativeFillColor rgb="FFFF0000"/>
              <x14:axisColor rgb="FF000000"/>
            </x14:dataBar>
          </x14:cfRule>
          <xm:sqref>H14:H17</xm:sqref>
        </x14:conditionalFormatting>
        <x14:conditionalFormatting xmlns:xm="http://schemas.microsoft.com/office/excel/2006/main">
          <x14:cfRule type="dataBar" id="{5091493A-8CC0-4646-874A-93DEE51CD4AB}">
            <x14:dataBar minLength="0" maxLength="100" gradient="0">
              <x14:cfvo type="autoMin"/>
              <x14:cfvo type="autoMax"/>
              <x14:negativeFillColor rgb="FFFF0000"/>
              <x14:axisColor rgb="FF000000"/>
            </x14:dataBar>
          </x14:cfRule>
          <xm:sqref>I5:I8</xm:sqref>
        </x14:conditionalFormatting>
        <x14:conditionalFormatting xmlns:xm="http://schemas.microsoft.com/office/excel/2006/main">
          <x14:cfRule type="dataBar" id="{B2C6EEDC-5358-4682-A598-0CF216F95620}">
            <x14:dataBar minLength="0" maxLength="100" gradient="0">
              <x14:cfvo type="autoMin"/>
              <x14:cfvo type="autoMax"/>
              <x14:negativeFillColor rgb="FFFF0000"/>
              <x14:axisColor rgb="FF000000"/>
            </x14:dataBar>
          </x14:cfRule>
          <xm:sqref>I14:I17</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K5:K8</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K14:K17</xm:sqref>
        </x14:conditionalFormatting>
        <x14:conditionalFormatting xmlns:xm="http://schemas.microsoft.com/office/excel/2006/main">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BC457F7-3DB8-46A0-988B-11CCF8FF31E5}">
            <x14:dataBar minLength="0" maxLength="100" gradient="0">
              <x14:cfvo type="autoMin"/>
              <x14:cfvo type="autoMax"/>
              <x14:negativeFillColor rgb="FFFF0000"/>
              <x14:axisColor rgb="FF000000"/>
            </x14:dataBar>
          </x14:cfRule>
          <x14:cfRule type="dataBar" id="{589E11FE-E342-4D21-9EB3-CB0F15AE87A6}">
            <x14:dataBar minLength="0" maxLength="100" gradient="0">
              <x14:cfvo type="autoMin"/>
              <x14:cfvo type="autoMax"/>
              <x14:negativeFillColor rgb="FFFF0000"/>
              <x14:axisColor rgb="FF000000"/>
            </x14:dataBar>
          </x14:cfRule>
          <xm:sqref>K14:O17</xm:sqref>
        </x14:conditionalFormatting>
        <x14:conditionalFormatting xmlns:xm="http://schemas.microsoft.com/office/excel/2006/main">
          <x14:cfRule type="dataBar" id="{1642E512-5328-4DB9-81F4-5A67EFFA2D7A}">
            <x14:dataBar minLength="0" maxLength="100" gradient="0">
              <x14:cfvo type="autoMin"/>
              <x14:cfvo type="autoMax"/>
              <x14:negativeFillColor rgb="FFFF0000"/>
              <x14:axisColor rgb="FF000000"/>
            </x14:dataBar>
          </x14:cfRule>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m:sqref>K5:P6</xm:sqref>
        </x14:conditionalFormatting>
        <x14:conditionalFormatting xmlns:xm="http://schemas.microsoft.com/office/excel/2006/main">
          <x14:cfRule type="dataBar" id="{A85696C3-3FD4-4347-BBC8-6CEF041D9BC2}">
            <x14:dataBar minLength="0" maxLength="100" gradient="0">
              <x14:cfvo type="autoMin"/>
              <x14:cfvo type="autoMax"/>
              <x14:negativeFill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14:cfRule type="dataBar" id="{9095667E-69EE-4811-BEDE-AFA010708C3B}">
            <x14:dataBar minLength="0" maxLength="100" gradient="0">
              <x14:cfvo type="autoMin"/>
              <x14:cfvo type="autoMax"/>
              <x14:negativeFillColor rgb="FFFF0000"/>
              <x14:axisColor rgb="FF000000"/>
            </x14:dataBar>
          </x14:cfRule>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C7F1560-4E75-4756-AE37-09B82982D1AB}">
            <x14:dataBar minLength="0" maxLength="100" gradient="0">
              <x14:cfvo type="autoMin"/>
              <x14:cfvo type="autoMax"/>
              <x14:negativeFillColor rgb="FFFF0000"/>
              <x14:axisColor rgb="FF000000"/>
            </x14:dataBar>
          </x14:cfRule>
          <xm:sqref>K14:P17</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L5:L8</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L14:L17</xm:sqref>
        </x14:conditionalFormatting>
        <x14:conditionalFormatting xmlns:xm="http://schemas.microsoft.com/office/excel/2006/main">
          <x14:cfRule type="dataBar" id="{CF921376-951B-44A1-A35C-F489AA25CABD}">
            <x14:dataBar minLength="0" maxLength="100" gradient="0">
              <x14:cfvo type="autoMin"/>
              <x14:cfvo type="autoMax"/>
              <x14:negativeFillColor rgb="FFFF0000"/>
              <x14:axisColor rgb="FF000000"/>
            </x14:dataBar>
          </x14:cfRule>
          <xm:sqref>M7:M8</xm:sqref>
        </x14:conditionalFormatting>
        <x14:conditionalFormatting xmlns:xm="http://schemas.microsoft.com/office/excel/2006/main">
          <x14:cfRule type="dataBar" id="{56FDBD16-DDEB-4D7A-98AA-9D8D76CB1BBA}">
            <x14:dataBar minLength="0" maxLength="100" gradient="0">
              <x14:cfvo type="autoMin"/>
              <x14:cfvo type="autoMax"/>
              <x14:negativeFillColor rgb="FFFF0000"/>
              <x14:axisColor rgb="FF000000"/>
            </x14:dataBar>
          </x14:cfRule>
          <xm:sqref>M15:M17</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M5:P6</xm:sqref>
        </x14:conditionalFormatting>
        <x14:conditionalFormatting xmlns:xm="http://schemas.microsoft.com/office/excel/2006/main">
          <x14:cfRule type="dataBar" id="{13101FF6-2EA7-4030-B4D6-DA0DA1C2F6A6}">
            <x14:dataBar minLength="0" maxLength="100" gradient="0">
              <x14:cfvo type="autoMin"/>
              <x14:cfvo type="autoMax"/>
              <x14:negativeFillColor rgb="FFFF0000"/>
              <x14:axisColor rgb="FF000000"/>
            </x14:dataBar>
          </x14:cfRule>
          <xm:sqref>N7:N8</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N14:N17</xm:sqref>
        </x14:conditionalFormatting>
        <x14:conditionalFormatting xmlns:xm="http://schemas.microsoft.com/office/excel/2006/main">
          <x14:cfRule type="dataBar" id="{1F18C40A-A33A-4D0B-B57F-47D9D6CF0D64}">
            <x14:dataBar minLength="0" maxLength="100" gradient="0">
              <x14:cfvo type="autoMin"/>
              <x14:cfvo type="autoMax"/>
              <x14:negativeFillColor rgb="FFFF0000"/>
              <x14:axisColor rgb="FF000000"/>
            </x14:dataBar>
          </x14:cfRule>
          <xm:sqref>O7:O8</xm:sqref>
        </x14:conditionalFormatting>
        <x14:conditionalFormatting xmlns:xm="http://schemas.microsoft.com/office/excel/2006/main">
          <x14:cfRule type="dataBar" id="{26AC0999-7FF4-4431-B91F-7A7C0E85B670}">
            <x14:dataBar minLength="0" maxLength="100" gradient="0">
              <x14:cfvo type="autoMin"/>
              <x14:cfvo type="autoMax"/>
              <x14:negativeFillColor rgb="FFFF0000"/>
              <x14:axisColor rgb="FF000000"/>
            </x14:dataBar>
          </x14:cfRule>
          <xm:sqref>O14:O17</xm:sqref>
        </x14:conditionalFormatting>
        <x14:conditionalFormatting xmlns:xm="http://schemas.microsoft.com/office/excel/2006/main">
          <x14:cfRule type="dataBar" id="{BA11135A-0895-4A01-87D0-A486C9D5843C}">
            <x14:dataBar minLength="0" maxLength="100" gradient="0">
              <x14:cfvo type="autoMin"/>
              <x14:cfvo type="autoMax"/>
              <x14:negativeFillColor rgb="FFFF0000"/>
              <x14:axisColor rgb="FF000000"/>
            </x14:dataBar>
          </x14:cfRule>
          <xm:sqref>P7:P8</xm:sqref>
        </x14:conditionalFormatting>
        <x14:conditionalFormatting xmlns:xm="http://schemas.microsoft.com/office/excel/2006/main">
          <x14:cfRule type="dataBar" id="{00154FAC-2C70-4EF2-A308-BA8404420986}">
            <x14:dataBar minLength="0" maxLength="100" gradient="0">
              <x14:cfvo type="autoMin"/>
              <x14:cfvo type="autoMax"/>
              <x14:negativeFillColor rgb="FFFF0000"/>
              <x14:axisColor rgb="FF000000"/>
            </x14:dataBar>
          </x14:cfRule>
          <xm:sqref>P14:P17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2.75"/>
  <cols>
    <col min="1" max="1" width="27.140625" bestFit="1" customWidth="1"/>
  </cols>
  <sheetData>
    <row r="1" spans="1:1">
      <c r="A1" t="s">
        <v>212</v>
      </c>
    </row>
    <row r="2" spans="1:1">
      <c r="A2" t="s">
        <v>213</v>
      </c>
    </row>
    <row r="3" spans="1:1">
      <c r="A3" t="s">
        <v>214</v>
      </c>
    </row>
    <row r="4" spans="1:1">
      <c r="A4" t="s">
        <v>215</v>
      </c>
    </row>
    <row r="5" spans="1:1">
      <c r="A5" t="s">
        <v>216</v>
      </c>
    </row>
    <row r="6" spans="1:1">
      <c r="A6" s="11" t="s">
        <v>217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M78"/>
  <sheetViews>
    <sheetView showGridLines="0" topLeftCell="A5" zoomScale="89" zoomScaleNormal="120" workbookViewId="0">
      <selection activeCell="D5" sqref="D5:H5"/>
    </sheetView>
  </sheetViews>
  <sheetFormatPr defaultColWidth="11.42578125" defaultRowHeight="12.75"/>
  <cols>
    <col min="1" max="1" width="0.42578125" customWidth="1"/>
    <col min="2" max="2" width="31.7109375" bestFit="1" customWidth="1"/>
    <col min="3" max="3" width="41.85546875" customWidth="1"/>
    <col min="4" max="4" width="32.140625" customWidth="1"/>
    <col min="5" max="5" width="33.42578125" customWidth="1"/>
    <col min="6" max="6" width="33.85546875" customWidth="1"/>
    <col min="7" max="7" width="35.7109375" customWidth="1"/>
    <col min="8" max="8" width="46.140625" customWidth="1"/>
    <col min="9" max="9" width="15.42578125" customWidth="1"/>
  </cols>
  <sheetData>
    <row r="1" spans="2:13" ht="15">
      <c r="B1" s="248" t="s">
        <v>218</v>
      </c>
      <c r="C1" s="249" t="s">
        <v>219</v>
      </c>
      <c r="D1" s="950" t="s">
        <v>190</v>
      </c>
      <c r="E1" s="950"/>
      <c r="F1" s="950"/>
      <c r="G1" s="950"/>
      <c r="H1" s="950"/>
    </row>
    <row r="2" spans="2:13" ht="81.75" customHeight="1">
      <c r="B2" s="250"/>
      <c r="C2" s="491" t="e" vm="2">
        <f>D8</f>
        <v>#VALUE!</v>
      </c>
      <c r="D2" s="963" t="s">
        <v>220</v>
      </c>
      <c r="E2" s="964"/>
      <c r="F2" s="964"/>
      <c r="G2" s="964"/>
      <c r="H2" s="965"/>
    </row>
    <row r="3" spans="2:13" ht="81.75" customHeight="1">
      <c r="B3" s="250"/>
      <c r="C3" s="492" t="e" vm="3">
        <f>E8</f>
        <v>#VALUE!</v>
      </c>
      <c r="D3" s="960" t="s">
        <v>221</v>
      </c>
      <c r="E3" s="961"/>
      <c r="F3" s="961"/>
      <c r="G3" s="961"/>
      <c r="H3" s="962"/>
    </row>
    <row r="4" spans="2:13" ht="81.75" customHeight="1">
      <c r="B4" s="250"/>
      <c r="C4" s="659" t="e" vm="4">
        <f>F8</f>
        <v>#VALUE!</v>
      </c>
      <c r="D4" s="957" t="s">
        <v>222</v>
      </c>
      <c r="E4" s="958"/>
      <c r="F4" s="958"/>
      <c r="G4" s="958"/>
      <c r="H4" s="959"/>
    </row>
    <row r="5" spans="2:13" ht="81.75" customHeight="1">
      <c r="B5" s="250"/>
      <c r="C5" s="493" t="e" vm="5">
        <f>G8</f>
        <v>#VALUE!</v>
      </c>
      <c r="D5" s="966" t="s">
        <v>223</v>
      </c>
      <c r="E5" s="967"/>
      <c r="F5" s="967"/>
      <c r="G5" s="967"/>
      <c r="H5" s="968"/>
    </row>
    <row r="6" spans="2:13" ht="81.75" customHeight="1">
      <c r="B6" s="250"/>
      <c r="C6" s="494" t="e" vm="6">
        <f>H8</f>
        <v>#VALUE!</v>
      </c>
      <c r="D6" s="954" t="s">
        <v>224</v>
      </c>
      <c r="E6" s="955"/>
      <c r="F6" s="955"/>
      <c r="G6" s="955"/>
      <c r="H6" s="956"/>
      <c r="K6" s="2"/>
    </row>
    <row r="7" spans="2:13" ht="13.5" thickBot="1">
      <c r="B7" s="11"/>
    </row>
    <row r="8" spans="2:13" ht="37.5" customHeight="1" thickBot="1">
      <c r="B8" s="247" t="s">
        <v>225</v>
      </c>
      <c r="C8" s="485" t="e" vm="1">
        <f>OP!E2</f>
        <v>#VALUE!</v>
      </c>
      <c r="D8" s="486" t="e" vm="2">
        <v>#VALUE!</v>
      </c>
      <c r="E8" s="487" t="e" vm="3">
        <v>#VALUE!</v>
      </c>
      <c r="F8" s="488" t="e" vm="4">
        <v>#VALUE!</v>
      </c>
      <c r="G8" s="489" t="e" vm="5">
        <v>#VALUE!</v>
      </c>
      <c r="H8" s="490" t="e" vm="6">
        <v>#VALUE!</v>
      </c>
      <c r="I8" s="227" t="s">
        <v>226</v>
      </c>
    </row>
    <row r="9" spans="2:13" ht="16.5" customHeight="1" thickBot="1">
      <c r="B9" s="225" t="s">
        <v>227</v>
      </c>
      <c r="C9" s="206"/>
      <c r="D9" s="207"/>
      <c r="E9" s="207"/>
      <c r="F9" s="207"/>
      <c r="G9" s="207"/>
      <c r="H9" s="208"/>
      <c r="I9" s="209" t="str">
        <f>IFERROR(AVERAGE(C9:H9),"")</f>
        <v/>
      </c>
    </row>
    <row r="10" spans="2:13" ht="13.5" customHeight="1" thickBot="1">
      <c r="B10" s="222" t="s">
        <v>228</v>
      </c>
      <c r="C10" s="204" cm="1">
        <f t="array" ref="C10">_FV(C8,"Market cap",TRUE)/1000000</f>
        <v>373687.1</v>
      </c>
      <c r="D10" s="204" cm="1">
        <f t="array" ref="D10">_FV(D8,"Market cap",TRUE)/1000000</f>
        <v>556934.9</v>
      </c>
      <c r="E10" s="204" cm="1">
        <f t="array" ref="E10">_FV(E8,"Market cap",TRUE)/1000000</f>
        <v>2023985</v>
      </c>
      <c r="F10" s="204" cm="1">
        <f t="array" ref="F10">_FV(F8,"Market cap",TRUE)/1000000</f>
        <v>37886.800000000003</v>
      </c>
      <c r="G10" s="204" cm="1">
        <f t="array" ref="G10">_FV(G8,"Market cap",TRUE)/1000000</f>
        <v>9927.6630000000005</v>
      </c>
      <c r="H10" s="204" cm="1">
        <f t="array" ref="H10">_FV(H8,"Market cap",TRUE)/1000000</f>
        <v>70714</v>
      </c>
      <c r="I10" s="237">
        <f>IFERROR(AVERAGE(C10:H10),"")</f>
        <v>512189.24383333331</v>
      </c>
      <c r="K10" s="952"/>
      <c r="L10" s="891"/>
      <c r="M10" s="891"/>
    </row>
    <row r="11" spans="2:13" ht="13.5" thickBot="1">
      <c r="B11" s="224" t="s">
        <v>229</v>
      </c>
      <c r="C11" s="221">
        <f>C53</f>
        <v>226954</v>
      </c>
      <c r="D11" s="221">
        <f t="shared" ref="D11:H11" si="0">D53</f>
        <v>611289</v>
      </c>
      <c r="E11" s="221">
        <f t="shared" si="0"/>
        <v>513983</v>
      </c>
      <c r="F11" s="221">
        <f t="shared" si="0"/>
        <v>148258</v>
      </c>
      <c r="G11" s="221">
        <f t="shared" si="0"/>
        <v>133291</v>
      </c>
      <c r="H11" s="221">
        <f t="shared" si="0"/>
        <v>109120</v>
      </c>
      <c r="I11" s="238">
        <f t="shared" ref="I11:I40" si="1">IFERROR(AVERAGE(C11:H11),"")</f>
        <v>290482.5</v>
      </c>
      <c r="K11" s="952"/>
      <c r="L11" s="891"/>
      <c r="M11" s="891"/>
    </row>
    <row r="12" spans="2:13" ht="16.5" customHeight="1" thickBot="1">
      <c r="B12" s="225" t="s">
        <v>230</v>
      </c>
      <c r="C12" s="236"/>
      <c r="D12" s="236"/>
      <c r="E12" s="236"/>
      <c r="F12" s="236"/>
      <c r="G12" s="236"/>
      <c r="H12" s="236"/>
      <c r="I12" s="239" t="str">
        <f t="shared" si="1"/>
        <v/>
      </c>
      <c r="K12" s="951"/>
      <c r="L12" s="953"/>
      <c r="M12" s="953"/>
    </row>
    <row r="13" spans="2:13" ht="13.5" thickBot="1">
      <c r="B13" s="222" t="s">
        <v>231</v>
      </c>
      <c r="C13" s="233">
        <f>C53/C52-1</f>
        <v>0.15834817714580285</v>
      </c>
      <c r="D13" s="233">
        <f t="shared" ref="D13:H13" si="2">D53/D52-1</f>
        <v>6.7280193590965709E-2</v>
      </c>
      <c r="E13" s="233">
        <f t="shared" si="2"/>
        <v>9.399517263985091E-2</v>
      </c>
      <c r="F13" s="233">
        <f t="shared" si="2"/>
        <v>7.5205964260849356E-2</v>
      </c>
      <c r="G13" s="233">
        <f t="shared" si="2"/>
        <v>4.4309473033767866E-3</v>
      </c>
      <c r="H13" s="233">
        <f t="shared" si="2"/>
        <v>2.9385406348757082E-2</v>
      </c>
      <c r="I13" s="240">
        <f t="shared" si="1"/>
        <v>7.1440976881600449E-2</v>
      </c>
      <c r="K13" s="951"/>
      <c r="L13" s="953"/>
      <c r="M13" s="953"/>
    </row>
    <row r="14" spans="2:13" ht="13.5" thickBot="1">
      <c r="B14" s="223" t="s">
        <v>232</v>
      </c>
      <c r="C14" s="234">
        <f>C53/C51-1</f>
        <v>0.48624454005487783</v>
      </c>
      <c r="D14" s="234">
        <f t="shared" ref="D14:H14" si="3">D53/D51-1</f>
        <v>0.16666221343451082</v>
      </c>
      <c r="E14" s="234">
        <f t="shared" si="3"/>
        <v>0.83223775675348111</v>
      </c>
      <c r="F14" s="234">
        <f t="shared" si="3"/>
        <v>0.21237743995682279</v>
      </c>
      <c r="G14" s="234">
        <f t="shared" si="3"/>
        <v>-4.476232110479661E-2</v>
      </c>
      <c r="H14" s="234">
        <f t="shared" si="3"/>
        <v>0.3969684555510038</v>
      </c>
      <c r="I14" s="241">
        <f t="shared" si="1"/>
        <v>0.34162134744098327</v>
      </c>
      <c r="L14" s="638"/>
      <c r="M14" s="638"/>
    </row>
    <row r="15" spans="2:13" ht="13.5" thickBot="1">
      <c r="B15" s="223" t="s">
        <v>125</v>
      </c>
      <c r="C15" s="234">
        <f>C56/C53</f>
        <v>3.4337354706240032E-2</v>
      </c>
      <c r="D15" s="234">
        <f t="shared" ref="D15:H15" si="4">D56/D53</f>
        <v>3.3417908714208827E-2</v>
      </c>
      <c r="E15" s="234">
        <f t="shared" si="4"/>
        <v>2.3829581912242232E-2</v>
      </c>
      <c r="F15" s="234">
        <f t="shared" si="4"/>
        <v>2.7829864155728527E-2</v>
      </c>
      <c r="G15" s="234">
        <f t="shared" si="4"/>
        <v>-5.581772212677525E-2</v>
      </c>
      <c r="H15" s="234">
        <f t="shared" si="4"/>
        <v>3.5263929618768328E-2</v>
      </c>
      <c r="I15" s="241">
        <f>IFERROR(AVERAGE(C15:H15),"")</f>
        <v>1.6476819496735445E-2</v>
      </c>
      <c r="L15" s="638"/>
      <c r="M15" s="638"/>
    </row>
    <row r="16" spans="2:13" ht="13.5" thickBot="1">
      <c r="B16" s="223" t="s">
        <v>233</v>
      </c>
      <c r="C16" s="234">
        <f>C59/C53</f>
        <v>2.5749711395260715E-2</v>
      </c>
      <c r="D16" s="234">
        <f t="shared" ref="D16:H16" si="5">D59/D53</f>
        <v>1.9107165350595218E-2</v>
      </c>
      <c r="E16" s="234">
        <f t="shared" si="5"/>
        <v>5.2958950004183018E-3</v>
      </c>
      <c r="F16" s="234">
        <f t="shared" si="5"/>
        <v>1.5135776821486868E-2</v>
      </c>
      <c r="G16" s="234">
        <f t="shared" si="5"/>
        <v>-2.3587489027766317E-2</v>
      </c>
      <c r="H16" s="234">
        <f t="shared" si="5"/>
        <v>2.5476539589442817E-2</v>
      </c>
      <c r="I16" s="241">
        <f t="shared" si="1"/>
        <v>1.1196266521572934E-2</v>
      </c>
    </row>
    <row r="17" spans="1:9" ht="13.5" thickBot="1">
      <c r="B17" s="223" t="s">
        <v>234</v>
      </c>
      <c r="C17" s="234">
        <f>C59/C70</f>
        <v>0.28311210154054839</v>
      </c>
      <c r="D17" s="234">
        <f t="shared" ref="D17:H17" si="6">D59/D70</f>
        <v>0.13940609185524683</v>
      </c>
      <c r="E17" s="234">
        <f t="shared" si="6"/>
        <v>1.8638346240490815E-2</v>
      </c>
      <c r="F17" s="234">
        <f t="shared" si="6"/>
        <v>0.22408627920910726</v>
      </c>
      <c r="G17" s="234">
        <f>G59/G70</f>
        <v>-0.10339384372533544</v>
      </c>
      <c r="H17" s="234">
        <f t="shared" si="6"/>
        <v>0.24750712250712251</v>
      </c>
      <c r="I17" s="241">
        <f t="shared" si="1"/>
        <v>0.13489268293786338</v>
      </c>
    </row>
    <row r="18" spans="1:9" ht="13.5" thickBot="1">
      <c r="B18" s="224" t="s">
        <v>235</v>
      </c>
      <c r="C18" s="766">
        <f>(C59+C58)/(C69+C70)</f>
        <v>0.24625966780778497</v>
      </c>
      <c r="D18" s="235">
        <f t="shared" ref="D18:H18" si="7">(D59+D58)/(D69+D70)</f>
        <v>0.14695228525833171</v>
      </c>
      <c r="E18" s="235">
        <f t="shared" si="7"/>
        <v>4.0611089482300078E-2</v>
      </c>
      <c r="F18" s="235">
        <f t="shared" si="7"/>
        <v>0.45443306252207699</v>
      </c>
      <c r="G18" s="235">
        <f t="shared" si="7"/>
        <v>-0.13025726644911589</v>
      </c>
      <c r="H18" s="235">
        <f t="shared" si="7"/>
        <v>0.22972724936676334</v>
      </c>
      <c r="I18" s="242">
        <f t="shared" si="1"/>
        <v>0.1646210146646902</v>
      </c>
    </row>
    <row r="19" spans="1:9" ht="16.5" thickBot="1">
      <c r="B19" s="225" t="s">
        <v>236</v>
      </c>
      <c r="C19" s="236"/>
      <c r="D19" s="236"/>
      <c r="E19" s="236"/>
      <c r="F19" s="236"/>
      <c r="G19" s="236"/>
      <c r="H19" s="236"/>
      <c r="I19" s="243" t="str">
        <f t="shared" si="1"/>
        <v/>
      </c>
    </row>
    <row r="20" spans="1:9" ht="13.5" thickBot="1">
      <c r="B20" s="222" t="s">
        <v>69</v>
      </c>
      <c r="C20" s="479">
        <f>C69/C66</f>
        <v>0.16996540223794532</v>
      </c>
      <c r="D20" s="479">
        <f t="shared" ref="D20:H20" si="8">D69/D66</f>
        <v>0.14247297458439043</v>
      </c>
      <c r="E20" s="479">
        <f t="shared" si="8"/>
        <v>0.14513427351812827</v>
      </c>
      <c r="F20" s="479">
        <f t="shared" si="8"/>
        <v>2.6399048828164358E-2</v>
      </c>
      <c r="G20" s="479">
        <f t="shared" si="8"/>
        <v>0.39364653144556389</v>
      </c>
      <c r="H20" s="479">
        <f t="shared" si="8"/>
        <v>0.3001593700196869</v>
      </c>
      <c r="I20" s="527">
        <f>IFERROR(AVERAGE(C20:H20),"")</f>
        <v>0.19629626677231318</v>
      </c>
    </row>
    <row r="21" spans="1:9" ht="13.5" thickBot="1">
      <c r="B21" s="223" t="s">
        <v>237</v>
      </c>
      <c r="C21" s="765">
        <f>(C69-C61)/C55</f>
        <v>-5.5977452438737965E-3</v>
      </c>
      <c r="D21" s="480">
        <f t="shared" ref="D21:H21" si="9">(D69-D61)/D55</f>
        <v>0.86490079431021305</v>
      </c>
      <c r="E21" s="480">
        <f t="shared" si="9"/>
        <v>0.34579682937004591</v>
      </c>
      <c r="F21" s="480">
        <f t="shared" si="9"/>
        <v>2.6083238312428734E-2</v>
      </c>
      <c r="G21" s="480">
        <f t="shared" si="9"/>
        <v>-11.184344290071163</v>
      </c>
      <c r="H21" s="480">
        <f t="shared" si="9"/>
        <v>2.0891449363250456</v>
      </c>
      <c r="I21" s="527">
        <f t="shared" si="1"/>
        <v>-1.3106693728328842</v>
      </c>
    </row>
    <row r="22" spans="1:9" ht="13.5" thickBot="1">
      <c r="B22" s="224" t="s">
        <v>238</v>
      </c>
      <c r="C22" s="481">
        <f t="shared" ref="C22:H22" si="10">-C55/C57</f>
        <v>-263.36082474226805</v>
      </c>
      <c r="D22" s="481">
        <f t="shared" si="10"/>
        <v>16.056029882604054</v>
      </c>
      <c r="E22" s="481">
        <f t="shared" si="10"/>
        <v>27.831640058055154</v>
      </c>
      <c r="F22" s="481">
        <f t="shared" si="10"/>
        <v>13.114018691588784</v>
      </c>
      <c r="G22" s="481">
        <f t="shared" si="10"/>
        <v>-6.3326180257510734</v>
      </c>
      <c r="H22" s="481">
        <f t="shared" si="10"/>
        <v>13.799163179916318</v>
      </c>
      <c r="I22" s="528">
        <f t="shared" si="1"/>
        <v>-33.148765159309129</v>
      </c>
    </row>
    <row r="23" spans="1:9" ht="16.5" thickBot="1">
      <c r="B23" s="225" t="s">
        <v>239</v>
      </c>
      <c r="C23" s="236"/>
      <c r="D23" s="236"/>
      <c r="E23" s="236"/>
      <c r="F23" s="236"/>
      <c r="G23" s="236"/>
      <c r="H23" s="236"/>
      <c r="I23" s="529"/>
    </row>
    <row r="24" spans="1:9" ht="13.5" thickBot="1">
      <c r="B24" s="222" t="s">
        <v>240</v>
      </c>
      <c r="C24" s="479">
        <f>C64/C68</f>
        <v>1.0218138633664604</v>
      </c>
      <c r="D24" s="479">
        <f t="shared" ref="D24:H24" si="11">D64/D68</f>
        <v>0.82057094513980777</v>
      </c>
      <c r="E24" s="479">
        <f>E64/E68</f>
        <v>0.9446435811136924</v>
      </c>
      <c r="F24" s="479">
        <f t="shared" si="11"/>
        <v>0.73500406079591596</v>
      </c>
      <c r="G24" s="479">
        <f t="shared" si="11"/>
        <v>0.7484390913519019</v>
      </c>
      <c r="H24" s="479">
        <f t="shared" si="11"/>
        <v>0.91517948717948716</v>
      </c>
      <c r="I24" s="530">
        <f t="shared" si="1"/>
        <v>0.8642751714912108</v>
      </c>
    </row>
    <row r="25" spans="1:9" ht="13.5" thickBot="1">
      <c r="B25" s="224" t="s">
        <v>241</v>
      </c>
      <c r="C25" s="480">
        <f>(C61+C62)/C68</f>
        <v>0.41533845865366587</v>
      </c>
      <c r="D25" s="480">
        <f t="shared" ref="D25:H25" si="12">(D61+D62)/D68</f>
        <v>0.17959174819410401</v>
      </c>
      <c r="E25" s="480">
        <f>(E61+E62)/E68</f>
        <v>0.55844857876480924</v>
      </c>
      <c r="F25" s="480">
        <f t="shared" si="12"/>
        <v>0.19497621533820628</v>
      </c>
      <c r="G25" s="480">
        <f t="shared" si="12"/>
        <v>0.33162113093920204</v>
      </c>
      <c r="H25" s="480">
        <f t="shared" si="12"/>
        <v>0.17425641025641025</v>
      </c>
      <c r="I25" s="528">
        <f t="shared" si="1"/>
        <v>0.30903875702439959</v>
      </c>
    </row>
    <row r="26" spans="1:9" ht="16.5" thickBot="1">
      <c r="B26" s="225" t="s">
        <v>242</v>
      </c>
      <c r="C26" s="236"/>
      <c r="D26" s="236"/>
      <c r="E26" s="236"/>
      <c r="F26" s="236"/>
      <c r="G26" s="236"/>
      <c r="H26" s="236"/>
      <c r="I26" s="529" t="str">
        <f t="shared" si="1"/>
        <v/>
      </c>
    </row>
    <row r="27" spans="1:9" ht="13.5" thickBot="1">
      <c r="B27" s="222" t="s">
        <v>243</v>
      </c>
      <c r="C27" s="764">
        <f>C54/C63</f>
        <v>11.13430502038309</v>
      </c>
      <c r="D27" s="479">
        <f t="shared" ref="D27:H27" si="13">D54/D63</f>
        <v>8.1964260463800898</v>
      </c>
      <c r="E27" s="479">
        <f t="shared" si="13"/>
        <v>12.973201569539311</v>
      </c>
      <c r="F27" s="479">
        <f t="shared" si="13"/>
        <v>15.407407407407407</v>
      </c>
      <c r="G27" s="479">
        <f t="shared" si="13"/>
        <v>12.725847001077458</v>
      </c>
      <c r="H27" s="479">
        <f t="shared" si="13"/>
        <v>6.0910370370370375</v>
      </c>
      <c r="I27" s="530">
        <f t="shared" si="1"/>
        <v>11.088037346970731</v>
      </c>
    </row>
    <row r="28" spans="1:9" ht="13.5" thickBot="1">
      <c r="B28" s="223" t="s">
        <v>244</v>
      </c>
      <c r="C28" s="480">
        <f>C53/C62</f>
        <v>101.27353859883981</v>
      </c>
      <c r="D28" s="480">
        <f t="shared" ref="D28:H28" si="14">D53/D62</f>
        <v>77.056472961048783</v>
      </c>
      <c r="E28" s="480">
        <f>E53/E62</f>
        <v>15.626858411115503</v>
      </c>
      <c r="F28" s="480">
        <f t="shared" si="14"/>
        <v>66.364368845120865</v>
      </c>
      <c r="G28" s="480">
        <f>G53/G62</f>
        <v>26.567869244568467</v>
      </c>
      <c r="H28" s="480">
        <f t="shared" si="14"/>
        <v>93.344739093242083</v>
      </c>
      <c r="I28" s="527">
        <f t="shared" si="1"/>
        <v>63.372307858989245</v>
      </c>
    </row>
    <row r="29" spans="1:9" ht="13.5" thickBot="1">
      <c r="A29" s="11" t="s">
        <v>245</v>
      </c>
      <c r="B29" s="223" t="s">
        <v>246</v>
      </c>
      <c r="C29" s="763">
        <f>C54/C67</f>
        <v>11.171111609143882</v>
      </c>
      <c r="D29" s="480">
        <f t="shared" ref="D29:H29" si="15">D54/D67</f>
        <v>8.628651706300472</v>
      </c>
      <c r="E29" s="480">
        <f t="shared" si="15"/>
        <v>5.6073241206030149</v>
      </c>
      <c r="F29" s="480">
        <f t="shared" si="15"/>
        <v>16.361848574237953</v>
      </c>
      <c r="G29" s="480">
        <f t="shared" si="15"/>
        <v>9.374636211306111</v>
      </c>
      <c r="H29" s="480">
        <f t="shared" si="15"/>
        <v>6.0969081337584337</v>
      </c>
      <c r="I29" s="527">
        <f t="shared" si="1"/>
        <v>9.5400800592249766</v>
      </c>
    </row>
    <row r="30" spans="1:9" ht="13.5" thickBot="1">
      <c r="B30" s="223" t="s">
        <v>247</v>
      </c>
      <c r="C30" s="480">
        <f>C53/C65</f>
        <v>5.1201100933989077</v>
      </c>
      <c r="D30" s="480">
        <f t="shared" ref="D30:H30" si="16">D53/D65</f>
        <v>3.6485717014241206</v>
      </c>
      <c r="E30" s="480">
        <f t="shared" si="16"/>
        <v>3.2067618744579831</v>
      </c>
      <c r="F30" s="480">
        <f t="shared" si="16"/>
        <v>5.9960365607053303</v>
      </c>
      <c r="G30" s="480">
        <f t="shared" si="16"/>
        <v>1.9255583485019214</v>
      </c>
      <c r="H30" s="480">
        <f t="shared" si="16"/>
        <v>3.140505381914465</v>
      </c>
      <c r="I30" s="527">
        <f t="shared" si="1"/>
        <v>3.8395906600671217</v>
      </c>
    </row>
    <row r="31" spans="1:9" ht="13.5" thickBot="1">
      <c r="B31" s="224" t="s">
        <v>248</v>
      </c>
      <c r="C31" s="481">
        <f>C53/C66</f>
        <v>3.5369822024124926</v>
      </c>
      <c r="D31" s="481">
        <f t="shared" ref="D31:H31" si="17">D53/D66</f>
        <v>2.5135548547062667</v>
      </c>
      <c r="E31" s="481">
        <f t="shared" si="17"/>
        <v>1.1108942562273734</v>
      </c>
      <c r="F31" s="481">
        <f t="shared" si="17"/>
        <v>2.9876871611954132</v>
      </c>
      <c r="G31" s="481">
        <f t="shared" si="17"/>
        <v>1.4789734144068172</v>
      </c>
      <c r="H31" s="481">
        <f t="shared" si="17"/>
        <v>2.0459360644979845</v>
      </c>
      <c r="I31" s="527">
        <f t="shared" si="1"/>
        <v>2.2790046589077249</v>
      </c>
    </row>
    <row r="32" spans="1:9" ht="16.5" thickBot="1">
      <c r="B32" s="226" t="s">
        <v>112</v>
      </c>
      <c r="C32" s="236"/>
      <c r="D32" s="236"/>
      <c r="E32" s="236"/>
      <c r="F32" s="236"/>
      <c r="G32" s="236"/>
      <c r="H32" s="236"/>
      <c r="I32" s="244" t="str">
        <f t="shared" si="1"/>
        <v/>
      </c>
    </row>
    <row r="33" spans="2:9" ht="13.5" thickBot="1">
      <c r="B33" s="230" t="s">
        <v>249</v>
      </c>
      <c r="C33" s="762">
        <f>C10/C59</f>
        <v>63.943720054757009</v>
      </c>
      <c r="D33" s="482">
        <f t="shared" ref="D33:H33" si="18">D10/D59</f>
        <v>47.682782534246577</v>
      </c>
      <c r="E33" s="482">
        <f t="shared" si="18"/>
        <v>743.56539309331379</v>
      </c>
      <c r="F33" s="482">
        <f t="shared" si="18"/>
        <v>16.883600713012481</v>
      </c>
      <c r="G33" s="482">
        <f t="shared" si="18"/>
        <v>-3.1576536259541985</v>
      </c>
      <c r="H33" s="482">
        <f t="shared" si="18"/>
        <v>25.436690647482013</v>
      </c>
      <c r="I33" s="530">
        <f t="shared" si="1"/>
        <v>149.05908890280961</v>
      </c>
    </row>
    <row r="34" spans="2:9" ht="13.5" thickBot="1">
      <c r="B34" s="231" t="s">
        <v>245</v>
      </c>
      <c r="C34" s="483">
        <f>C10/C53</f>
        <v>1.6465323369493376</v>
      </c>
      <c r="D34" s="483">
        <f t="shared" ref="D34:H34" si="19">D10/D53</f>
        <v>0.91108281025832305</v>
      </c>
      <c r="E34" s="483">
        <f t="shared" si="19"/>
        <v>3.9378442477669493</v>
      </c>
      <c r="F34" s="483">
        <f t="shared" si="19"/>
        <v>0.25554641233525344</v>
      </c>
      <c r="G34" s="483">
        <f t="shared" si="19"/>
        <v>7.4481120255681182E-2</v>
      </c>
      <c r="H34" s="483">
        <f t="shared" si="19"/>
        <v>0.64803885630498537</v>
      </c>
      <c r="I34" s="527">
        <f t="shared" si="1"/>
        <v>1.2455876306450884</v>
      </c>
    </row>
    <row r="35" spans="2:9" ht="13.5" thickBot="1">
      <c r="B35" s="231" t="s">
        <v>250</v>
      </c>
      <c r="C35" s="483">
        <f>C10/C70</f>
        <v>18.103240965022767</v>
      </c>
      <c r="D35" s="483">
        <f t="shared" ref="D35:H35" si="20">D10/D70</f>
        <v>6.6472703618829376</v>
      </c>
      <c r="E35" s="483">
        <f t="shared" si="20"/>
        <v>13.858829248919839</v>
      </c>
      <c r="F35" s="483">
        <f t="shared" si="20"/>
        <v>3.7833832634311966</v>
      </c>
      <c r="G35" s="483">
        <f>G10/G70</f>
        <v>0.32648194554064719</v>
      </c>
      <c r="H35" s="483">
        <f t="shared" si="20"/>
        <v>6.2957621082621085</v>
      </c>
      <c r="I35" s="527">
        <f t="shared" si="1"/>
        <v>8.1691613155099159</v>
      </c>
    </row>
    <row r="36" spans="2:9" ht="13.5" thickBot="1">
      <c r="B36" s="231" t="s">
        <v>251</v>
      </c>
      <c r="C36" s="483">
        <f t="shared" ref="C36:H36" si="21">(C69+C10-C61)/C53</f>
        <v>1.645902253320056</v>
      </c>
      <c r="D36" s="483">
        <f t="shared" si="21"/>
        <v>0.95365514511139582</v>
      </c>
      <c r="E36" s="483">
        <f t="shared" si="21"/>
        <v>3.9636466575742779</v>
      </c>
      <c r="F36" s="483">
        <f t="shared" si="21"/>
        <v>0.25678074707604315</v>
      </c>
      <c r="G36" s="483">
        <f t="shared" si="21"/>
        <v>0.32209723837318349</v>
      </c>
      <c r="H36" s="483">
        <f t="shared" si="21"/>
        <v>0.77432184750733135</v>
      </c>
      <c r="I36" s="527">
        <f t="shared" si="1"/>
        <v>1.3194006481603813</v>
      </c>
    </row>
    <row r="37" spans="2:9" ht="13.5" thickBot="1">
      <c r="B37" s="229" t="s">
        <v>252</v>
      </c>
      <c r="C37" s="484">
        <f t="shared" ref="C37:H37" si="22">(C69+C10-C61)/C55</f>
        <v>14.622410553511312</v>
      </c>
      <c r="D37" s="484">
        <f t="shared" si="22"/>
        <v>19.374485692445745</v>
      </c>
      <c r="E37" s="484">
        <f t="shared" si="22"/>
        <v>53.119706925323321</v>
      </c>
      <c r="F37" s="484">
        <f t="shared" si="22"/>
        <v>5.4261402508551884</v>
      </c>
      <c r="G37" s="484">
        <f t="shared" si="22"/>
        <v>-14.548513385293122</v>
      </c>
      <c r="H37" s="484">
        <f t="shared" si="22"/>
        <v>12.80988477865373</v>
      </c>
      <c r="I37" s="528">
        <f t="shared" si="1"/>
        <v>15.134019135916029</v>
      </c>
    </row>
    <row r="38" spans="2:9" ht="16.5" thickBot="1">
      <c r="B38" s="226" t="s">
        <v>253</v>
      </c>
      <c r="C38" s="236"/>
      <c r="D38" s="236"/>
      <c r="E38" s="236"/>
      <c r="F38" s="236"/>
      <c r="G38" s="236"/>
      <c r="H38" s="236"/>
      <c r="I38" s="245" t="str">
        <f t="shared" si="1"/>
        <v/>
      </c>
    </row>
    <row r="39" spans="2:9" ht="13.5" thickBot="1">
      <c r="B39" s="230" t="s">
        <v>44</v>
      </c>
      <c r="C39" s="648">
        <f>OP!M20</f>
        <v>0.99738237617059688</v>
      </c>
      <c r="D39" s="649">
        <v>0.98899999999999999</v>
      </c>
      <c r="E39" s="649">
        <v>0.98899999999999999</v>
      </c>
      <c r="F39" s="649">
        <v>0.9718</v>
      </c>
      <c r="G39" s="649">
        <v>0.94799999999999995</v>
      </c>
      <c r="H39" s="649">
        <v>0.97889999999999999</v>
      </c>
      <c r="I39" s="240">
        <f t="shared" si="1"/>
        <v>0.97901372936176623</v>
      </c>
    </row>
    <row r="40" spans="2:9" ht="13.5" thickBot="1">
      <c r="B40" s="228" t="s">
        <v>254</v>
      </c>
      <c r="C40" s="755">
        <f>OP!M22</f>
        <v>0.79</v>
      </c>
      <c r="D40" s="662">
        <v>0.5</v>
      </c>
      <c r="E40" s="662" t="s">
        <v>255</v>
      </c>
      <c r="F40" s="294">
        <v>0.48</v>
      </c>
      <c r="G40" s="662" t="s">
        <v>256</v>
      </c>
      <c r="H40" s="662" t="s">
        <v>257</v>
      </c>
      <c r="I40" s="251">
        <f t="shared" si="1"/>
        <v>0.59</v>
      </c>
    </row>
    <row r="41" spans="2:9" ht="13.5" thickBot="1">
      <c r="B41" s="229" t="s">
        <v>258</v>
      </c>
      <c r="C41" s="761">
        <f>OP!M32</f>
        <v>4.0087017032378117E-3</v>
      </c>
      <c r="D41" s="663" t="s">
        <v>259</v>
      </c>
      <c r="E41" s="635">
        <v>0</v>
      </c>
      <c r="F41" s="635">
        <v>2.41E-2</v>
      </c>
      <c r="G41" s="663" t="s">
        <v>260</v>
      </c>
      <c r="H41" s="663" t="s">
        <v>261</v>
      </c>
      <c r="I41" s="241">
        <f>IFERROR(AVERAGE(C41:H41),"")</f>
        <v>9.3695672344126044E-3</v>
      </c>
    </row>
    <row r="42" spans="2:9" ht="16.5" thickBot="1">
      <c r="B42" s="226" t="s">
        <v>262</v>
      </c>
      <c r="C42" s="236"/>
      <c r="D42" s="236"/>
      <c r="E42" s="236"/>
      <c r="F42" s="236"/>
      <c r="G42" s="236"/>
      <c r="H42" s="236"/>
      <c r="I42" s="246"/>
    </row>
    <row r="43" spans="2:9" ht="13.5" thickBot="1">
      <c r="B43" s="230" t="s">
        <v>263</v>
      </c>
      <c r="C43" s="557">
        <v>5.6599999999999998E-2</v>
      </c>
      <c r="D43" s="557">
        <v>0.22509999999999999</v>
      </c>
      <c r="E43" s="557">
        <v>8.1199999999999994E-2</v>
      </c>
      <c r="F43" s="557">
        <v>1.5299999999999999E-2</v>
      </c>
      <c r="G43" s="557">
        <v>-0.20430000000000001</v>
      </c>
      <c r="H43" s="557">
        <v>-0.1313</v>
      </c>
      <c r="I43" s="240">
        <f>IFERROR(AVERAGE(C43:H43),"")</f>
        <v>7.0999999999999952E-3</v>
      </c>
    </row>
    <row r="44" spans="2:9" ht="13.5" thickBot="1">
      <c r="B44" s="231" t="s">
        <v>264</v>
      </c>
      <c r="C44" s="639">
        <v>0.9042</v>
      </c>
      <c r="D44" s="639">
        <v>0.27150000000000002</v>
      </c>
      <c r="E44" s="639">
        <v>-0.1187</v>
      </c>
      <c r="F44" s="639">
        <v>0.47670000000000001</v>
      </c>
      <c r="G44" s="639">
        <v>-0.1623</v>
      </c>
      <c r="H44" s="665">
        <v>0.1588</v>
      </c>
      <c r="I44" s="240">
        <f t="shared" ref="I44:I47" si="23">IFERROR(AVERAGE(C44:H44),"")</f>
        <v>0.25503333333333333</v>
      </c>
    </row>
    <row r="45" spans="2:9" ht="13.5" thickBot="1">
      <c r="B45" s="231" t="s">
        <v>265</v>
      </c>
      <c r="C45" s="637" cm="1">
        <f t="array" ref="C45">_FV(C8,"Price")</f>
        <v>842.9</v>
      </c>
      <c r="D45" s="637" cm="1">
        <f t="array" ref="D45">_FV(D8,"Price")</f>
        <v>69.239999999999995</v>
      </c>
      <c r="E45" s="637" cm="1">
        <f t="array" ref="E45">_FV(E8,"Price")</f>
        <v>194.49</v>
      </c>
      <c r="F45" s="637" cm="1">
        <f t="array" ref="F45">_FV(F8,"Price")</f>
        <v>52.49</v>
      </c>
      <c r="G45" s="637" cm="1">
        <f t="array" ref="G45">_FV(G8,"Price")</f>
        <v>11.5</v>
      </c>
      <c r="H45" s="637" cm="1">
        <f t="array" ref="H45">_FV(H8,"Price")</f>
        <v>152.85</v>
      </c>
      <c r="I45" s="240">
        <f t="shared" si="23"/>
        <v>220.57833333333335</v>
      </c>
    </row>
    <row r="46" spans="2:9" ht="13.5" thickBot="1">
      <c r="B46" s="231" t="s">
        <v>266</v>
      </c>
      <c r="C46" s="646">
        <v>553.25</v>
      </c>
      <c r="D46" s="664">
        <v>169.44</v>
      </c>
      <c r="E46" s="646">
        <v>145</v>
      </c>
      <c r="F46" s="664">
        <v>51.8</v>
      </c>
      <c r="G46" s="646">
        <v>31.77</v>
      </c>
      <c r="H46" s="646">
        <v>175.9</v>
      </c>
      <c r="I46" s="240">
        <f t="shared" si="23"/>
        <v>187.86</v>
      </c>
    </row>
    <row r="47" spans="2:9" ht="13.5" thickBot="1">
      <c r="B47" s="232" t="s">
        <v>267</v>
      </c>
      <c r="C47" s="740">
        <f>C46/C45-1</f>
        <v>-0.34363506940325061</v>
      </c>
      <c r="D47" s="740">
        <f t="shared" ref="D47:H47" si="24">D46/D45-1</f>
        <v>1.4471403812824959</v>
      </c>
      <c r="E47" s="740">
        <f t="shared" si="24"/>
        <v>-0.25446038356727851</v>
      </c>
      <c r="F47" s="740">
        <f t="shared" si="24"/>
        <v>-1.314536102114694E-2</v>
      </c>
      <c r="G47" s="740">
        <f t="shared" si="24"/>
        <v>1.7626086956521738</v>
      </c>
      <c r="H47" s="740">
        <f t="shared" si="24"/>
        <v>0.15080143931959444</v>
      </c>
      <c r="I47" s="240">
        <f t="shared" si="23"/>
        <v>0.45821828371043133</v>
      </c>
    </row>
    <row r="48" spans="2:9" ht="13.5" thickBot="1"/>
    <row r="49" spans="2:10" ht="16.5" thickBot="1">
      <c r="B49" s="651" t="s">
        <v>268</v>
      </c>
      <c r="C49" s="650" t="e" vm="1">
        <f>OP!E2</f>
        <v>#VALUE!</v>
      </c>
      <c r="D49" s="486" t="s">
        <v>269</v>
      </c>
      <c r="E49" s="487" t="s">
        <v>270</v>
      </c>
      <c r="F49" s="488" t="s">
        <v>271</v>
      </c>
      <c r="G49" s="489" t="s">
        <v>272</v>
      </c>
      <c r="H49" s="490" t="s">
        <v>273</v>
      </c>
    </row>
    <row r="50" spans="2:10" ht="13.5" thickBot="1">
      <c r="B50" s="215" t="s">
        <v>274</v>
      </c>
      <c r="C50" s="216"/>
      <c r="D50" s="216"/>
      <c r="E50" s="216"/>
      <c r="F50" s="216"/>
      <c r="G50" s="216"/>
      <c r="H50" s="217"/>
    </row>
    <row r="51" spans="2:10" ht="13.5" thickBot="1">
      <c r="B51" s="210" t="s">
        <v>275</v>
      </c>
      <c r="C51" s="252">
        <f>'Fin. Data'!E5</f>
        <v>152703</v>
      </c>
      <c r="D51" s="205">
        <v>523964</v>
      </c>
      <c r="E51" s="205">
        <v>280522</v>
      </c>
      <c r="F51" s="205">
        <v>122287</v>
      </c>
      <c r="G51" s="205">
        <v>139537</v>
      </c>
      <c r="H51" s="213">
        <v>78112</v>
      </c>
    </row>
    <row r="52" spans="2:10" ht="13.5" thickBot="1">
      <c r="B52" s="210" t="s">
        <v>276</v>
      </c>
      <c r="C52" s="252">
        <f>'Fin. Data'!C5</f>
        <v>195929</v>
      </c>
      <c r="D52" s="205">
        <v>572754</v>
      </c>
      <c r="E52" s="205">
        <v>469822</v>
      </c>
      <c r="F52" s="205">
        <v>137888</v>
      </c>
      <c r="G52" s="205">
        <v>132703</v>
      </c>
      <c r="H52" s="213">
        <v>106005</v>
      </c>
    </row>
    <row r="53" spans="2:10" ht="13.5" thickBot="1">
      <c r="B53" s="210" t="s">
        <v>229</v>
      </c>
      <c r="C53" s="252">
        <f>'Fin. Data'!B5</f>
        <v>226954</v>
      </c>
      <c r="D53" s="205">
        <v>611289</v>
      </c>
      <c r="E53" s="205">
        <v>513983</v>
      </c>
      <c r="F53" s="205">
        <v>148258</v>
      </c>
      <c r="G53" s="205">
        <v>133291</v>
      </c>
      <c r="H53" s="213">
        <v>109120</v>
      </c>
    </row>
    <row r="54" spans="2:10" ht="13.5" thickBot="1">
      <c r="B54" s="210" t="s">
        <v>277</v>
      </c>
      <c r="C54" s="252">
        <f>'Fin. Data'!B5-'Fin. Data'!B7</f>
        <v>199382</v>
      </c>
      <c r="D54" s="205">
        <v>463721</v>
      </c>
      <c r="E54" s="205">
        <v>446343</v>
      </c>
      <c r="F54" s="205">
        <v>116480</v>
      </c>
      <c r="G54" s="205">
        <v>106299</v>
      </c>
      <c r="H54" s="213">
        <v>82229</v>
      </c>
    </row>
    <row r="55" spans="2:10" ht="13.5" thickBot="1">
      <c r="B55" s="210" t="s">
        <v>52</v>
      </c>
      <c r="C55" s="252">
        <f>'Fin. Data'!B19</f>
        <v>25546</v>
      </c>
      <c r="D55" s="205">
        <v>30089</v>
      </c>
      <c r="E55" s="205">
        <v>38352</v>
      </c>
      <c r="F55" s="205">
        <v>7016</v>
      </c>
      <c r="G55" s="205">
        <v>-2951</v>
      </c>
      <c r="H55" s="213">
        <v>6596</v>
      </c>
      <c r="J55" s="660"/>
    </row>
    <row r="56" spans="2:10" ht="13.5" thickBot="1">
      <c r="B56" s="210" t="s">
        <v>278</v>
      </c>
      <c r="C56" s="647">
        <f>'Fin. Data'!B11</f>
        <v>7793</v>
      </c>
      <c r="D56" s="205">
        <v>20428</v>
      </c>
      <c r="E56" s="205">
        <v>12248</v>
      </c>
      <c r="F56" s="205">
        <v>4126</v>
      </c>
      <c r="G56" s="205">
        <v>-7440</v>
      </c>
      <c r="H56" s="213">
        <v>3848</v>
      </c>
      <c r="J56" s="660"/>
    </row>
    <row r="57" spans="2:10" ht="13.5" thickBot="1">
      <c r="B57" s="210" t="s">
        <v>279</v>
      </c>
      <c r="C57" s="647">
        <f>'Fin. Data'!B14</f>
        <v>97</v>
      </c>
      <c r="D57" s="205">
        <v>-1874</v>
      </c>
      <c r="E57" s="205">
        <v>-1378</v>
      </c>
      <c r="F57" s="478">
        <v>-535</v>
      </c>
      <c r="G57" s="205">
        <v>-466</v>
      </c>
      <c r="H57" s="213">
        <v>-478</v>
      </c>
    </row>
    <row r="58" spans="2:10" ht="13.5" thickBot="1">
      <c r="B58" s="210" t="s">
        <v>280</v>
      </c>
      <c r="C58" s="647">
        <f>'Fin. Data'!B21</f>
        <v>1925</v>
      </c>
      <c r="D58" s="205">
        <v>5724</v>
      </c>
      <c r="E58" s="205">
        <v>5936</v>
      </c>
      <c r="F58" s="205">
        <v>2902</v>
      </c>
      <c r="G58" s="205">
        <v>-5438</v>
      </c>
      <c r="H58" s="213">
        <v>3478</v>
      </c>
    </row>
    <row r="59" spans="2:10" ht="13.5" thickBot="1">
      <c r="B59" s="210" t="s">
        <v>65</v>
      </c>
      <c r="C59" s="647">
        <f>'Fin. Data'!B23</f>
        <v>5844</v>
      </c>
      <c r="D59" s="205">
        <v>11680</v>
      </c>
      <c r="E59" s="205">
        <v>2722</v>
      </c>
      <c r="F59" s="205">
        <v>2244</v>
      </c>
      <c r="G59" s="205">
        <v>-3144</v>
      </c>
      <c r="H59" s="213">
        <v>2780</v>
      </c>
    </row>
    <row r="60" spans="2:10" ht="13.5" thickBot="1">
      <c r="B60" s="218" t="s">
        <v>281</v>
      </c>
      <c r="C60" s="219"/>
      <c r="D60" s="219"/>
      <c r="E60" s="219"/>
      <c r="F60" s="219"/>
      <c r="G60" s="219"/>
      <c r="H60" s="220"/>
    </row>
    <row r="61" spans="2:10" ht="13.5" thickBot="1">
      <c r="B61" s="210" t="s">
        <v>282</v>
      </c>
      <c r="C61" s="252">
        <f>'Fin. Data'!B39</f>
        <v>11049</v>
      </c>
      <c r="D61" s="205">
        <v>8625</v>
      </c>
      <c r="E61" s="205">
        <v>53888</v>
      </c>
      <c r="F61" s="205">
        <v>1127</v>
      </c>
      <c r="G61" s="205">
        <v>2472</v>
      </c>
      <c r="H61" s="213">
        <v>2229</v>
      </c>
    </row>
    <row r="62" spans="2:10" ht="13.5" thickBot="1">
      <c r="B62" s="210" t="s">
        <v>283</v>
      </c>
      <c r="C62" s="252">
        <f>'Fin. Data'!B40</f>
        <v>2241</v>
      </c>
      <c r="D62" s="205">
        <v>7933</v>
      </c>
      <c r="E62" s="205">
        <v>32891</v>
      </c>
      <c r="F62" s="205">
        <v>2234</v>
      </c>
      <c r="G62" s="205">
        <v>5017</v>
      </c>
      <c r="H62" s="213">
        <v>1169</v>
      </c>
    </row>
    <row r="63" spans="2:10" ht="13.5" thickBot="1">
      <c r="B63" s="210" t="s">
        <v>284</v>
      </c>
      <c r="C63" s="252">
        <f>'Fin. Data'!B41</f>
        <v>17907</v>
      </c>
      <c r="D63" s="205">
        <v>56576</v>
      </c>
      <c r="E63" s="205">
        <v>34405</v>
      </c>
      <c r="F63" s="661">
        <f>9756-2196</f>
        <v>7560</v>
      </c>
      <c r="G63" s="205">
        <v>8353</v>
      </c>
      <c r="H63" s="213">
        <v>13500</v>
      </c>
    </row>
    <row r="64" spans="2:10" ht="13.5" thickBot="1">
      <c r="B64" s="210" t="s">
        <v>285</v>
      </c>
      <c r="C64" s="252">
        <f>Inputs!B27</f>
        <v>32696</v>
      </c>
      <c r="D64" s="205">
        <v>75655</v>
      </c>
      <c r="E64" s="205">
        <v>146791</v>
      </c>
      <c r="F64" s="205">
        <v>12670</v>
      </c>
      <c r="G64" s="205">
        <v>16902</v>
      </c>
      <c r="H64" s="213">
        <v>17846</v>
      </c>
    </row>
    <row r="65" spans="2:8" ht="13.5" thickBot="1">
      <c r="B65" s="210" t="s">
        <v>286</v>
      </c>
      <c r="C65" s="252">
        <f>'Fin. Data'!B42</f>
        <v>44326</v>
      </c>
      <c r="D65" s="205">
        <f>100760+13555+4919+28174+20134</f>
        <v>167542</v>
      </c>
      <c r="E65" s="205">
        <v>160281</v>
      </c>
      <c r="F65" s="205">
        <v>24726</v>
      </c>
      <c r="G65" s="205">
        <v>69222</v>
      </c>
      <c r="H65" s="213">
        <v>34746</v>
      </c>
    </row>
    <row r="66" spans="2:8" ht="13.5" thickBot="1">
      <c r="B66" s="210" t="s">
        <v>40</v>
      </c>
      <c r="C66" s="252">
        <f>'Fin. Data'!B44</f>
        <v>64166</v>
      </c>
      <c r="D66" s="205">
        <f>243197</f>
        <v>243197</v>
      </c>
      <c r="E66" s="205">
        <v>462675</v>
      </c>
      <c r="F66" s="205">
        <v>49623</v>
      </c>
      <c r="G66" s="205">
        <v>90124</v>
      </c>
      <c r="H66" s="213">
        <v>53335</v>
      </c>
    </row>
    <row r="67" spans="2:8" ht="13.5" thickBot="1">
      <c r="B67" s="210" t="s">
        <v>287</v>
      </c>
      <c r="C67" s="252">
        <f>Inputs!B43</f>
        <v>17848</v>
      </c>
      <c r="D67" s="205">
        <v>53742</v>
      </c>
      <c r="E67" s="205">
        <v>79600</v>
      </c>
      <c r="F67" s="205">
        <v>7119</v>
      </c>
      <c r="G67" s="205">
        <v>11339</v>
      </c>
      <c r="H67" s="213">
        <v>13487</v>
      </c>
    </row>
    <row r="68" spans="2:8" ht="13.5" thickBot="1">
      <c r="B68" s="210" t="s">
        <v>288</v>
      </c>
      <c r="C68" s="252">
        <f>Inputs!B42</f>
        <v>31998</v>
      </c>
      <c r="D68" s="205">
        <v>92198</v>
      </c>
      <c r="E68" s="205">
        <v>155393</v>
      </c>
      <c r="F68" s="205">
        <v>17238</v>
      </c>
      <c r="G68" s="205">
        <v>22583</v>
      </c>
      <c r="H68" s="213">
        <v>19500</v>
      </c>
    </row>
    <row r="69" spans="2:8" ht="13.5" thickBot="1">
      <c r="B69" s="210" t="s">
        <v>289</v>
      </c>
      <c r="C69" s="252">
        <f>'Fin. Data'!B58</f>
        <v>10906</v>
      </c>
      <c r="D69" s="205">
        <v>34649</v>
      </c>
      <c r="E69" s="205">
        <v>67150</v>
      </c>
      <c r="F69" s="205">
        <v>1310</v>
      </c>
      <c r="G69" s="205">
        <v>35477</v>
      </c>
      <c r="H69" s="213">
        <v>16009</v>
      </c>
    </row>
    <row r="70" spans="2:8" ht="13.5" thickBot="1">
      <c r="B70" s="211" t="s">
        <v>290</v>
      </c>
      <c r="C70" s="253">
        <f>'Fin. Data'!B64</f>
        <v>20642</v>
      </c>
      <c r="D70" s="212">
        <v>83784</v>
      </c>
      <c r="E70" s="212">
        <v>146043</v>
      </c>
      <c r="F70" s="212">
        <v>10014</v>
      </c>
      <c r="G70" s="212">
        <v>30408</v>
      </c>
      <c r="H70" s="214">
        <v>11232</v>
      </c>
    </row>
    <row r="74" spans="2:8">
      <c r="C74" s="660"/>
      <c r="F74" s="660"/>
    </row>
    <row r="78" spans="2:8">
      <c r="C78" s="660"/>
    </row>
  </sheetData>
  <mergeCells count="10">
    <mergeCell ref="D1:H1"/>
    <mergeCell ref="K12:K13"/>
    <mergeCell ref="K10:K11"/>
    <mergeCell ref="L10:M11"/>
    <mergeCell ref="L12:M13"/>
    <mergeCell ref="D6:H6"/>
    <mergeCell ref="D4:H4"/>
    <mergeCell ref="D3:H3"/>
    <mergeCell ref="D2:H2"/>
    <mergeCell ref="D5:H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AA100"/>
  <sheetViews>
    <sheetView showGridLines="0" zoomScale="89" zoomScaleNormal="67" workbookViewId="0">
      <selection activeCell="B27" sqref="B27"/>
    </sheetView>
  </sheetViews>
  <sheetFormatPr defaultColWidth="11.42578125" defaultRowHeight="12.75"/>
  <cols>
    <col min="1" max="1" width="1.140625" style="92" customWidth="1"/>
    <col min="2" max="2" width="59.42578125" style="92" customWidth="1"/>
    <col min="3" max="4" width="12.85546875" style="92" customWidth="1"/>
    <col min="5" max="5" width="11.42578125" style="92" bestFit="1" customWidth="1"/>
    <col min="6" max="6" width="11" style="92" customWidth="1"/>
    <col min="7" max="7" width="10.42578125" style="92" customWidth="1"/>
    <col min="8" max="8" width="20.28515625" style="630" customWidth="1"/>
    <col min="9" max="9" width="22.42578125" style="630" customWidth="1"/>
    <col min="10" max="10" width="64.140625" style="92" customWidth="1"/>
    <col min="11" max="11" width="34.7109375" style="92" bestFit="1" customWidth="1"/>
    <col min="12" max="12" width="21.28515625" style="92" customWidth="1"/>
    <col min="13" max="13" width="19.85546875" style="92" customWidth="1"/>
    <col min="14" max="14" width="20.85546875" style="92" bestFit="1" customWidth="1"/>
    <col min="15" max="15" width="19.85546875" style="92" bestFit="1" customWidth="1"/>
    <col min="16" max="16" width="19.85546875" style="92" customWidth="1"/>
    <col min="17" max="17" width="22.28515625" style="92" bestFit="1" customWidth="1"/>
    <col min="18" max="18" width="14.85546875" style="92" bestFit="1" customWidth="1"/>
    <col min="19" max="19" width="10.42578125" style="92" customWidth="1"/>
    <col min="20" max="20" width="12.28515625" style="92" bestFit="1" customWidth="1"/>
    <col min="21" max="21" width="15.42578125" style="92" customWidth="1"/>
    <col min="22" max="22" width="18.140625" style="92" bestFit="1" customWidth="1"/>
    <col min="23" max="23" width="18.28515625" style="92" bestFit="1" customWidth="1"/>
    <col min="24" max="24" width="17.28515625" style="92" bestFit="1" customWidth="1"/>
    <col min="25" max="30" width="11.42578125" style="92"/>
    <col min="31" max="31" width="13" style="92" bestFit="1" customWidth="1"/>
    <col min="32" max="16384" width="11.42578125" style="92"/>
  </cols>
  <sheetData>
    <row r="1" spans="1:24">
      <c r="B1" s="269" t="s">
        <v>291</v>
      </c>
      <c r="C1" s="96"/>
      <c r="D1" s="96"/>
      <c r="E1" s="96"/>
      <c r="F1" s="96"/>
      <c r="G1" s="96"/>
      <c r="H1" s="624"/>
      <c r="I1" s="624"/>
      <c r="J1" s="96"/>
      <c r="T1" s="108" t="s">
        <v>13</v>
      </c>
    </row>
    <row r="2" spans="1:24" ht="13.5" thickBot="1">
      <c r="B2" s="104" t="s">
        <v>292</v>
      </c>
      <c r="C2" s="270" t="s">
        <v>293</v>
      </c>
      <c r="D2" s="96"/>
      <c r="E2" s="96"/>
      <c r="F2" s="96"/>
      <c r="G2" s="96"/>
      <c r="H2" s="624"/>
      <c r="I2" s="624"/>
      <c r="J2" s="96"/>
      <c r="T2" s="108" t="s">
        <v>20</v>
      </c>
    </row>
    <row r="3" spans="1:24" ht="21" thickBot="1">
      <c r="B3" s="970" t="s">
        <v>294</v>
      </c>
      <c r="C3" s="970"/>
      <c r="D3" s="970"/>
      <c r="E3" s="970"/>
      <c r="F3" s="970"/>
      <c r="G3" s="970"/>
      <c r="H3" s="970"/>
      <c r="I3" s="970"/>
      <c r="J3" s="970"/>
      <c r="K3" s="971" t="s">
        <v>295</v>
      </c>
      <c r="L3" s="971"/>
      <c r="M3" s="971"/>
      <c r="N3" s="971"/>
      <c r="O3" s="971"/>
      <c r="P3" s="971"/>
      <c r="Q3" s="971"/>
    </row>
    <row r="4" spans="1:24" ht="32.25" thickBot="1">
      <c r="B4" s="260" t="s">
        <v>296</v>
      </c>
      <c r="C4" s="292" t="s">
        <v>297</v>
      </c>
      <c r="D4" s="292" t="s">
        <v>298</v>
      </c>
      <c r="E4" s="292" t="s">
        <v>299</v>
      </c>
      <c r="F4" s="292" t="s">
        <v>300</v>
      </c>
      <c r="G4" s="292" t="s">
        <v>301</v>
      </c>
      <c r="H4" s="261" t="s">
        <v>302</v>
      </c>
      <c r="I4" s="261" t="s">
        <v>303</v>
      </c>
      <c r="J4" s="262" t="s">
        <v>304</v>
      </c>
      <c r="K4" s="260" t="s">
        <v>296</v>
      </c>
      <c r="L4" s="293" t="s">
        <v>305</v>
      </c>
      <c r="M4" s="293" t="s">
        <v>306</v>
      </c>
      <c r="N4" s="293" t="s">
        <v>270</v>
      </c>
      <c r="O4" s="293" t="s">
        <v>271</v>
      </c>
      <c r="P4" s="293" t="s">
        <v>307</v>
      </c>
      <c r="Q4" s="293" t="s">
        <v>308</v>
      </c>
    </row>
    <row r="5" spans="1:24" ht="15.75" thickBot="1">
      <c r="B5" s="271" t="s">
        <v>309</v>
      </c>
      <c r="C5" s="272"/>
      <c r="D5" s="273"/>
      <c r="E5" s="273"/>
      <c r="F5" s="273"/>
      <c r="G5" s="273"/>
      <c r="H5" s="625"/>
      <c r="I5" s="625"/>
      <c r="J5" s="274"/>
      <c r="K5" s="271" t="s">
        <v>310</v>
      </c>
      <c r="L5" s="273"/>
      <c r="M5" s="273"/>
      <c r="N5" s="273"/>
      <c r="O5" s="273"/>
      <c r="P5" s="274"/>
      <c r="Q5" s="274"/>
    </row>
    <row r="6" spans="1:24" ht="51.75" thickBot="1">
      <c r="A6" s="92">
        <v>1</v>
      </c>
      <c r="B6" s="265" t="s">
        <v>311</v>
      </c>
      <c r="C6" s="263" t="str">
        <f>VLOOKUP($B$2,'Sector Impact'!$K$4:$AA$16,A6+1,FALSE)</f>
        <v>High</v>
      </c>
      <c r="D6" s="263" t="s">
        <v>13</v>
      </c>
      <c r="E6" s="263" t="s">
        <v>312</v>
      </c>
      <c r="F6" s="275" t="s">
        <v>13</v>
      </c>
      <c r="G6" s="377"/>
      <c r="H6" s="655" t="s">
        <v>313</v>
      </c>
      <c r="I6" s="655" t="s">
        <v>314</v>
      </c>
      <c r="J6" s="744" t="s">
        <v>315</v>
      </c>
      <c r="K6" s="265" t="s">
        <v>316</v>
      </c>
      <c r="L6" s="602">
        <f>L12/L$11</f>
        <v>6.3625228019774935E-4</v>
      </c>
      <c r="M6" s="602">
        <f t="shared" ref="M6:O6" si="0">M12/M$11</f>
        <v>2.2886065347159856E-4</v>
      </c>
      <c r="N6" s="602">
        <f t="shared" si="0"/>
        <v>1.3866217365165773E-4</v>
      </c>
      <c r="O6" s="602">
        <f t="shared" si="0"/>
        <v>3.5417987562222614E-2</v>
      </c>
      <c r="P6" s="602">
        <f t="shared" ref="P6:Q9" si="1">P12/P$11</f>
        <v>1.1831256423914593E-2</v>
      </c>
      <c r="Q6" s="602">
        <f t="shared" si="1"/>
        <v>1.5460043988269796E-2</v>
      </c>
    </row>
    <row r="7" spans="1:24" s="96" customFormat="1" ht="26.25" thickBot="1">
      <c r="A7" s="96">
        <v>2</v>
      </c>
      <c r="B7" s="265" t="s">
        <v>317</v>
      </c>
      <c r="C7" s="263" t="str">
        <f>VLOOKUP($B$2,'Sector Impact'!$K$4:$AA$16,A7+1,FALSE)</f>
        <v>Very High</v>
      </c>
      <c r="D7" s="263" t="s">
        <v>13</v>
      </c>
      <c r="E7" s="263" t="s">
        <v>318</v>
      </c>
      <c r="F7" s="275" t="s">
        <v>13</v>
      </c>
      <c r="G7" s="377"/>
      <c r="H7" s="655" t="s">
        <v>319</v>
      </c>
      <c r="J7" s="744" t="s">
        <v>320</v>
      </c>
      <c r="K7" s="265" t="s">
        <v>321</v>
      </c>
      <c r="L7" s="602">
        <f>L13/L$11</f>
        <v>73.92</v>
      </c>
      <c r="M7" s="602">
        <f t="shared" ref="M7:O9" si="2">M13/M$11</f>
        <v>0</v>
      </c>
      <c r="N7" s="602">
        <f>N13/N$11</f>
        <v>0</v>
      </c>
      <c r="O7" s="602">
        <f t="shared" si="2"/>
        <v>0</v>
      </c>
      <c r="P7" s="602">
        <f t="shared" si="1"/>
        <v>0</v>
      </c>
      <c r="Q7" s="602">
        <f t="shared" si="1"/>
        <v>0.10446297653958944</v>
      </c>
    </row>
    <row r="8" spans="1:24" ht="18.75" thickBot="1">
      <c r="A8" s="92">
        <v>3</v>
      </c>
      <c r="B8" s="265" t="s">
        <v>322</v>
      </c>
      <c r="C8" s="263" t="str">
        <f>VLOOKUP($B$2,'Sector Impact'!$K$4:$AA$16,A8+1,FALSE)</f>
        <v>High</v>
      </c>
      <c r="D8" s="263" t="s">
        <v>13</v>
      </c>
      <c r="E8" s="263" t="s">
        <v>312</v>
      </c>
      <c r="F8" s="275" t="s">
        <v>13</v>
      </c>
      <c r="G8" s="377"/>
      <c r="H8" s="655" t="s">
        <v>313</v>
      </c>
      <c r="I8" s="264"/>
      <c r="K8" s="265" t="s">
        <v>323</v>
      </c>
      <c r="L8" s="602">
        <f>L14/L$11</f>
        <v>0</v>
      </c>
      <c r="M8" s="602">
        <f t="shared" si="2"/>
        <v>0</v>
      </c>
      <c r="N8" s="602">
        <f>N14/N$11</f>
        <v>0</v>
      </c>
      <c r="O8" s="602">
        <f>O14/O$11</f>
        <v>79.108803572151245</v>
      </c>
      <c r="P8" s="602">
        <f t="shared" si="1"/>
        <v>0</v>
      </c>
      <c r="Q8" s="602">
        <f t="shared" si="1"/>
        <v>184.6882423020528</v>
      </c>
    </row>
    <row r="9" spans="1:24" ht="90" thickBot="1">
      <c r="A9" s="92">
        <v>4</v>
      </c>
      <c r="B9" s="265" t="s">
        <v>324</v>
      </c>
      <c r="C9" s="263" t="str">
        <f>VLOOKUP($B$2,'Sector Impact'!$K$4:$AA$16,A9+1,FALSE)</f>
        <v>High</v>
      </c>
      <c r="D9" s="263" t="s">
        <v>13</v>
      </c>
      <c r="E9" s="263" t="s">
        <v>318</v>
      </c>
      <c r="F9" s="275" t="s">
        <v>13</v>
      </c>
      <c r="G9" s="373"/>
      <c r="H9" s="655" t="s">
        <v>318</v>
      </c>
      <c r="I9" s="746" t="s">
        <v>325</v>
      </c>
      <c r="J9" s="744" t="s">
        <v>326</v>
      </c>
      <c r="K9" s="265" t="s">
        <v>327</v>
      </c>
      <c r="L9" s="602">
        <f>L15/L$11</f>
        <v>0</v>
      </c>
      <c r="M9" s="602">
        <f t="shared" si="2"/>
        <v>0</v>
      </c>
      <c r="N9" s="602">
        <f t="shared" si="2"/>
        <v>0</v>
      </c>
      <c r="O9" s="602">
        <f>O15/O$11</f>
        <v>1.8730861066519177E-2</v>
      </c>
      <c r="P9" s="602">
        <f t="shared" si="1"/>
        <v>1.808074063515166E-3</v>
      </c>
      <c r="Q9" s="602">
        <f t="shared" si="1"/>
        <v>0</v>
      </c>
    </row>
    <row r="10" spans="1:24" ht="15.75" thickBot="1">
      <c r="A10" s="92">
        <v>5</v>
      </c>
      <c r="B10" s="265" t="s">
        <v>328</v>
      </c>
      <c r="C10" s="263" t="str">
        <f>VLOOKUP($B$2,'Sector Impact'!$K$4:$AA$16,A10+1,FALSE)</f>
        <v>High</v>
      </c>
      <c r="D10" s="263" t="s">
        <v>20</v>
      </c>
      <c r="E10" s="263"/>
      <c r="F10" s="275"/>
      <c r="G10" s="373"/>
      <c r="H10" s="655"/>
      <c r="I10" s="264"/>
      <c r="J10" s="266"/>
      <c r="K10" s="271" t="s">
        <v>329</v>
      </c>
      <c r="L10" s="273"/>
      <c r="M10" s="273"/>
      <c r="N10" s="273"/>
      <c r="O10" s="273"/>
      <c r="P10" s="273"/>
      <c r="Q10" s="274"/>
      <c r="S10"/>
      <c r="V10" s="96"/>
      <c r="W10" s="96"/>
      <c r="X10" s="96"/>
    </row>
    <row r="11" spans="1:24" ht="15.75" thickBot="1">
      <c r="B11" s="271" t="s">
        <v>330</v>
      </c>
      <c r="C11" s="268"/>
      <c r="D11" s="268"/>
      <c r="E11" s="277"/>
      <c r="F11" s="277"/>
      <c r="G11" s="278"/>
      <c r="H11" s="626"/>
      <c r="I11" s="626"/>
      <c r="J11" s="279"/>
      <c r="K11" s="265" t="s">
        <v>331</v>
      </c>
      <c r="L11" s="656">
        <v>226954</v>
      </c>
      <c r="M11" s="603">
        <v>611289</v>
      </c>
      <c r="N11" s="603">
        <v>513983</v>
      </c>
      <c r="O11" s="603">
        <v>148258</v>
      </c>
      <c r="P11" s="603">
        <v>133291</v>
      </c>
      <c r="Q11" s="603">
        <v>109120</v>
      </c>
      <c r="S11"/>
    </row>
    <row r="12" spans="1:24" ht="77.25" thickBot="1">
      <c r="A12" s="92">
        <v>6</v>
      </c>
      <c r="B12" s="265" t="s">
        <v>332</v>
      </c>
      <c r="C12" s="263" t="str">
        <f>VLOOKUP($B$2,'Sector Impact'!$K$4:$AA$16,A12+1,FALSE)</f>
        <v>Medium</v>
      </c>
      <c r="D12" s="263" t="s">
        <v>13</v>
      </c>
      <c r="E12" s="263" t="s">
        <v>333</v>
      </c>
      <c r="F12" s="275" t="s">
        <v>13</v>
      </c>
      <c r="G12" s="377"/>
      <c r="H12" s="747" t="s">
        <v>334</v>
      </c>
      <c r="I12" s="264"/>
      <c r="J12" s="744" t="s">
        <v>335</v>
      </c>
      <c r="K12" s="265" t="s">
        <v>336</v>
      </c>
      <c r="L12" s="773">
        <v>144.4</v>
      </c>
      <c r="M12" s="773">
        <v>139.9</v>
      </c>
      <c r="N12" s="773">
        <v>71.27</v>
      </c>
      <c r="O12" s="773">
        <v>5251</v>
      </c>
      <c r="P12" s="773">
        <v>1577</v>
      </c>
      <c r="Q12" s="774">
        <v>1687</v>
      </c>
      <c r="S12"/>
    </row>
    <row r="13" spans="1:24" ht="77.25" thickBot="1">
      <c r="A13" s="92">
        <v>7</v>
      </c>
      <c r="B13" s="265" t="s">
        <v>337</v>
      </c>
      <c r="C13" s="263" t="str">
        <f>VLOOKUP($B$2,'Sector Impact'!$K$4:$AA$16,A13+1,FALSE)</f>
        <v>High</v>
      </c>
      <c r="D13" s="263" t="s">
        <v>13</v>
      </c>
      <c r="E13" s="263" t="s">
        <v>312</v>
      </c>
      <c r="F13" s="281"/>
      <c r="G13" s="378"/>
      <c r="H13" s="264"/>
      <c r="I13" s="264"/>
      <c r="J13" s="745" t="s">
        <v>338</v>
      </c>
      <c r="K13" s="265" t="s">
        <v>339</v>
      </c>
      <c r="L13" s="775">
        <f>73.92*'Fin. Data'!B5</f>
        <v>16776439.68</v>
      </c>
      <c r="M13" s="773"/>
      <c r="N13" s="773"/>
      <c r="O13" s="773"/>
      <c r="P13" s="773"/>
      <c r="Q13" s="774">
        <v>11399</v>
      </c>
      <c r="S13"/>
    </row>
    <row r="14" spans="1:24" ht="13.5" thickBot="1">
      <c r="A14" s="92">
        <v>8</v>
      </c>
      <c r="B14" s="283" t="s">
        <v>340</v>
      </c>
      <c r="C14" s="263" t="str">
        <f>VLOOKUP($B$2,'Sector Impact'!$K$4:$AA$16,A14+1,FALSE)</f>
        <v>High</v>
      </c>
      <c r="D14" s="263" t="s">
        <v>20</v>
      </c>
      <c r="E14" s="263" t="s">
        <v>312</v>
      </c>
      <c r="F14" s="275"/>
      <c r="G14" s="378"/>
      <c r="H14" s="264"/>
      <c r="I14" s="264"/>
      <c r="J14" s="282"/>
      <c r="K14" s="265" t="s">
        <v>341</v>
      </c>
      <c r="L14" s="773"/>
      <c r="M14" s="773"/>
      <c r="N14" s="773"/>
      <c r="O14" s="773">
        <v>11728513</v>
      </c>
      <c r="P14" s="773"/>
      <c r="Q14" s="774">
        <v>20153181</v>
      </c>
      <c r="S14"/>
    </row>
    <row r="15" spans="1:24" ht="13.5" thickBot="1">
      <c r="A15" s="92">
        <v>9</v>
      </c>
      <c r="B15" s="283" t="s">
        <v>342</v>
      </c>
      <c r="C15" s="263" t="str">
        <f>VLOOKUP($B$2,'Sector Impact'!$K$4:$AA$16,A15+1,FALSE)</f>
        <v>Low</v>
      </c>
      <c r="D15" s="263"/>
      <c r="E15" s="263"/>
      <c r="F15" s="275" t="s">
        <v>13</v>
      </c>
      <c r="G15" s="276"/>
      <c r="H15" s="627"/>
      <c r="I15" s="627"/>
      <c r="J15" s="282"/>
      <c r="K15" s="265" t="s">
        <v>343</v>
      </c>
      <c r="L15" s="773"/>
      <c r="M15" s="773"/>
      <c r="N15" s="773"/>
      <c r="O15" s="773">
        <v>2777</v>
      </c>
      <c r="P15" s="773">
        <v>241</v>
      </c>
      <c r="Q15" s="773"/>
      <c r="S15"/>
    </row>
    <row r="16" spans="1:24" ht="42" customHeight="1" thickBot="1">
      <c r="A16" s="92">
        <v>10</v>
      </c>
      <c r="B16" s="265" t="s">
        <v>344</v>
      </c>
      <c r="C16" s="263" t="s">
        <v>313</v>
      </c>
      <c r="D16" s="263"/>
      <c r="E16" s="263"/>
      <c r="F16" s="275"/>
      <c r="G16" s="652"/>
      <c r="H16" s="264"/>
      <c r="I16" s="628"/>
      <c r="J16" s="282"/>
      <c r="K16" s="271" t="s">
        <v>345</v>
      </c>
      <c r="L16" s="273"/>
      <c r="M16" s="273"/>
      <c r="N16" s="273"/>
      <c r="O16" s="273"/>
      <c r="P16" s="274"/>
      <c r="Q16" s="274"/>
      <c r="S16"/>
    </row>
    <row r="17" spans="1:19" ht="13.5" thickBot="1">
      <c r="A17" s="92">
        <v>11</v>
      </c>
      <c r="B17" s="265" t="s">
        <v>346</v>
      </c>
      <c r="C17" s="263" t="str">
        <f>VLOOKUP($B$2,'Sector Impact'!$K$4:$AA$16,A17+1,FALSE)</f>
        <v>Medium</v>
      </c>
      <c r="D17" s="284"/>
      <c r="E17" s="284"/>
      <c r="F17" s="284"/>
      <c r="G17" s="373"/>
      <c r="H17" s="264"/>
      <c r="I17" s="628"/>
      <c r="J17" s="282"/>
      <c r="K17" s="265" t="s">
        <v>347</v>
      </c>
      <c r="L17" s="772">
        <v>72</v>
      </c>
      <c r="M17" s="772">
        <v>83</v>
      </c>
      <c r="N17" s="772">
        <v>81</v>
      </c>
      <c r="O17" s="772">
        <v>85</v>
      </c>
      <c r="P17" s="772">
        <v>90</v>
      </c>
      <c r="Q17" s="772">
        <v>85</v>
      </c>
      <c r="S17"/>
    </row>
    <row r="18" spans="1:19" ht="13.5" thickBot="1">
      <c r="A18" s="92">
        <v>12</v>
      </c>
      <c r="B18" s="265" t="s">
        <v>348</v>
      </c>
      <c r="C18" s="263" t="str">
        <f>VLOOKUP($B$2,'Sector Impact'!$K$4:$AA$16,A18+1,FALSE)</f>
        <v>Low</v>
      </c>
      <c r="D18" s="263"/>
      <c r="E18" s="263"/>
      <c r="F18" s="275"/>
      <c r="G18" s="276"/>
      <c r="H18" s="627"/>
      <c r="I18" s="627"/>
      <c r="J18" s="285"/>
      <c r="K18" s="265" t="s">
        <v>349</v>
      </c>
      <c r="L18" s="772">
        <v>23.6</v>
      </c>
      <c r="M18" s="772">
        <v>16.3</v>
      </c>
      <c r="N18" s="772">
        <v>30.5</v>
      </c>
      <c r="O18" s="772">
        <v>21.3</v>
      </c>
      <c r="P18" s="772">
        <v>16.3</v>
      </c>
      <c r="Q18" s="772">
        <v>14.4</v>
      </c>
    </row>
    <row r="19" spans="1:19" ht="13.5" thickBot="1">
      <c r="A19" s="92">
        <v>13</v>
      </c>
      <c r="B19" s="265" t="s">
        <v>350</v>
      </c>
      <c r="C19" s="263" t="str">
        <f>VLOOKUP($B$2,'Sector Impact'!$K$4:$AA$16,A19+1,FALSE)</f>
        <v>High</v>
      </c>
      <c r="D19" s="263"/>
      <c r="E19" s="263"/>
      <c r="F19" s="275"/>
      <c r="G19" s="377"/>
      <c r="H19" s="264"/>
      <c r="I19" s="628"/>
      <c r="J19" s="282"/>
      <c r="K19" s="265" t="s">
        <v>351</v>
      </c>
      <c r="L19" s="774" t="s">
        <v>352</v>
      </c>
      <c r="M19" s="774" t="s">
        <v>352</v>
      </c>
      <c r="N19" s="774" t="s">
        <v>352</v>
      </c>
      <c r="O19" s="774" t="s">
        <v>353</v>
      </c>
      <c r="P19" s="774" t="s">
        <v>353</v>
      </c>
      <c r="Q19" s="774" t="s">
        <v>354</v>
      </c>
    </row>
    <row r="20" spans="1:19" ht="13.5" thickBot="1">
      <c r="A20" s="92">
        <v>14</v>
      </c>
      <c r="B20" s="265" t="s">
        <v>355</v>
      </c>
      <c r="C20" s="263" t="str">
        <f>VLOOKUP($B$2,'Sector Impact'!$K$4:$AA$16,A20+1,FALSE)</f>
        <v>Low</v>
      </c>
      <c r="D20" s="263"/>
      <c r="E20" s="263"/>
      <c r="F20" s="275"/>
      <c r="G20" s="276"/>
      <c r="H20" s="627"/>
      <c r="I20" s="627"/>
      <c r="J20" s="282"/>
      <c r="K20" s="265" t="s">
        <v>356</v>
      </c>
      <c r="L20" s="772" t="s">
        <v>357</v>
      </c>
      <c r="M20" s="772" t="s">
        <v>353</v>
      </c>
      <c r="N20" s="776"/>
      <c r="O20" s="772" t="s">
        <v>358</v>
      </c>
      <c r="P20" s="772" t="s">
        <v>359</v>
      </c>
      <c r="Q20" s="772" t="s">
        <v>360</v>
      </c>
    </row>
    <row r="21" spans="1:19" ht="13.5" thickBot="1">
      <c r="A21" s="92">
        <v>15</v>
      </c>
      <c r="B21" s="265" t="s">
        <v>361</v>
      </c>
      <c r="C21" s="263" t="str">
        <f>VLOOKUP($B$2,'Sector Impact'!$K$4:$AA$16,A21+1,FALSE)</f>
        <v>Very High</v>
      </c>
      <c r="D21" s="263"/>
      <c r="E21" s="263"/>
      <c r="F21" s="275"/>
      <c r="G21" s="373"/>
      <c r="H21" s="264"/>
      <c r="I21" s="628"/>
      <c r="J21" s="282"/>
    </row>
    <row r="22" spans="1:19" ht="13.5" thickBot="1">
      <c r="A22" s="92">
        <v>16</v>
      </c>
      <c r="B22" s="265" t="s">
        <v>362</v>
      </c>
      <c r="C22" s="267" t="str">
        <f>VLOOKUP($B$2,'Sector Impact'!$K$4:$AA$16,A22+1,FALSE)</f>
        <v>Low</v>
      </c>
      <c r="D22" s="263" t="s">
        <v>13</v>
      </c>
      <c r="E22" s="263"/>
      <c r="F22" s="275"/>
      <c r="G22" s="276"/>
      <c r="H22" s="627"/>
      <c r="I22" s="627"/>
      <c r="J22" s="266"/>
    </row>
    <row r="23" spans="1:19" ht="15.75" thickBot="1">
      <c r="B23" s="271" t="s">
        <v>363</v>
      </c>
      <c r="C23" s="286"/>
      <c r="D23" s="268"/>
      <c r="E23" s="277"/>
      <c r="F23" s="277"/>
      <c r="G23" s="278"/>
      <c r="H23" s="626"/>
      <c r="I23" s="626"/>
      <c r="J23" s="279"/>
      <c r="K23" s="318" t="s">
        <v>364</v>
      </c>
      <c r="L23" s="295"/>
      <c r="M23" s="296"/>
    </row>
    <row r="24" spans="1:19" ht="13.5" thickBot="1">
      <c r="A24" s="92">
        <v>17</v>
      </c>
      <c r="B24" s="265" t="s">
        <v>365</v>
      </c>
      <c r="C24" s="287"/>
      <c r="D24" s="288"/>
      <c r="E24" s="281" t="s">
        <v>366</v>
      </c>
      <c r="F24" s="281" t="s">
        <v>13</v>
      </c>
      <c r="G24" s="376"/>
      <c r="H24" s="264"/>
      <c r="I24" s="628"/>
      <c r="J24" s="289"/>
      <c r="K24" s="322" t="s">
        <v>367</v>
      </c>
      <c r="L24" s="93" t="s">
        <v>368</v>
      </c>
      <c r="M24" s="94" t="s">
        <v>369</v>
      </c>
    </row>
    <row r="25" spans="1:19" ht="51.75" thickBot="1">
      <c r="A25" s="92">
        <v>18</v>
      </c>
      <c r="B25" s="265" t="s">
        <v>370</v>
      </c>
      <c r="C25" s="287"/>
      <c r="D25" s="288"/>
      <c r="E25" s="281" t="s">
        <v>318</v>
      </c>
      <c r="F25" s="281"/>
      <c r="G25" s="373"/>
      <c r="H25" s="264"/>
      <c r="I25" s="628"/>
      <c r="J25" s="756" t="s">
        <v>371</v>
      </c>
      <c r="K25" s="254" t="s">
        <v>372</v>
      </c>
      <c r="L25" s="255" t="s">
        <v>333</v>
      </c>
      <c r="M25" s="319" t="s">
        <v>373</v>
      </c>
    </row>
    <row r="26" spans="1:19" ht="57" customHeight="1" thickBot="1">
      <c r="A26" s="92">
        <v>19</v>
      </c>
      <c r="B26" s="771" t="s">
        <v>374</v>
      </c>
      <c r="C26" s="287"/>
      <c r="D26" s="288"/>
      <c r="E26" s="281" t="s">
        <v>366</v>
      </c>
      <c r="F26" s="281"/>
      <c r="G26" s="376"/>
      <c r="H26" s="264"/>
      <c r="I26" s="628"/>
      <c r="J26" s="289"/>
      <c r="K26" s="254" t="s">
        <v>318</v>
      </c>
      <c r="L26" s="255" t="s">
        <v>312</v>
      </c>
      <c r="M26" s="320"/>
    </row>
    <row r="27" spans="1:19" ht="13.5" thickBot="1">
      <c r="A27" s="92">
        <v>20</v>
      </c>
      <c r="B27" s="265" t="s">
        <v>375</v>
      </c>
      <c r="C27" s="287"/>
      <c r="D27" s="288"/>
      <c r="E27" s="281" t="s">
        <v>318</v>
      </c>
      <c r="F27" s="281"/>
      <c r="G27" s="373"/>
      <c r="H27" s="264"/>
      <c r="I27" s="628"/>
      <c r="J27" s="289"/>
      <c r="K27" s="256" t="s">
        <v>313</v>
      </c>
      <c r="L27" s="257" t="s">
        <v>318</v>
      </c>
      <c r="M27" s="320"/>
    </row>
    <row r="28" spans="1:19" ht="13.5" thickBot="1">
      <c r="A28" s="92">
        <v>21</v>
      </c>
      <c r="B28" s="265" t="s">
        <v>376</v>
      </c>
      <c r="C28" s="287"/>
      <c r="D28" s="288"/>
      <c r="E28" s="281" t="s">
        <v>366</v>
      </c>
      <c r="F28" s="281"/>
      <c r="G28" s="376"/>
      <c r="H28" s="264"/>
      <c r="I28" s="628"/>
      <c r="J28" s="282"/>
      <c r="K28" s="258" t="s">
        <v>377</v>
      </c>
      <c r="L28" s="259" t="s">
        <v>366</v>
      </c>
      <c r="M28" s="321"/>
    </row>
    <row r="29" spans="1:19" ht="13.5" thickBot="1">
      <c r="A29" s="92">
        <v>22</v>
      </c>
      <c r="B29" s="265" t="s">
        <v>378</v>
      </c>
      <c r="C29" s="287"/>
      <c r="D29" s="288"/>
      <c r="E29" s="281"/>
      <c r="F29" s="281"/>
      <c r="G29" s="373"/>
      <c r="H29" s="264"/>
      <c r="I29" s="628"/>
      <c r="J29" s="282"/>
    </row>
    <row r="30" spans="1:19" ht="26.1" customHeight="1" thickBot="1">
      <c r="A30" s="92">
        <v>23</v>
      </c>
      <c r="B30" s="265" t="s">
        <v>379</v>
      </c>
      <c r="C30" s="287"/>
      <c r="D30" s="288"/>
      <c r="E30" s="281"/>
      <c r="F30" s="281"/>
      <c r="G30" s="373"/>
      <c r="H30" s="264"/>
      <c r="I30" s="628"/>
      <c r="J30" s="289"/>
      <c r="L30" s="102"/>
    </row>
    <row r="31" spans="1:19" ht="26.25" thickBot="1">
      <c r="A31" s="92">
        <v>24</v>
      </c>
      <c r="B31" s="290" t="s">
        <v>380</v>
      </c>
      <c r="C31" s="287"/>
      <c r="D31" s="288"/>
      <c r="E31" s="281"/>
      <c r="F31" s="281"/>
      <c r="G31" s="373"/>
      <c r="H31" s="264"/>
      <c r="I31" s="628"/>
      <c r="J31" s="280"/>
      <c r="L31" s="122"/>
    </row>
    <row r="32" spans="1:19" ht="13.5" thickBot="1">
      <c r="A32" s="92">
        <v>25</v>
      </c>
      <c r="B32" s="265" t="s">
        <v>381</v>
      </c>
      <c r="C32" s="287"/>
      <c r="D32" s="281"/>
      <c r="E32" s="281"/>
      <c r="F32" s="281"/>
      <c r="G32" s="377"/>
      <c r="H32" s="264"/>
      <c r="I32" s="628"/>
      <c r="J32" s="282"/>
      <c r="L32" s="103"/>
    </row>
    <row r="33" spans="1:27" ht="13.5" thickBot="1">
      <c r="A33" s="92">
        <v>26</v>
      </c>
      <c r="B33" s="265" t="s">
        <v>382</v>
      </c>
      <c r="C33" s="287"/>
      <c r="D33" s="281"/>
      <c r="E33" s="281"/>
      <c r="F33" s="281"/>
      <c r="G33" s="377"/>
      <c r="H33" s="264"/>
      <c r="I33" s="628"/>
      <c r="J33" s="282"/>
      <c r="N33" s="374"/>
    </row>
    <row r="34" spans="1:27" ht="13.5" thickBot="1">
      <c r="A34" s="92">
        <v>27</v>
      </c>
      <c r="B34" s="265" t="s">
        <v>383</v>
      </c>
      <c r="C34" s="287"/>
      <c r="D34" s="291"/>
      <c r="E34" s="281"/>
      <c r="F34" s="281"/>
      <c r="G34" s="377"/>
      <c r="H34" s="264"/>
      <c r="I34" s="628"/>
      <c r="J34" s="282"/>
      <c r="N34" s="375"/>
    </row>
    <row r="35" spans="1:27">
      <c r="B35" s="99"/>
      <c r="C35" s="99"/>
      <c r="D35" s="99"/>
      <c r="E35" s="99"/>
      <c r="F35" s="99"/>
      <c r="G35" s="99"/>
      <c r="H35" s="629"/>
      <c r="I35" s="629"/>
      <c r="J35" s="99"/>
      <c r="T35" s="100"/>
    </row>
    <row r="36" spans="1:27" ht="18">
      <c r="B36" s="101"/>
      <c r="T36" s="100"/>
    </row>
    <row r="37" spans="1:27">
      <c r="K37"/>
      <c r="T37" s="100"/>
    </row>
    <row r="38" spans="1:27">
      <c r="C38"/>
      <c r="D38"/>
      <c r="E38"/>
      <c r="F38"/>
      <c r="G38"/>
      <c r="H38" s="631"/>
      <c r="I38" s="631"/>
      <c r="J38"/>
      <c r="K38"/>
      <c r="L38"/>
      <c r="M38"/>
      <c r="N38"/>
      <c r="O38"/>
      <c r="P38"/>
      <c r="Q38"/>
      <c r="R38"/>
      <c r="S38"/>
      <c r="T38"/>
      <c r="U38"/>
      <c r="V38"/>
      <c r="W38"/>
      <c r="X38"/>
      <c r="Y38"/>
      <c r="Z38"/>
      <c r="AA38"/>
    </row>
    <row r="39" spans="1:27">
      <c r="C39"/>
      <c r="D39"/>
      <c r="E39"/>
      <c r="F39"/>
      <c r="G39"/>
      <c r="H39" s="631"/>
      <c r="I39" s="631"/>
      <c r="J39"/>
      <c r="M39"/>
      <c r="N39"/>
      <c r="O39"/>
      <c r="P39"/>
      <c r="Q39"/>
      <c r="R39"/>
      <c r="S39"/>
      <c r="T39"/>
      <c r="U39"/>
      <c r="V39"/>
      <c r="W39"/>
      <c r="X39"/>
      <c r="Y39"/>
      <c r="Z39"/>
      <c r="AA39"/>
    </row>
    <row r="54" spans="14:19">
      <c r="N54" s="972"/>
      <c r="O54" s="972"/>
      <c r="P54" s="972"/>
      <c r="Q54" s="972"/>
      <c r="R54" s="972"/>
      <c r="S54" s="972"/>
    </row>
    <row r="55" spans="14:19">
      <c r="O55" s="632"/>
      <c r="P55" s="632"/>
      <c r="Q55" s="632"/>
      <c r="R55" s="632"/>
      <c r="S55" s="632"/>
    </row>
    <row r="56" spans="14:19">
      <c r="N56" s="633"/>
      <c r="O56" s="633"/>
      <c r="P56" s="633"/>
      <c r="Q56" s="633"/>
      <c r="R56" s="633"/>
      <c r="S56" s="633"/>
    </row>
    <row r="57" spans="14:19">
      <c r="N57" s="633"/>
      <c r="O57" s="633"/>
      <c r="P57" s="633"/>
      <c r="Q57" s="633"/>
      <c r="R57" s="633"/>
      <c r="S57" s="633"/>
    </row>
    <row r="58" spans="14:19">
      <c r="N58" s="633"/>
      <c r="O58" s="633"/>
      <c r="P58" s="633"/>
      <c r="Q58" s="633"/>
      <c r="R58" s="633"/>
      <c r="S58" s="633"/>
    </row>
    <row r="59" spans="14:19">
      <c r="N59" s="633"/>
      <c r="O59" s="633"/>
      <c r="P59" s="633"/>
      <c r="Q59" s="633"/>
      <c r="R59" s="633"/>
      <c r="S59" s="633"/>
    </row>
    <row r="60" spans="14:19">
      <c r="N60" s="633"/>
      <c r="O60" s="633"/>
      <c r="P60" s="633"/>
      <c r="Q60" s="633"/>
      <c r="R60" s="633"/>
      <c r="S60" s="633"/>
    </row>
    <row r="61" spans="14:19">
      <c r="N61" s="633"/>
      <c r="O61" s="633"/>
      <c r="P61" s="633"/>
      <c r="Q61" s="633"/>
      <c r="R61" s="633"/>
      <c r="S61" s="633"/>
    </row>
    <row r="62" spans="14:19">
      <c r="N62" s="633"/>
      <c r="O62" s="633"/>
      <c r="P62" s="633"/>
      <c r="Q62" s="633"/>
      <c r="R62" s="633"/>
      <c r="S62" s="633"/>
    </row>
    <row r="63" spans="14:19">
      <c r="N63" s="633"/>
      <c r="O63" s="633"/>
      <c r="P63" s="633"/>
      <c r="Q63" s="633"/>
      <c r="R63" s="633"/>
      <c r="S63" s="633"/>
    </row>
    <row r="64" spans="14:19">
      <c r="N64" s="633"/>
      <c r="O64" s="633"/>
      <c r="P64" s="633"/>
      <c r="Q64" s="633"/>
      <c r="R64" s="633"/>
      <c r="S64" s="633"/>
    </row>
    <row r="65" spans="14:19">
      <c r="N65" s="633"/>
      <c r="O65" s="633"/>
      <c r="P65" s="633"/>
      <c r="Q65" s="633"/>
      <c r="R65" s="633"/>
      <c r="S65" s="633"/>
    </row>
    <row r="66" spans="14:19">
      <c r="N66" s="969"/>
      <c r="O66" s="969"/>
      <c r="P66" s="969"/>
      <c r="Q66" s="969"/>
      <c r="R66" s="969"/>
      <c r="S66" s="969"/>
    </row>
    <row r="67" spans="14:19">
      <c r="N67" s="633"/>
      <c r="O67" s="633"/>
      <c r="P67" s="633"/>
      <c r="Q67" s="633"/>
      <c r="R67" s="633"/>
      <c r="S67" s="633"/>
    </row>
    <row r="68" spans="14:19">
      <c r="N68" s="633"/>
      <c r="O68" s="633"/>
      <c r="P68" s="633"/>
      <c r="Q68" s="633"/>
      <c r="R68" s="633"/>
      <c r="S68" s="633"/>
    </row>
    <row r="69" spans="14:19">
      <c r="N69" s="633"/>
      <c r="O69" s="633"/>
      <c r="P69" s="633"/>
      <c r="Q69" s="633"/>
      <c r="R69" s="633"/>
      <c r="S69" s="633"/>
    </row>
    <row r="70" spans="14:19">
      <c r="N70" s="633"/>
      <c r="O70" s="633"/>
      <c r="P70" s="633"/>
      <c r="Q70" s="633"/>
      <c r="R70" s="633"/>
      <c r="S70" s="633"/>
    </row>
    <row r="71" spans="14:19">
      <c r="N71" s="633"/>
      <c r="O71" s="633"/>
      <c r="P71" s="633"/>
      <c r="Q71" s="633"/>
      <c r="R71" s="633"/>
      <c r="S71" s="633"/>
    </row>
    <row r="72" spans="14:19">
      <c r="N72" s="633"/>
      <c r="O72" s="633"/>
      <c r="P72" s="633"/>
      <c r="Q72" s="633"/>
      <c r="R72" s="633"/>
      <c r="S72" s="633"/>
    </row>
    <row r="73" spans="14:19">
      <c r="N73" s="633"/>
      <c r="O73" s="633"/>
      <c r="P73" s="633"/>
      <c r="Q73" s="633"/>
      <c r="R73" s="633"/>
      <c r="S73" s="633"/>
    </row>
    <row r="74" spans="14:19">
      <c r="N74" s="634"/>
      <c r="O74" s="633"/>
      <c r="P74" s="633"/>
      <c r="Q74" s="633"/>
      <c r="R74" s="633"/>
      <c r="S74" s="633"/>
    </row>
    <row r="75" spans="14:19">
      <c r="N75" s="634"/>
      <c r="O75" s="633"/>
      <c r="P75" s="633"/>
      <c r="Q75" s="633"/>
      <c r="R75" s="633"/>
      <c r="S75" s="633"/>
    </row>
    <row r="76" spans="14:19">
      <c r="N76" s="634"/>
      <c r="O76" s="633"/>
      <c r="P76" s="633"/>
      <c r="Q76" s="633"/>
      <c r="R76" s="633"/>
      <c r="S76" s="633"/>
    </row>
    <row r="77" spans="14:19">
      <c r="N77" s="633"/>
      <c r="O77" s="633"/>
      <c r="P77" s="633"/>
      <c r="Q77" s="633"/>
      <c r="R77" s="633"/>
      <c r="S77" s="633"/>
    </row>
    <row r="78" spans="14:19">
      <c r="N78" s="969"/>
      <c r="O78" s="969"/>
      <c r="P78" s="969"/>
      <c r="Q78" s="969"/>
      <c r="R78" s="969"/>
      <c r="S78" s="969"/>
    </row>
    <row r="79" spans="14:19">
      <c r="N79" s="633"/>
      <c r="O79" s="633"/>
      <c r="P79" s="633"/>
      <c r="Q79" s="633"/>
      <c r="R79" s="633"/>
      <c r="S79" s="633"/>
    </row>
    <row r="80" spans="14:19">
      <c r="N80" s="633"/>
      <c r="O80" s="633"/>
      <c r="P80" s="633"/>
      <c r="Q80" s="633"/>
      <c r="R80" s="633"/>
      <c r="S80" s="633"/>
    </row>
    <row r="81" spans="14:19">
      <c r="N81" s="633"/>
      <c r="O81" s="633"/>
      <c r="P81" s="633"/>
      <c r="Q81" s="633"/>
      <c r="R81" s="633"/>
      <c r="S81" s="633"/>
    </row>
    <row r="82" spans="14:19">
      <c r="N82" s="633"/>
      <c r="O82" s="633"/>
      <c r="P82" s="633"/>
      <c r="Q82" s="633"/>
      <c r="R82" s="633"/>
      <c r="S82" s="633"/>
    </row>
    <row r="83" spans="14:19">
      <c r="N83" s="633"/>
      <c r="O83" s="633"/>
      <c r="P83" s="633"/>
      <c r="Q83" s="633"/>
      <c r="R83" s="633"/>
      <c r="S83" s="633"/>
    </row>
    <row r="84" spans="14:19">
      <c r="N84" s="633"/>
      <c r="O84" s="633"/>
      <c r="P84" s="633"/>
      <c r="Q84" s="633"/>
      <c r="R84" s="633"/>
      <c r="S84" s="633"/>
    </row>
    <row r="85" spans="14:19">
      <c r="N85" s="633"/>
      <c r="O85" s="633"/>
      <c r="P85" s="633"/>
      <c r="Q85" s="633"/>
      <c r="R85" s="633"/>
      <c r="S85" s="633"/>
    </row>
    <row r="86" spans="14:19">
      <c r="N86" s="634"/>
      <c r="O86" s="633"/>
      <c r="P86" s="633"/>
      <c r="Q86" s="633"/>
      <c r="R86" s="633"/>
      <c r="S86" s="633"/>
    </row>
    <row r="87" spans="14:19">
      <c r="N87" s="634"/>
      <c r="O87" s="633"/>
      <c r="P87" s="633"/>
      <c r="Q87" s="633"/>
      <c r="R87" s="633"/>
      <c r="S87" s="633"/>
    </row>
    <row r="88" spans="14:19">
      <c r="N88" s="634"/>
      <c r="O88" s="633"/>
      <c r="P88" s="633"/>
      <c r="Q88" s="633"/>
      <c r="R88" s="633"/>
      <c r="S88" s="633"/>
    </row>
    <row r="89" spans="14:19">
      <c r="N89" s="633"/>
      <c r="O89" s="633"/>
      <c r="P89" s="633"/>
      <c r="Q89" s="633"/>
      <c r="R89" s="633"/>
      <c r="S89" s="633"/>
    </row>
    <row r="90" spans="14:19">
      <c r="N90" s="969"/>
      <c r="O90" s="969"/>
      <c r="P90" s="969"/>
      <c r="Q90" s="969"/>
      <c r="R90" s="969"/>
      <c r="S90" s="969"/>
    </row>
    <row r="91" spans="14:19">
      <c r="N91" s="633"/>
      <c r="O91" s="633"/>
      <c r="P91" s="633"/>
      <c r="Q91" s="633"/>
      <c r="R91" s="633"/>
      <c r="S91" s="633"/>
    </row>
    <row r="92" spans="14:19">
      <c r="N92" s="634"/>
      <c r="O92" s="633"/>
      <c r="P92" s="633"/>
      <c r="Q92" s="633"/>
      <c r="R92" s="633"/>
      <c r="S92" s="633"/>
    </row>
    <row r="93" spans="14:19">
      <c r="N93" s="634"/>
      <c r="O93" s="633"/>
      <c r="P93" s="633"/>
      <c r="Q93" s="633"/>
      <c r="R93" s="633"/>
      <c r="S93" s="633"/>
    </row>
    <row r="94" spans="14:19">
      <c r="N94" s="634"/>
      <c r="O94" s="633"/>
      <c r="P94" s="633"/>
      <c r="Q94" s="633"/>
      <c r="R94" s="633"/>
      <c r="S94" s="633"/>
    </row>
    <row r="95" spans="14:19">
      <c r="N95" s="634"/>
      <c r="O95" s="633"/>
      <c r="P95" s="633"/>
      <c r="Q95" s="633"/>
      <c r="R95" s="633"/>
      <c r="S95" s="633"/>
    </row>
    <row r="96" spans="14:19">
      <c r="N96" s="634"/>
      <c r="O96" s="633"/>
      <c r="P96" s="633"/>
      <c r="Q96" s="633"/>
      <c r="R96" s="633"/>
      <c r="S96" s="633"/>
    </row>
    <row r="97" spans="14:19">
      <c r="N97" s="634"/>
      <c r="O97" s="633"/>
      <c r="P97" s="633"/>
      <c r="Q97" s="633"/>
      <c r="R97" s="633"/>
      <c r="S97" s="633"/>
    </row>
    <row r="98" spans="14:19">
      <c r="N98" s="634"/>
      <c r="O98" s="633"/>
      <c r="P98" s="633"/>
      <c r="Q98" s="633"/>
      <c r="R98" s="633"/>
      <c r="S98" s="633"/>
    </row>
    <row r="99" spans="14:19">
      <c r="N99" s="634"/>
      <c r="O99" s="633"/>
      <c r="P99" s="633"/>
      <c r="Q99" s="633"/>
      <c r="R99" s="633"/>
      <c r="S99" s="633"/>
    </row>
    <row r="100" spans="14:19">
      <c r="N100" s="634"/>
      <c r="O100" s="633"/>
      <c r="P100" s="633"/>
      <c r="Q100" s="633"/>
      <c r="R100" s="633"/>
      <c r="S100" s="633"/>
    </row>
  </sheetData>
  <mergeCells count="6">
    <mergeCell ref="N90:S90"/>
    <mergeCell ref="B3:J3"/>
    <mergeCell ref="K3:Q3"/>
    <mergeCell ref="N54:S54"/>
    <mergeCell ref="N66:S66"/>
    <mergeCell ref="N78:S78"/>
  </mergeCells>
  <conditionalFormatting sqref="C10:G10">
    <cfRule type="expression" dxfId="33" priority="24">
      <formula>$C$10="Low"</formula>
    </cfRule>
  </conditionalFormatting>
  <conditionalFormatting sqref="D6:F6 I6">
    <cfRule type="expression" dxfId="32" priority="41">
      <formula>$C$6="Low"</formula>
    </cfRule>
  </conditionalFormatting>
  <conditionalFormatting sqref="D7:F7">
    <cfRule type="expression" dxfId="31" priority="40">
      <formula>$C$7="Low"</formula>
    </cfRule>
  </conditionalFormatting>
  <conditionalFormatting sqref="D8:F8">
    <cfRule type="expression" dxfId="30" priority="39">
      <formula>$C$8="Low"</formula>
    </cfRule>
  </conditionalFormatting>
  <conditionalFormatting sqref="D12:F12 J12">
    <cfRule type="expression" dxfId="29" priority="36">
      <formula>$C$12="Low"</formula>
    </cfRule>
  </conditionalFormatting>
  <conditionalFormatting sqref="D14:F14 J14">
    <cfRule type="expression" dxfId="28" priority="34">
      <formula>$C$14="Low"</formula>
    </cfRule>
  </conditionalFormatting>
  <conditionalFormatting sqref="D9:G9 J10">
    <cfRule type="expression" dxfId="27" priority="38">
      <formula>$C$9="Low"</formula>
    </cfRule>
  </conditionalFormatting>
  <conditionalFormatting sqref="D13:G13 J13">
    <cfRule type="expression" dxfId="26" priority="35">
      <formula>$C$13="Low"</formula>
    </cfRule>
  </conditionalFormatting>
  <conditionalFormatting sqref="D16:G16 I16:J16">
    <cfRule type="expression" dxfId="25" priority="32">
      <formula>$C$16="Low"</formula>
    </cfRule>
  </conditionalFormatting>
  <conditionalFormatting sqref="D17:G17 J17">
    <cfRule type="expression" dxfId="24" priority="31">
      <formula>$C$17="Low"</formula>
    </cfRule>
  </conditionalFormatting>
  <conditionalFormatting sqref="D19:G19 J20">
    <cfRule type="expression" dxfId="23" priority="29">
      <formula>$C$19="Low"</formula>
    </cfRule>
  </conditionalFormatting>
  <conditionalFormatting sqref="D21:G21 J21">
    <cfRule type="expression" dxfId="22" priority="27">
      <formula>$C$21="Low"</formula>
    </cfRule>
  </conditionalFormatting>
  <conditionalFormatting sqref="D15:J15">
    <cfRule type="expression" dxfId="21" priority="33">
      <formula>$C$15="Low"</formula>
    </cfRule>
  </conditionalFormatting>
  <conditionalFormatting sqref="D18:J18">
    <cfRule type="expression" dxfId="20" priority="30">
      <formula>$C$18="Low"</formula>
    </cfRule>
  </conditionalFormatting>
  <conditionalFormatting sqref="D20:J20">
    <cfRule type="expression" dxfId="19" priority="28">
      <formula>$C$20="Low"</formula>
    </cfRule>
  </conditionalFormatting>
  <conditionalFormatting sqref="D22:J22">
    <cfRule type="expression" dxfId="18" priority="26">
      <formula>$C$22="Low"</formula>
    </cfRule>
  </conditionalFormatting>
  <conditionalFormatting sqref="G6:G8">
    <cfRule type="expression" dxfId="17" priority="5">
      <formula>$C$19="Low"</formula>
    </cfRule>
  </conditionalFormatting>
  <conditionalFormatting sqref="G12">
    <cfRule type="expression" dxfId="16" priority="2">
      <formula>$C$19="Low"</formula>
    </cfRule>
  </conditionalFormatting>
  <conditionalFormatting sqref="G14">
    <cfRule type="expression" dxfId="15" priority="1">
      <formula>$C$13="Low"</formula>
    </cfRule>
  </conditionalFormatting>
  <conditionalFormatting sqref="H6:H9 H8:I8 H10:I10">
    <cfRule type="expression" dxfId="14" priority="19">
      <formula>$C$6="Low"</formula>
    </cfRule>
  </conditionalFormatting>
  <conditionalFormatting sqref="H16:H17">
    <cfRule type="expression" dxfId="13" priority="11">
      <formula>$C$6="Low"</formula>
    </cfRule>
  </conditionalFormatting>
  <conditionalFormatting sqref="H19">
    <cfRule type="expression" dxfId="12" priority="10">
      <formula>$C$6="Low"</formula>
    </cfRule>
  </conditionalFormatting>
  <conditionalFormatting sqref="H21">
    <cfRule type="expression" dxfId="11" priority="9">
      <formula>$C$6="Low"</formula>
    </cfRule>
  </conditionalFormatting>
  <conditionalFormatting sqref="H24:H34">
    <cfRule type="expression" dxfId="10" priority="8">
      <formula>$C$6="Low"</formula>
    </cfRule>
  </conditionalFormatting>
  <conditionalFormatting sqref="H12:I14">
    <cfRule type="expression" dxfId="9" priority="12">
      <formula>$C$6="Low"</formula>
    </cfRule>
  </conditionalFormatting>
  <conditionalFormatting sqref="I17">
    <cfRule type="expression" dxfId="8" priority="16">
      <formula>$C$16="Low"</formula>
    </cfRule>
  </conditionalFormatting>
  <conditionalFormatting sqref="I19">
    <cfRule type="expression" dxfId="7" priority="15">
      <formula>$C$16="Low"</formula>
    </cfRule>
  </conditionalFormatting>
  <conditionalFormatting sqref="I21">
    <cfRule type="expression" dxfId="6" priority="14">
      <formula>$C$16="Low"</formula>
    </cfRule>
  </conditionalFormatting>
  <conditionalFormatting sqref="I24:I34">
    <cfRule type="expression" dxfId="5" priority="13">
      <formula>$C$16="Low"</formula>
    </cfRule>
  </conditionalFormatting>
  <conditionalFormatting sqref="J6:J7">
    <cfRule type="expression" dxfId="4" priority="4">
      <formula>$C$12="Low"</formula>
    </cfRule>
  </conditionalFormatting>
  <conditionalFormatting sqref="J9">
    <cfRule type="expression" dxfId="3" priority="3">
      <formula>$C$12="Low"</formula>
    </cfRule>
  </conditionalFormatting>
  <conditionalFormatting sqref="J19">
    <cfRule type="expression" dxfId="2" priority="7">
      <formula>$C$17="Low"</formula>
    </cfRule>
  </conditionalFormatting>
  <dataValidations count="3">
    <dataValidation type="list" allowBlank="1" showInputMessage="1" showErrorMessage="1" sqref="D6:D22 D32:D34 F24:F34 F6:F10 F12:F22 C11"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6:E10 E24:E34 E12:E22" xr:uid="{21B53BAA-5CFE-4F77-8669-06D93A31F2C2}">
      <formula1>$L$25:$L$28</formula1>
    </dataValidation>
  </dataValidations>
  <pageMargins left="0.7" right="0.7" top="0.75" bottom="0.75" header="0.3" footer="0.3"/>
  <pageSetup paperSize="9" orientation="portrait" horizontalDpi="4294967293" verticalDpi="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87"/>
  <sheetViews>
    <sheetView showGridLines="0" tabSelected="1" zoomScale="109" zoomScaleNormal="85" workbookViewId="0">
      <pane xSplit="3" ySplit="4" topLeftCell="D57" activePane="bottomRight" state="frozen"/>
      <selection pane="bottomRight" activeCell="F44" sqref="F44"/>
      <selection pane="bottomLeft" activeCell="A5" sqref="A5"/>
      <selection pane="topRight" activeCell="D1" sqref="D1"/>
    </sheetView>
  </sheetViews>
  <sheetFormatPr defaultColWidth="11.42578125" defaultRowHeight="12.75" outlineLevelCol="1"/>
  <cols>
    <col min="1" max="1" width="24.42578125" bestFit="1" customWidth="1"/>
    <col min="2" max="2" width="11.42578125" customWidth="1" outlineLevel="1"/>
    <col min="3" max="3" width="32.140625" customWidth="1" outlineLevel="1"/>
    <col min="4" max="4" width="20" customWidth="1" outlineLevel="1"/>
    <col min="5" max="5" width="24" customWidth="1"/>
    <col min="6" max="6" width="27.28515625" customWidth="1"/>
    <col min="7" max="7" width="14.140625" style="2" customWidth="1"/>
    <col min="8" max="8" width="12.42578125" style="2" customWidth="1"/>
    <col min="9" max="11" width="11.140625" style="2" customWidth="1"/>
    <col min="12" max="12" width="19" style="2" customWidth="1"/>
    <col min="13" max="14" width="24.28515625" style="2" bestFit="1" customWidth="1"/>
    <col min="15" max="15" width="23.140625" style="2" bestFit="1" customWidth="1"/>
    <col min="16" max="25" width="24.28515625" style="2" bestFit="1" customWidth="1"/>
    <col min="26" max="28" width="23.140625" style="2" bestFit="1" customWidth="1"/>
    <col min="29" max="30" width="24.28515625" style="2" bestFit="1" customWidth="1"/>
    <col min="31" max="32" width="23.140625" style="2" bestFit="1" customWidth="1"/>
    <col min="33" max="33" width="14.42578125" customWidth="1"/>
  </cols>
  <sheetData>
    <row r="1" spans="1:40" ht="21" customHeight="1">
      <c r="A1" s="980" t="s">
        <v>384</v>
      </c>
      <c r="B1" s="980"/>
      <c r="C1" s="980"/>
      <c r="D1" s="980"/>
      <c r="E1" s="980"/>
      <c r="F1" s="980"/>
      <c r="G1" s="980"/>
      <c r="H1" s="980"/>
      <c r="I1" s="980"/>
      <c r="J1" s="980"/>
      <c r="K1" s="980"/>
      <c r="L1" s="980"/>
      <c r="M1" s="980"/>
      <c r="N1" s="980"/>
      <c r="O1" s="980"/>
      <c r="P1" s="980"/>
      <c r="Q1" s="980"/>
      <c r="R1" s="980"/>
      <c r="S1" s="980"/>
      <c r="T1" s="980"/>
      <c r="U1" s="980"/>
      <c r="V1" s="980"/>
      <c r="W1" s="980"/>
      <c r="X1" s="980"/>
      <c r="Y1" s="980"/>
      <c r="Z1" s="980"/>
      <c r="AA1" s="980"/>
      <c r="AB1" s="980"/>
      <c r="AC1" s="980"/>
      <c r="AD1" s="980"/>
      <c r="AE1" s="980"/>
      <c r="AF1" s="980"/>
      <c r="AG1" s="11"/>
      <c r="AH1" s="11"/>
      <c r="AI1" s="11"/>
      <c r="AJ1" s="11"/>
      <c r="AK1" s="11"/>
      <c r="AL1" s="11"/>
      <c r="AM1" s="11"/>
      <c r="AN1" s="11"/>
    </row>
    <row r="2" spans="1:40" ht="3.75" customHeight="1" thickBot="1">
      <c r="A2" s="981"/>
      <c r="B2" s="981"/>
      <c r="C2" s="981"/>
      <c r="D2" s="981"/>
      <c r="E2" s="981"/>
      <c r="F2" s="981"/>
      <c r="G2" s="981"/>
      <c r="H2" s="981"/>
      <c r="I2" s="981"/>
      <c r="J2" s="981"/>
      <c r="K2" s="981"/>
      <c r="L2" s="981"/>
      <c r="M2" s="981"/>
      <c r="N2" s="981"/>
      <c r="O2" s="981"/>
      <c r="P2" s="981"/>
      <c r="Q2" s="981"/>
      <c r="R2" s="981"/>
      <c r="S2" s="981"/>
      <c r="T2" s="981"/>
      <c r="U2" s="981"/>
      <c r="V2" s="981"/>
      <c r="W2" s="981"/>
      <c r="X2" s="981"/>
      <c r="Y2" s="981"/>
      <c r="Z2" s="981"/>
      <c r="AA2" s="981"/>
      <c r="AB2" s="981"/>
      <c r="AC2" s="981"/>
      <c r="AD2" s="981"/>
      <c r="AE2" s="981"/>
      <c r="AF2" s="981"/>
      <c r="AG2" s="640"/>
      <c r="AH2" s="11"/>
      <c r="AI2" s="11"/>
      <c r="AJ2" s="11"/>
      <c r="AK2" s="11"/>
      <c r="AL2" s="11"/>
      <c r="AM2" s="11"/>
      <c r="AN2" s="11"/>
    </row>
    <row r="3" spans="1:40" ht="19.5" thickBot="1">
      <c r="A3" s="297"/>
      <c r="B3" s="297"/>
      <c r="C3" s="297"/>
      <c r="D3" s="297"/>
      <c r="E3" s="297"/>
      <c r="F3" s="297"/>
      <c r="G3" s="989" t="s">
        <v>385</v>
      </c>
      <c r="H3" s="990"/>
      <c r="I3" s="990"/>
      <c r="J3" s="990"/>
      <c r="K3" s="989" t="s">
        <v>386</v>
      </c>
      <c r="L3" s="990"/>
      <c r="M3" s="990"/>
      <c r="N3" s="990"/>
      <c r="O3" s="990"/>
      <c r="P3" s="990"/>
      <c r="Q3" s="990"/>
      <c r="R3" s="990"/>
      <c r="S3" s="990"/>
      <c r="T3" s="990"/>
      <c r="U3" s="990"/>
      <c r="V3" s="990"/>
      <c r="W3" s="990"/>
      <c r="X3" s="990"/>
      <c r="Y3" s="990"/>
      <c r="Z3" s="990"/>
      <c r="AA3" s="990"/>
      <c r="AB3" s="990"/>
      <c r="AC3" s="990"/>
      <c r="AD3" s="990"/>
      <c r="AE3" s="990"/>
      <c r="AF3" s="991"/>
      <c r="AG3" s="640"/>
      <c r="AH3" s="11"/>
      <c r="AI3" s="11"/>
      <c r="AJ3" s="11"/>
      <c r="AK3" s="11"/>
      <c r="AL3" s="11"/>
      <c r="AM3" s="11"/>
      <c r="AN3" s="11"/>
    </row>
    <row r="4" spans="1:40" ht="15.75" thickBot="1">
      <c r="A4" s="326" t="s">
        <v>387</v>
      </c>
      <c r="B4" s="329" t="s">
        <v>388</v>
      </c>
      <c r="C4" s="330" t="s">
        <v>389</v>
      </c>
      <c r="D4" s="339" t="s">
        <v>390</v>
      </c>
      <c r="E4" s="339" t="s">
        <v>391</v>
      </c>
      <c r="F4" s="340" t="s">
        <v>392</v>
      </c>
      <c r="G4" s="339">
        <v>2023</v>
      </c>
      <c r="H4" s="339">
        <f>G4+1</f>
        <v>2024</v>
      </c>
      <c r="I4" s="339">
        <f t="shared" ref="I4:AF4" si="0">H4+1</f>
        <v>2025</v>
      </c>
      <c r="J4" s="340">
        <f t="shared" si="0"/>
        <v>2026</v>
      </c>
      <c r="K4" s="341">
        <f t="shared" si="0"/>
        <v>2027</v>
      </c>
      <c r="L4" s="341">
        <f t="shared" si="0"/>
        <v>2028</v>
      </c>
      <c r="M4" s="341">
        <f t="shared" si="0"/>
        <v>2029</v>
      </c>
      <c r="N4" s="341">
        <f t="shared" si="0"/>
        <v>2030</v>
      </c>
      <c r="O4" s="341">
        <f t="shared" si="0"/>
        <v>2031</v>
      </c>
      <c r="P4" s="341">
        <f t="shared" si="0"/>
        <v>2032</v>
      </c>
      <c r="Q4" s="341">
        <f t="shared" si="0"/>
        <v>2033</v>
      </c>
      <c r="R4" s="341">
        <f t="shared" si="0"/>
        <v>2034</v>
      </c>
      <c r="S4" s="341">
        <f t="shared" si="0"/>
        <v>2035</v>
      </c>
      <c r="T4" s="341">
        <f t="shared" si="0"/>
        <v>2036</v>
      </c>
      <c r="U4" s="341">
        <f t="shared" si="0"/>
        <v>2037</v>
      </c>
      <c r="V4" s="341">
        <f t="shared" si="0"/>
        <v>2038</v>
      </c>
      <c r="W4" s="341">
        <f t="shared" si="0"/>
        <v>2039</v>
      </c>
      <c r="X4" s="341">
        <f t="shared" si="0"/>
        <v>2040</v>
      </c>
      <c r="Y4" s="341">
        <f t="shared" si="0"/>
        <v>2041</v>
      </c>
      <c r="Z4" s="341">
        <f t="shared" si="0"/>
        <v>2042</v>
      </c>
      <c r="AA4" s="341">
        <f t="shared" si="0"/>
        <v>2043</v>
      </c>
      <c r="AB4" s="341">
        <f t="shared" si="0"/>
        <v>2044</v>
      </c>
      <c r="AC4" s="341">
        <f t="shared" si="0"/>
        <v>2045</v>
      </c>
      <c r="AD4" s="341">
        <f t="shared" si="0"/>
        <v>2046</v>
      </c>
      <c r="AE4" s="341">
        <f t="shared" si="0"/>
        <v>2047</v>
      </c>
      <c r="AF4" s="342">
        <f t="shared" si="0"/>
        <v>2048</v>
      </c>
      <c r="AG4" s="640"/>
      <c r="AH4" s="11"/>
      <c r="AI4" s="11"/>
      <c r="AJ4" s="11"/>
      <c r="AK4" s="11"/>
      <c r="AL4" s="11"/>
      <c r="AM4" s="11"/>
      <c r="AN4" s="11"/>
    </row>
    <row r="5" spans="1:40">
      <c r="A5" s="985" t="s">
        <v>393</v>
      </c>
      <c r="B5" s="331">
        <v>1</v>
      </c>
      <c r="C5" s="337" t="s">
        <v>394</v>
      </c>
      <c r="D5" s="348">
        <f>'Fin. Data'!D6</f>
        <v>9.2061059704131587E-2</v>
      </c>
      <c r="E5" s="352">
        <f t="shared" ref="E5:AF5" si="1">+E6/D6-1</f>
        <v>0.17490900150514799</v>
      </c>
      <c r="F5" s="399">
        <f>+F6/E6-1</f>
        <v>0.15834817714580285</v>
      </c>
      <c r="G5" s="414">
        <f>+G6/F6-1</f>
        <v>6.2000000000000055E-2</v>
      </c>
      <c r="H5" s="415">
        <f ca="1">+H6/G6-1</f>
        <v>5.0000000000000044E-2</v>
      </c>
      <c r="I5" s="415">
        <f ca="1">+I6/H6-1</f>
        <v>7.0178784829539875E-2</v>
      </c>
      <c r="J5" s="416">
        <f ca="1">+J6/I6-1</f>
        <v>5.008939241476984E-2</v>
      </c>
      <c r="K5" s="414">
        <f t="shared" ca="1" si="1"/>
        <v>3.0000000000000027E-2</v>
      </c>
      <c r="L5" s="415">
        <f t="shared" ca="1" si="1"/>
        <v>6.3846173319064281E-2</v>
      </c>
      <c r="M5" s="415">
        <f t="shared" ca="1" si="1"/>
        <v>5.5384629989298162E-2</v>
      </c>
      <c r="N5" s="415">
        <f t="shared" ca="1" si="1"/>
        <v>4.9038472491973684E-2</v>
      </c>
      <c r="O5" s="415">
        <f t="shared" ca="1" si="1"/>
        <v>4.4278854368980269E-2</v>
      </c>
      <c r="P5" s="415">
        <f t="shared" ca="1" si="1"/>
        <v>3.0000000000000027E-2</v>
      </c>
      <c r="Q5" s="415">
        <f t="shared" ca="1" si="1"/>
        <v>3.1846173319064253E-2</v>
      </c>
      <c r="R5" s="415">
        <f t="shared" ca="1" si="1"/>
        <v>3.1384629989298141E-2</v>
      </c>
      <c r="S5" s="415">
        <f t="shared" ca="1" si="1"/>
        <v>3.1038472491973668E-2</v>
      </c>
      <c r="T5" s="415">
        <f t="shared" ca="1" si="1"/>
        <v>3.0778854368980202E-2</v>
      </c>
      <c r="U5" s="415">
        <f t="shared" ca="1" si="1"/>
        <v>3.0000000000000027E-2</v>
      </c>
      <c r="V5" s="415">
        <f t="shared" ca="1" si="1"/>
        <v>6.2000000000000055E-2</v>
      </c>
      <c r="W5" s="415">
        <f t="shared" ca="1" si="1"/>
        <v>5.4000000000000048E-2</v>
      </c>
      <c r="X5" s="415">
        <f t="shared" ca="1" si="1"/>
        <v>4.8000000000000043E-2</v>
      </c>
      <c r="Y5" s="415">
        <f t="shared" ca="1" si="1"/>
        <v>4.3500000000000094E-2</v>
      </c>
      <c r="Z5" s="415">
        <f t="shared" ca="1" si="1"/>
        <v>3.0000000000000027E-2</v>
      </c>
      <c r="AA5" s="415">
        <f t="shared" ca="1" si="1"/>
        <v>6.0153826680935829E-2</v>
      </c>
      <c r="AB5" s="415">
        <f t="shared" ca="1" si="1"/>
        <v>5.2615370010701934E-2</v>
      </c>
      <c r="AC5" s="415">
        <f t="shared" ca="1" si="1"/>
        <v>4.6961527508026402E-2</v>
      </c>
      <c r="AD5" s="415">
        <f t="shared" ca="1" si="1"/>
        <v>4.2721145631019697E-2</v>
      </c>
      <c r="AE5" s="415">
        <f t="shared" ca="1" si="1"/>
        <v>3.0000000000000027E-2</v>
      </c>
      <c r="AF5" s="416">
        <f t="shared" ca="1" si="1"/>
        <v>3.1846173319064253E-2</v>
      </c>
      <c r="AG5" s="508"/>
      <c r="AH5" s="11"/>
      <c r="AI5" s="11"/>
      <c r="AJ5" s="11"/>
      <c r="AK5" s="11"/>
      <c r="AL5" s="11"/>
      <c r="AM5" s="11"/>
      <c r="AN5" s="11"/>
    </row>
    <row r="6" spans="1:40" ht="15">
      <c r="A6" s="985"/>
      <c r="B6" s="331">
        <v>2</v>
      </c>
      <c r="C6" s="325" t="s">
        <v>395</v>
      </c>
      <c r="D6" s="353">
        <f>'Fin. Data'!D5</f>
        <v>166761</v>
      </c>
      <c r="E6" s="349">
        <f>'Fin. Data'!C5</f>
        <v>195929</v>
      </c>
      <c r="F6" s="400">
        <f>'Fin. Data'!B5</f>
        <v>226954</v>
      </c>
      <c r="G6" s="407">
        <f>'Assumptions '!I23</f>
        <v>241025.14800000002</v>
      </c>
      <c r="H6" s="407">
        <f ca="1">'Assumptions '!J23</f>
        <v>253076.40540000002</v>
      </c>
      <c r="I6" s="407">
        <f>'Assumptions '!K23</f>
        <v>270837</v>
      </c>
      <c r="J6" s="407">
        <f ca="1">'Assumptions '!L23</f>
        <v>284403.06077343901</v>
      </c>
      <c r="K6" s="407">
        <f ca="1">'Assumptions '!M23</f>
        <v>292935.15259664221</v>
      </c>
      <c r="L6" s="407">
        <f ca="1">'Assumptions '!N23</f>
        <v>311637.94112057396</v>
      </c>
      <c r="M6" s="407">
        <f ca="1">'Assumptions '!O23</f>
        <v>328897.89318016364</v>
      </c>
      <c r="N6" s="407">
        <f ca="1">'Assumptions '!P23</f>
        <v>345026.54346754716</v>
      </c>
      <c r="O6" s="407">
        <f ca="1">'Assumptions '!Q23</f>
        <v>360303.92353917932</v>
      </c>
      <c r="P6" s="407">
        <f ca="1">'Assumptions '!R23</f>
        <v>371113.04124535469</v>
      </c>
      <c r="Q6" s="407">
        <f ca="1">'Assumptions '!S23</f>
        <v>382931.57147781929</v>
      </c>
      <c r="R6" s="407">
        <f ca="1">'Assumptions '!T23</f>
        <v>394949.73715987115</v>
      </c>
      <c r="S6" s="407">
        <f ca="1">'Assumptions '!U23</f>
        <v>407208.37371242006</v>
      </c>
      <c r="T6" s="407">
        <f ca="1">'Assumptions '!V23</f>
        <v>419741.78094474389</v>
      </c>
      <c r="U6" s="407">
        <f ca="1">'Assumptions '!W23</f>
        <v>432334.03437308624</v>
      </c>
      <c r="V6" s="407">
        <f ca="1">'Assumptions '!X23</f>
        <v>459138.74450421758</v>
      </c>
      <c r="W6" s="407">
        <f ca="1">'Assumptions '!Y23</f>
        <v>483932.23670744535</v>
      </c>
      <c r="X6" s="407">
        <f ca="1">'Assumptions '!Z23</f>
        <v>507160.98406940274</v>
      </c>
      <c r="Y6" s="407">
        <f ca="1">'Assumptions '!AA23</f>
        <v>529222.48687642184</v>
      </c>
      <c r="Z6" s="407">
        <f ca="1">'Assumptions '!AB23</f>
        <v>545099.16148271447</v>
      </c>
      <c r="AA6" s="407">
        <f ca="1">'Assumptions '!AC23</f>
        <v>577888.96196646907</v>
      </c>
      <c r="AB6" s="407">
        <f ca="1">'Assumptions '!AD23</f>
        <v>608294.80352543527</v>
      </c>
      <c r="AC6" s="407">
        <f ca="1">'Assumptions '!AE23</f>
        <v>636861.25667418446</v>
      </c>
      <c r="AD6" s="407">
        <f ca="1">'Assumptions '!AF23</f>
        <v>664068.69916731655</v>
      </c>
      <c r="AE6" s="407">
        <f ca="1">'Assumptions '!AG23</f>
        <v>683990.76014233602</v>
      </c>
      <c r="AF6" s="407">
        <f ca="1">'Assumptions '!AH23</f>
        <v>705773.24843846739</v>
      </c>
      <c r="AH6" s="11"/>
      <c r="AI6" s="11"/>
      <c r="AJ6" s="11"/>
      <c r="AK6" s="11"/>
      <c r="AL6" s="11"/>
      <c r="AM6" s="11"/>
      <c r="AN6" s="11"/>
    </row>
    <row r="7" spans="1:40">
      <c r="A7" s="985"/>
      <c r="B7" s="331">
        <v>3</v>
      </c>
      <c r="C7" s="109" t="s">
        <v>396</v>
      </c>
      <c r="D7" s="395">
        <f>D8/D6</f>
        <v>3.259155318089961E-2</v>
      </c>
      <c r="E7" s="392">
        <f>E8/E6</f>
        <v>3.4236891935343926E-2</v>
      </c>
      <c r="F7" s="401">
        <f>F8/F6</f>
        <v>3.4337354706240032E-2</v>
      </c>
      <c r="G7" s="417">
        <f>'Assumptions '!I36</f>
        <v>2.6341649627365852E-2</v>
      </c>
      <c r="H7" s="417">
        <f ca="1">'Assumptions '!J36</f>
        <v>2.7126195305127405E-2</v>
      </c>
      <c r="I7" s="417">
        <f>'Assumptions '!K36</f>
        <v>2.7570088281881722E-2</v>
      </c>
      <c r="J7" s="417">
        <f ca="1">'Assumptions '!L36</f>
        <v>2.729136634333669E-2</v>
      </c>
      <c r="K7" s="417">
        <f ca="1">'Assumptions '!M36</f>
        <v>2.7012644404791661E-2</v>
      </c>
      <c r="L7" s="417">
        <f ca="1">'Assumptions '!N36</f>
        <v>3.0475821477694277E-2</v>
      </c>
      <c r="M7" s="417">
        <f ca="1">'Assumptions '!O36</f>
        <v>2.643685609358213E-2</v>
      </c>
      <c r="N7" s="417">
        <f ca="1">'Assumptions '!P36</f>
        <v>2.3407632055498017E-2</v>
      </c>
      <c r="O7" s="417">
        <f ca="1">'Assumptions '!Q36</f>
        <v>2.1135714026934933E-2</v>
      </c>
      <c r="P7" s="417">
        <f ca="1">'Assumptions '!R36</f>
        <v>1.4319959941245684E-2</v>
      </c>
      <c r="Q7" s="417">
        <f ca="1">'Assumptions '!S36</f>
        <v>1.845413179157411E-2</v>
      </c>
      <c r="R7" s="417">
        <f ca="1">'Assumptions '!T36</f>
        <v>2.1340598843680583E-2</v>
      </c>
      <c r="S7" s="417">
        <f ca="1">'Assumptions '!U36</f>
        <v>2.3505449132760436E-2</v>
      </c>
      <c r="T7" s="417">
        <f ca="1">'Assumptions '!V36</f>
        <v>2.5129086849570326E-2</v>
      </c>
      <c r="U7" s="417">
        <f ca="1">'Assumptions '!W36</f>
        <v>1.7384316420076922E-2</v>
      </c>
      <c r="V7" s="417">
        <f ca="1">'Assumptions '!X36</f>
        <v>2.9406006106197088E-2</v>
      </c>
      <c r="W7" s="417">
        <f ca="1">'Assumptions '!Y36</f>
        <v>2.9554504579647815E-2</v>
      </c>
      <c r="X7" s="417">
        <f ca="1">'Assumptions '!Z36</f>
        <v>2.9665878434735862E-2</v>
      </c>
      <c r="Y7" s="417">
        <f ca="1">'Assumptions '!AA36</f>
        <v>2.9749408826051895E-2</v>
      </c>
      <c r="Z7" s="417">
        <f ca="1">'Assumptions '!AB36</f>
        <v>1.4228712632030849E-2</v>
      </c>
      <c r="AA7" s="417">
        <f ca="1">'Assumptions '!AC36</f>
        <v>2.5180586946653826E-2</v>
      </c>
      <c r="AB7" s="417">
        <f ca="1">'Assumptions '!AD36</f>
        <v>2.6385440209990368E-2</v>
      </c>
      <c r="AC7" s="417">
        <f ca="1">'Assumptions '!AE36</f>
        <v>2.7289080157492776E-2</v>
      </c>
      <c r="AD7" s="417">
        <f ca="1">'Assumptions '!AF36</f>
        <v>2.7966810118119582E-2</v>
      </c>
      <c r="AE7" s="417">
        <f ca="1">'Assumptions '!AG36</f>
        <v>1.2558097299552597E-2</v>
      </c>
      <c r="AF7" s="417">
        <f ca="1">'Assumptions '!AH36</f>
        <v>1.6783516459095857E-2</v>
      </c>
      <c r="AH7" s="11"/>
      <c r="AI7" s="11"/>
      <c r="AJ7" s="11"/>
      <c r="AK7" s="11"/>
      <c r="AL7" s="11"/>
      <c r="AM7" s="11"/>
      <c r="AN7" s="11"/>
    </row>
    <row r="8" spans="1:40" ht="15">
      <c r="A8" s="985"/>
      <c r="B8" s="331">
        <v>4</v>
      </c>
      <c r="C8" s="307" t="s">
        <v>61</v>
      </c>
      <c r="D8" s="396">
        <f>'Fin. Data'!D11</f>
        <v>5435</v>
      </c>
      <c r="E8" s="393">
        <f>'Fin. Data'!C11</f>
        <v>6708</v>
      </c>
      <c r="F8" s="402">
        <f>'Fin. Data'!B11</f>
        <v>7793</v>
      </c>
      <c r="G8" s="407">
        <f>G6*G7</f>
        <v>6349</v>
      </c>
      <c r="H8" s="407">
        <f t="shared" ref="H8:AF8" ca="1" si="2">H6*H7</f>
        <v>6865</v>
      </c>
      <c r="I8" s="407">
        <f t="shared" si="2"/>
        <v>7467</v>
      </c>
      <c r="J8" s="407">
        <f t="shared" ca="1" si="2"/>
        <v>7761.7481207341725</v>
      </c>
      <c r="K8" s="407">
        <f t="shared" ca="1" si="2"/>
        <v>7912.9531107564781</v>
      </c>
      <c r="L8" s="407">
        <f t="shared" ca="1" si="2"/>
        <v>9497.422259266812</v>
      </c>
      <c r="M8" s="407">
        <f t="shared" ca="1" si="2"/>
        <v>8695.0262714863329</v>
      </c>
      <c r="N8" s="407">
        <f t="shared" ca="1" si="2"/>
        <v>8076.2543788686371</v>
      </c>
      <c r="O8" s="407">
        <f t="shared" ca="1" si="2"/>
        <v>7615.2806907067243</v>
      </c>
      <c r="P8" s="407">
        <f t="shared" ca="1" si="2"/>
        <v>5314.3238843073368</v>
      </c>
      <c r="Q8" s="407">
        <f t="shared" ca="1" si="2"/>
        <v>7066.6696872062585</v>
      </c>
      <c r="R8" s="407">
        <f t="shared" ca="1" si="2"/>
        <v>8428.4639041458959</v>
      </c>
      <c r="S8" s="407">
        <f t="shared" ca="1" si="2"/>
        <v>9571.6157147313916</v>
      </c>
      <c r="T8" s="407">
        <f t="shared" ca="1" si="2"/>
        <v>10547.727667753792</v>
      </c>
      <c r="U8" s="407">
        <f t="shared" ca="1" si="2"/>
        <v>7515.8316527101433</v>
      </c>
      <c r="V8" s="407">
        <f t="shared" ca="1" si="2"/>
        <v>13501.436724482686</v>
      </c>
      <c r="W8" s="407">
        <f t="shared" ca="1" si="2"/>
        <v>14302.377506009403</v>
      </c>
      <c r="X8" s="407">
        <f t="shared" ca="1" si="2"/>
        <v>15045.376100243913</v>
      </c>
      <c r="Y8" s="407">
        <f t="shared" ca="1" si="2"/>
        <v>15744.056122026557</v>
      </c>
      <c r="Z8" s="407">
        <f t="shared" ca="1" si="2"/>
        <v>7756.0593246985227</v>
      </c>
      <c r="AA8" s="407">
        <f t="shared" ca="1" si="2"/>
        <v>14551.583252308201</v>
      </c>
      <c r="AB8" s="407">
        <f t="shared" ca="1" si="2"/>
        <v>16050.12616846821</v>
      </c>
      <c r="AC8" s="407">
        <f t="shared" ca="1" si="2"/>
        <v>17379.357882583401</v>
      </c>
      <c r="AD8" s="407">
        <f t="shared" ca="1" si="2"/>
        <v>18571.883214999016</v>
      </c>
      <c r="AE8" s="407">
        <f ca="1">AE6*AE7</f>
        <v>8589.6225178623972</v>
      </c>
      <c r="AF8" s="407">
        <f t="shared" ca="1" si="2"/>
        <v>11845.356931556567</v>
      </c>
      <c r="AH8" s="7"/>
      <c r="AI8" s="7"/>
      <c r="AJ8" s="7"/>
      <c r="AK8" s="11"/>
      <c r="AL8" s="11"/>
      <c r="AM8" s="11"/>
      <c r="AN8" s="11"/>
    </row>
    <row r="9" spans="1:40" ht="15">
      <c r="A9" s="985"/>
      <c r="B9" s="331" t="s">
        <v>397</v>
      </c>
      <c r="C9" s="325" t="s">
        <v>398</v>
      </c>
      <c r="D9" s="611">
        <v>-1900</v>
      </c>
      <c r="E9" s="612">
        <v>-1781</v>
      </c>
      <c r="F9" s="613">
        <v>-1645</v>
      </c>
      <c r="G9" s="614">
        <f>-'Assumptions '!I57</f>
        <v>-2277.5339060655378</v>
      </c>
      <c r="H9" s="614">
        <f ca="1">-'Assumptions '!J57</f>
        <v>-2391.4106013688147</v>
      </c>
      <c r="I9" s="614">
        <f>-'Assumptions '!K57</f>
        <v>-2559.2368914013568</v>
      </c>
      <c r="J9" s="614">
        <f ca="1">-'Assumptions '!L57</f>
        <v>-2687.4275123371153</v>
      </c>
      <c r="K9" s="614">
        <f ca="1">-'Assumptions '!M57</f>
        <v>-2768.0503377072291</v>
      </c>
      <c r="L9" s="614">
        <f ca="1">-'Assumptions '!N57</f>
        <v>-2793.2233958430056</v>
      </c>
      <c r="M9" s="614">
        <f ca="1">-'Assumptions '!O57</f>
        <v>-2818.6253814831975</v>
      </c>
      <c r="N9" s="614">
        <f ca="1">-'Assumptions '!P57</f>
        <v>-2844.258376528303</v>
      </c>
      <c r="O9" s="614">
        <f ca="1">-'Assumptions '!Q57</f>
        <v>-2870.1244818119308</v>
      </c>
      <c r="P9" s="614">
        <f ca="1">-'Assumptions '!R57</f>
        <v>-2896.2258172729803</v>
      </c>
      <c r="Q9" s="614">
        <f ca="1">-'Assumptions '!S57</f>
        <v>-2921.5744137543311</v>
      </c>
      <c r="R9" s="614">
        <f ca="1">-'Assumptions '!T57</f>
        <v>-2947.1448684001048</v>
      </c>
      <c r="S9" s="614">
        <f ca="1">-'Assumptions '!U57</f>
        <v>-2972.9391229763933</v>
      </c>
      <c r="T9" s="614">
        <f ca="1">-'Assumptions '!V57</f>
        <v>-2998.9591362441802</v>
      </c>
      <c r="U9" s="614">
        <f ca="1">-'Assumptions '!W57</f>
        <v>-3025.2068841080854</v>
      </c>
      <c r="V9" s="614">
        <f ca="1">-'Assumptions '!X57</f>
        <v>-3050.6890348048173</v>
      </c>
      <c r="W9" s="614">
        <f ca="1">-'Assumptions '!Y57</f>
        <v>-3076.3858286743989</v>
      </c>
      <c r="X9" s="614">
        <f ca="1">-'Assumptions '!Z57</f>
        <v>-3102.2990737153855</v>
      </c>
      <c r="Y9" s="614">
        <f ca="1">-'Assumptions '!AA57</f>
        <v>-3128.4305931556023</v>
      </c>
      <c r="Z9" s="614">
        <f ca="1">-'Assumptions '!AB57</f>
        <v>-3154.7822255804244</v>
      </c>
      <c r="AA9" s="614">
        <f ca="1">-'Assumptions '!AC57</f>
        <v>-3180.3568866729624</v>
      </c>
      <c r="AB9" s="614">
        <f ca="1">-'Assumptions '!AD57</f>
        <v>-3206.1388721521712</v>
      </c>
      <c r="AC9" s="614">
        <f ca="1">-'Assumptions '!AE57</f>
        <v>-3232.1298627207257</v>
      </c>
      <c r="AD9" s="614">
        <f ca="1">-'Assumptions '!AF57</f>
        <v>-3258.33155270614</v>
      </c>
      <c r="AE9" s="614">
        <f ca="1">-'Assumptions '!AG57</f>
        <v>-3284.7456501712199</v>
      </c>
      <c r="AF9" s="614">
        <f ca="1">-'Assumptions '!AH57</f>
        <v>-3310.3728851176834</v>
      </c>
      <c r="AH9" s="7"/>
      <c r="AI9" s="7"/>
      <c r="AJ9" s="7"/>
      <c r="AK9" s="11"/>
      <c r="AL9" s="11"/>
      <c r="AM9" s="11"/>
      <c r="AN9" s="11"/>
    </row>
    <row r="10" spans="1:40" ht="15">
      <c r="A10" s="985"/>
      <c r="B10" s="331" t="s">
        <v>399</v>
      </c>
      <c r="C10" s="325" t="s">
        <v>400</v>
      </c>
      <c r="D10" s="611">
        <v>0</v>
      </c>
      <c r="E10" s="612">
        <v>0</v>
      </c>
      <c r="F10" s="613">
        <v>0</v>
      </c>
      <c r="G10" s="614">
        <f>F38*(-$D$54)</f>
        <v>-9.3832165958179559</v>
      </c>
      <c r="H10" s="614">
        <f t="shared" ref="H10:AF10" si="3">G38*(-$D$54)</f>
        <v>-9.4718820073829448</v>
      </c>
      <c r="I10" s="614">
        <f t="shared" si="3"/>
        <v>-9.5613852505302805</v>
      </c>
      <c r="J10" s="614">
        <f t="shared" si="3"/>
        <v>-9.6517342422339922</v>
      </c>
      <c r="K10" s="614">
        <f t="shared" si="3"/>
        <v>-9.7429369742784573</v>
      </c>
      <c r="L10" s="614">
        <f t="shared" si="3"/>
        <v>-9.8350015139653237</v>
      </c>
      <c r="M10" s="614">
        <f t="shared" si="3"/>
        <v>-9.9279360048270906</v>
      </c>
      <c r="N10" s="614">
        <f t="shared" si="3"/>
        <v>-10.021748667347447</v>
      </c>
      <c r="O10" s="614">
        <f t="shared" si="3"/>
        <v>-10.116447799688405</v>
      </c>
      <c r="P10" s="614">
        <f t="shared" si="3"/>
        <v>-10.212041778424318</v>
      </c>
      <c r="Q10" s="614">
        <f t="shared" si="3"/>
        <v>-10.308539059282824</v>
      </c>
      <c r="R10" s="614">
        <f t="shared" si="3"/>
        <v>-10.405948177892794</v>
      </c>
      <c r="S10" s="614">
        <f t="shared" si="3"/>
        <v>-10.504277750539345</v>
      </c>
      <c r="T10" s="614">
        <f t="shared" si="3"/>
        <v>-10.603536474925994</v>
      </c>
      <c r="U10" s="614">
        <f t="shared" si="3"/>
        <v>-10.703733130944006</v>
      </c>
      <c r="V10" s="614">
        <f t="shared" si="3"/>
        <v>-10.804876581449022</v>
      </c>
      <c r="W10" s="614">
        <f t="shared" si="3"/>
        <v>-10.90697577304501</v>
      </c>
      <c r="X10" s="614">
        <f t="shared" si="3"/>
        <v>-11.010039736875644</v>
      </c>
      <c r="Y10" s="614">
        <f t="shared" si="3"/>
        <v>-11.114077589423143</v>
      </c>
      <c r="Z10" s="614">
        <f t="shared" si="3"/>
        <v>-11.219098533314668</v>
      </c>
      <c r="AA10" s="614">
        <f t="shared" si="3"/>
        <v>-11.325111858136335</v>
      </c>
      <c r="AB10" s="614">
        <f t="shared" si="3"/>
        <v>-11.432126941254925</v>
      </c>
      <c r="AC10" s="614">
        <f t="shared" si="3"/>
        <v>-11.540153248647352</v>
      </c>
      <c r="AD10" s="614">
        <f t="shared" si="3"/>
        <v>-11.649200335737977</v>
      </c>
      <c r="AE10" s="614">
        <f t="shared" si="3"/>
        <v>-11.759277848243823</v>
      </c>
      <c r="AF10" s="614">
        <f t="shared" si="3"/>
        <v>-11.870395523027785</v>
      </c>
      <c r="AH10" s="7"/>
      <c r="AI10" s="7"/>
      <c r="AJ10" s="7"/>
      <c r="AK10" s="11"/>
      <c r="AL10" s="11"/>
      <c r="AM10" s="11"/>
      <c r="AN10" s="11"/>
    </row>
    <row r="11" spans="1:40" ht="15">
      <c r="A11" s="985"/>
      <c r="B11" s="331" t="s">
        <v>401</v>
      </c>
      <c r="C11" s="325" t="s">
        <v>402</v>
      </c>
      <c r="D11" s="611">
        <f>-D20</f>
        <v>-619</v>
      </c>
      <c r="E11" s="611">
        <f>-E20</f>
        <v>-665</v>
      </c>
      <c r="F11" s="611">
        <f t="shared" ref="F11" si="4">-F20</f>
        <v>-724</v>
      </c>
      <c r="G11" s="614">
        <f>-'Assumptions '!I82</f>
        <v>-869.37632163221031</v>
      </c>
      <c r="H11" s="614">
        <f ca="1">-'Assumptions '!J82</f>
        <v>-912.84513771382092</v>
      </c>
      <c r="I11" s="614">
        <f>-'Assumptions '!K82</f>
        <v>-976.90750021613076</v>
      </c>
      <c r="J11" s="614">
        <f ca="1">-'Assumptions '!L82</f>
        <v>-1025.8402033473883</v>
      </c>
      <c r="K11" s="614">
        <f ca="1">-'Assumptions '!M82</f>
        <v>-1056.61540944781</v>
      </c>
      <c r="L11" s="614">
        <f ca="1">-'Assumptions '!N82</f>
        <v>-1060.4266151484103</v>
      </c>
      <c r="M11" s="614">
        <f ca="1">-'Assumptions '!O82</f>
        <v>-1064.2515678460377</v>
      </c>
      <c r="N11" s="614">
        <f ca="1">-'Assumptions '!P82</f>
        <v>-1068.0903171260311</v>
      </c>
      <c r="O11" s="614">
        <f ca="1">-'Assumptions '!Q82</f>
        <v>-1071.9429127525837</v>
      </c>
      <c r="P11" s="614">
        <f ca="1">-'Assumptions '!R82</f>
        <v>-1075.809404669388</v>
      </c>
      <c r="Q11" s="614">
        <f ca="1">-'Assumptions '!S82</f>
        <v>-1079.6898430002827</v>
      </c>
      <c r="R11" s="614">
        <f ca="1">-'Assumptions '!T82</f>
        <v>-1083.5842780499036</v>
      </c>
      <c r="S11" s="614">
        <f ca="1">-'Assumptions '!U82</f>
        <v>-1087.4927603043341</v>
      </c>
      <c r="T11" s="614">
        <f ca="1">-'Assumptions '!V82</f>
        <v>-1091.4153404317615</v>
      </c>
      <c r="U11" s="614">
        <f ca="1">-'Assumptions '!W82</f>
        <v>-1095.3520692831323</v>
      </c>
      <c r="V11" s="614">
        <f ca="1">-'Assumptions '!X82</f>
        <v>-1099.3029978928125</v>
      </c>
      <c r="W11" s="614">
        <f ca="1">-'Assumptions '!Y82</f>
        <v>-1103.2681774792486</v>
      </c>
      <c r="X11" s="614">
        <f ca="1">-'Assumptions '!Z82</f>
        <v>-1107.2476594456316</v>
      </c>
      <c r="Y11" s="614">
        <f ca="1">-'Assumptions '!AA82</f>
        <v>-1111.2414953805637</v>
      </c>
      <c r="Z11" s="614">
        <f ca="1">-'Assumptions '!AB82</f>
        <v>-1115.2497370587269</v>
      </c>
      <c r="AA11" s="614">
        <f ca="1">-'Assumptions '!AC82</f>
        <v>-1119.272436441554</v>
      </c>
      <c r="AB11" s="614">
        <f ca="1">-'Assumptions '!AD82</f>
        <v>-1123.3096456779026</v>
      </c>
      <c r="AC11" s="614">
        <f ca="1">-'Assumptions '!AE82</f>
        <v>-1127.3614171047309</v>
      </c>
      <c r="AD11" s="614">
        <f ca="1">-'Assumptions '!AF82</f>
        <v>-1131.427803247776</v>
      </c>
      <c r="AE11" s="614">
        <f ca="1">-'Assumptions '!AG82</f>
        <v>-1135.5088568222352</v>
      </c>
      <c r="AF11" s="614">
        <f ca="1">-'Assumptions '!AH82</f>
        <v>-1139.6046307334493</v>
      </c>
      <c r="AH11" s="7"/>
      <c r="AI11" s="7"/>
      <c r="AJ11" s="7"/>
      <c r="AK11" s="11"/>
      <c r="AL11" s="11"/>
      <c r="AM11" s="11"/>
      <c r="AN11" s="11"/>
    </row>
    <row r="12" spans="1:40" ht="15">
      <c r="A12" s="985"/>
      <c r="B12" s="331">
        <v>6</v>
      </c>
      <c r="C12" s="307" t="s">
        <v>52</v>
      </c>
      <c r="D12" s="396">
        <f>D8-D9-D10</f>
        <v>7335</v>
      </c>
      <c r="E12" s="396">
        <f t="shared" ref="E12" si="5">E8-E9-E10</f>
        <v>8489</v>
      </c>
      <c r="F12" s="396">
        <f>F8-F9-F10</f>
        <v>9438</v>
      </c>
      <c r="G12" s="418">
        <f>G8-G9-G10</f>
        <v>8635.9171226613562</v>
      </c>
      <c r="H12" s="419">
        <f t="shared" ref="H12:AF12" ca="1" si="6">H8-H9-H10</f>
        <v>9265.8824833761973</v>
      </c>
      <c r="I12" s="419">
        <f t="shared" si="6"/>
        <v>10035.798276651887</v>
      </c>
      <c r="J12" s="420">
        <f t="shared" ca="1" si="6"/>
        <v>10458.827367313523</v>
      </c>
      <c r="K12" s="418">
        <f t="shared" ca="1" si="6"/>
        <v>10690.746385437986</v>
      </c>
      <c r="L12" s="419">
        <f t="shared" ca="1" si="6"/>
        <v>12300.480656623784</v>
      </c>
      <c r="M12" s="419">
        <f t="shared" ca="1" si="6"/>
        <v>11523.579588974359</v>
      </c>
      <c r="N12" s="419">
        <f t="shared" ca="1" si="6"/>
        <v>10930.534504064288</v>
      </c>
      <c r="O12" s="419">
        <f t="shared" ca="1" si="6"/>
        <v>10495.521620318343</v>
      </c>
      <c r="P12" s="419">
        <f t="shared" ca="1" si="6"/>
        <v>8220.761743358742</v>
      </c>
      <c r="Q12" s="419">
        <f t="shared" ca="1" si="6"/>
        <v>9998.5526400198723</v>
      </c>
      <c r="R12" s="419">
        <f t="shared" ca="1" si="6"/>
        <v>11386.014720723893</v>
      </c>
      <c r="S12" s="419">
        <f t="shared" ca="1" si="6"/>
        <v>12555.059115458324</v>
      </c>
      <c r="T12" s="419">
        <f t="shared" ca="1" si="6"/>
        <v>13557.290340472899</v>
      </c>
      <c r="U12" s="419">
        <f t="shared" ca="1" si="6"/>
        <v>10551.742269949173</v>
      </c>
      <c r="V12" s="419">
        <f t="shared" ca="1" si="6"/>
        <v>16562.930635868954</v>
      </c>
      <c r="W12" s="419">
        <f t="shared" ca="1" si="6"/>
        <v>17389.670310456848</v>
      </c>
      <c r="X12" s="419">
        <f t="shared" ca="1" si="6"/>
        <v>18158.685213696175</v>
      </c>
      <c r="Y12" s="419">
        <f t="shared" ca="1" si="6"/>
        <v>18883.600792771584</v>
      </c>
      <c r="Z12" s="419">
        <f t="shared" ca="1" si="6"/>
        <v>10922.060648812261</v>
      </c>
      <c r="AA12" s="419">
        <f t="shared" ca="1" si="6"/>
        <v>17743.2652508393</v>
      </c>
      <c r="AB12" s="419">
        <f t="shared" ca="1" si="6"/>
        <v>19267.697167561637</v>
      </c>
      <c r="AC12" s="419">
        <f t="shared" ca="1" si="6"/>
        <v>20623.027898552773</v>
      </c>
      <c r="AD12" s="419">
        <f t="shared" ca="1" si="6"/>
        <v>21841.863968040892</v>
      </c>
      <c r="AE12" s="419">
        <f t="shared" ca="1" si="6"/>
        <v>11886.127445881861</v>
      </c>
      <c r="AF12" s="420">
        <f t="shared" ca="1" si="6"/>
        <v>15167.60021219728</v>
      </c>
      <c r="AH12" s="7"/>
      <c r="AI12" s="7"/>
      <c r="AJ12" s="7"/>
      <c r="AK12" s="11"/>
      <c r="AL12" s="11"/>
      <c r="AM12" s="11"/>
      <c r="AN12" s="11"/>
    </row>
    <row r="13" spans="1:40">
      <c r="A13" s="985"/>
      <c r="B13" s="331">
        <v>7</v>
      </c>
      <c r="C13" s="325" t="s">
        <v>403</v>
      </c>
      <c r="D13" s="608">
        <f>-'Fin. Data'!D14</f>
        <v>-71</v>
      </c>
      <c r="E13" s="609">
        <f>-'Fin. Data'!C14</f>
        <v>-130</v>
      </c>
      <c r="F13" s="610">
        <f>-'Fin. Data'!B14</f>
        <v>-97</v>
      </c>
      <c r="G13" s="779">
        <f>F43*$D$58-F44*$D$57</f>
        <v>72.105920000000054</v>
      </c>
      <c r="H13" s="616">
        <f>G43*$D$58-G44*$D$57</f>
        <v>8.7244583083464136</v>
      </c>
      <c r="I13" s="616">
        <f t="shared" ref="I13:J13" ca="1" si="7">H43*$D$58-H44*$D$57</f>
        <v>137.50117705979852</v>
      </c>
      <c r="J13" s="617">
        <f t="shared" ca="1" si="7"/>
        <v>287.81481671149817</v>
      </c>
      <c r="K13" s="615">
        <f ca="1">J43*$E$58-J44*$E$57</f>
        <v>412.14336566583177</v>
      </c>
      <c r="L13" s="616">
        <f ca="1">K43*$E$58-K44*$E$57</f>
        <v>566.88107111221643</v>
      </c>
      <c r="M13" s="616">
        <f t="shared" ref="M13:AF13" ca="1" si="8">L43*$E$58-L44*$E$57</f>
        <v>755.75103192614711</v>
      </c>
      <c r="N13" s="616">
        <f t="shared" ca="1" si="8"/>
        <v>907.21602854439607</v>
      </c>
      <c r="O13" s="616">
        <f t="shared" ca="1" si="8"/>
        <v>1050.7559849791137</v>
      </c>
      <c r="P13" s="616">
        <f t="shared" ca="1" si="8"/>
        <v>1189.3487365028755</v>
      </c>
      <c r="Q13" s="616">
        <f t="shared" ca="1" si="8"/>
        <v>1278.9985858526165</v>
      </c>
      <c r="R13" s="616">
        <f t="shared" ca="1" si="8"/>
        <v>1448.2724921461017</v>
      </c>
      <c r="S13" s="616">
        <f t="shared" ca="1" si="8"/>
        <v>1661.7626764093561</v>
      </c>
      <c r="T13" s="616">
        <f t="shared" ca="1" si="8"/>
        <v>1922.8989110023092</v>
      </c>
      <c r="U13" s="616">
        <f t="shared" ca="1" si="8"/>
        <v>2235.8862290138954</v>
      </c>
      <c r="V13" s="616">
        <f t="shared" ca="1" si="8"/>
        <v>2498.8215457112346</v>
      </c>
      <c r="W13" s="616">
        <f t="shared" ca="1" si="8"/>
        <v>2987.7076732380829</v>
      </c>
      <c r="X13" s="616">
        <f t="shared" ca="1" si="8"/>
        <v>3511.5153923090311</v>
      </c>
      <c r="Y13" s="616">
        <f t="shared" ca="1" si="8"/>
        <v>4123.1706877381175</v>
      </c>
      <c r="Z13" s="616">
        <f t="shared" ca="1" si="8"/>
        <v>4841.4652969269682</v>
      </c>
      <c r="AA13" s="616">
        <f t="shared" ca="1" si="8"/>
        <v>5453.5495850344205</v>
      </c>
      <c r="AB13" s="616">
        <f t="shared" ca="1" si="8"/>
        <v>6442.5457463238408</v>
      </c>
      <c r="AC13" s="616">
        <f t="shared" ca="1" si="8"/>
        <v>7593.912926400697</v>
      </c>
      <c r="AD13" s="616">
        <f t="shared" ca="1" si="8"/>
        <v>8984.2237479721662</v>
      </c>
      <c r="AE13" s="616">
        <f t="shared" ca="1" si="8"/>
        <v>10661.03804555131</v>
      </c>
      <c r="AF13" s="617">
        <f t="shared" ca="1" si="8"/>
        <v>12380.628608571848</v>
      </c>
      <c r="AH13" s="7"/>
      <c r="AI13" s="7"/>
      <c r="AJ13" s="7"/>
      <c r="AK13" s="11"/>
      <c r="AL13" s="11"/>
      <c r="AM13" s="11"/>
      <c r="AN13" s="11"/>
    </row>
    <row r="14" spans="1:40" ht="15">
      <c r="A14" s="985"/>
      <c r="B14" s="331">
        <v>8</v>
      </c>
      <c r="C14" s="325" t="s">
        <v>404</v>
      </c>
      <c r="D14" s="397">
        <f>-160+89-71+7-4</f>
        <v>-139</v>
      </c>
      <c r="E14" s="394">
        <f>-171+41-130+56+46</f>
        <v>-158</v>
      </c>
      <c r="F14" s="404">
        <f>-158+61-97+106+38</f>
        <v>-50</v>
      </c>
      <c r="G14" s="407">
        <f>AVERAGE(D14:F14)*(1+G5)</f>
        <v>-122.83800000000001</v>
      </c>
      <c r="H14" s="405">
        <f ca="1">AVERAGE(E14:G14)*(1+H5)</f>
        <v>-115.79330000000002</v>
      </c>
      <c r="I14" s="405">
        <f t="shared" ref="I14:AF14" ca="1" si="9">AVERAGE(F14:H14)*(1+I5)</f>
        <v>-102.96236463259014</v>
      </c>
      <c r="J14" s="408">
        <f t="shared" ca="1" si="9"/>
        <v>-119.56796124892375</v>
      </c>
      <c r="K14" s="407">
        <f ca="1">AVERAGE(H14:J14)*(1+K5)</f>
        <v>-116.15777821931977</v>
      </c>
      <c r="L14" s="405">
        <f t="shared" ca="1" si="9"/>
        <v>-120.10401449878692</v>
      </c>
      <c r="M14" s="405">
        <f t="shared" ca="1" si="9"/>
        <v>-125.17908440989248</v>
      </c>
      <c r="N14" s="405">
        <f t="shared" ca="1" si="9"/>
        <v>-126.38846187950513</v>
      </c>
      <c r="O14" s="405">
        <f t="shared" ca="1" si="9"/>
        <v>-129.37625056713873</v>
      </c>
      <c r="P14" s="405">
        <f t="shared" ca="1" si="9"/>
        <v>-130.7907035874108</v>
      </c>
      <c r="Q14" s="405">
        <f t="shared" ca="1" si="9"/>
        <v>-132.95524227016605</v>
      </c>
      <c r="R14" s="405">
        <f t="shared" ca="1" si="9"/>
        <v>-135.15339703336184</v>
      </c>
      <c r="S14" s="405">
        <f t="shared" ca="1" si="9"/>
        <v>-137.09352305744181</v>
      </c>
      <c r="T14" s="405">
        <f t="shared" ca="1" si="9"/>
        <v>-139.22460690209127</v>
      </c>
      <c r="U14" s="405">
        <f t="shared" ca="1" si="9"/>
        <v>-141.27189093422726</v>
      </c>
      <c r="V14" s="405">
        <f t="shared" ca="1" si="9"/>
        <v>-147.82686739639118</v>
      </c>
      <c r="W14" s="405">
        <f t="shared" ca="1" si="9"/>
        <v>-150.48427565175868</v>
      </c>
      <c r="X14" s="405">
        <f t="shared" ca="1" si="9"/>
        <v>-153.56100653784375</v>
      </c>
      <c r="Y14" s="405">
        <f t="shared" ca="1" si="9"/>
        <v>-157.17619603099479</v>
      </c>
      <c r="Z14" s="405">
        <f t="shared" ca="1" si="9"/>
        <v>-158.35270752240504</v>
      </c>
      <c r="AA14" s="405">
        <f t="shared" ca="1" si="9"/>
        <v>-165.76915441354933</v>
      </c>
      <c r="AB14" s="405">
        <f t="shared" ca="1" si="9"/>
        <v>-168.87391112410415</v>
      </c>
      <c r="AC14" s="405">
        <f t="shared" ca="1" si="9"/>
        <v>-172.04920253931974</v>
      </c>
      <c r="AD14" s="405">
        <f t="shared" ca="1" si="9"/>
        <v>-176.11291408386708</v>
      </c>
      <c r="AE14" s="405">
        <f t="shared" ca="1" si="9"/>
        <v>-177.51570285990326</v>
      </c>
      <c r="AF14" s="408">
        <f t="shared" ca="1" si="9"/>
        <v>-180.80621547744545</v>
      </c>
      <c r="AG14" s="621"/>
      <c r="AH14" s="7"/>
      <c r="AI14" s="7"/>
      <c r="AJ14" s="7"/>
      <c r="AK14" s="11"/>
      <c r="AL14" s="11"/>
      <c r="AM14" s="11"/>
      <c r="AN14" s="11"/>
    </row>
    <row r="15" spans="1:40" ht="15">
      <c r="A15" s="985"/>
      <c r="B15" s="331">
        <v>9</v>
      </c>
      <c r="C15" s="307" t="s">
        <v>405</v>
      </c>
      <c r="D15" s="396">
        <f>D8+D13+D14</f>
        <v>5225</v>
      </c>
      <c r="E15" s="360">
        <f t="shared" ref="E15:AF15" si="10">E8+E13+E14</f>
        <v>6420</v>
      </c>
      <c r="F15" s="403">
        <f t="shared" si="10"/>
        <v>7646</v>
      </c>
      <c r="G15" s="418">
        <f>G8+G13+G14</f>
        <v>6298.2679200000002</v>
      </c>
      <c r="H15" s="419">
        <f t="shared" ca="1" si="10"/>
        <v>6757.9311583083463</v>
      </c>
      <c r="I15" s="419">
        <f t="shared" ca="1" si="10"/>
        <v>7501.5388124272085</v>
      </c>
      <c r="J15" s="420">
        <f t="shared" ca="1" si="10"/>
        <v>7929.9949761967464</v>
      </c>
      <c r="K15" s="418">
        <f t="shared" ca="1" si="10"/>
        <v>8208.9386982029901</v>
      </c>
      <c r="L15" s="419">
        <f ca="1">L8+L13+L14</f>
        <v>9944.1993158802416</v>
      </c>
      <c r="M15" s="419">
        <f t="shared" ca="1" si="10"/>
        <v>9325.5982190025879</v>
      </c>
      <c r="N15" s="419">
        <f t="shared" ca="1" si="10"/>
        <v>8857.0819455335277</v>
      </c>
      <c r="O15" s="419">
        <f t="shared" ca="1" si="10"/>
        <v>8536.6604251187</v>
      </c>
      <c r="P15" s="419">
        <f t="shared" ca="1" si="10"/>
        <v>6372.8819172228013</v>
      </c>
      <c r="Q15" s="419">
        <f t="shared" ca="1" si="10"/>
        <v>8212.7130307887091</v>
      </c>
      <c r="R15" s="419">
        <f t="shared" ca="1" si="10"/>
        <v>9741.582999258635</v>
      </c>
      <c r="S15" s="419">
        <f t="shared" ca="1" si="10"/>
        <v>11096.284868083307</v>
      </c>
      <c r="T15" s="419">
        <f t="shared" ca="1" si="10"/>
        <v>12331.401971854009</v>
      </c>
      <c r="U15" s="419">
        <f t="shared" ca="1" si="10"/>
        <v>9610.4459907898108</v>
      </c>
      <c r="V15" s="419">
        <f t="shared" ca="1" si="10"/>
        <v>15852.431402797531</v>
      </c>
      <c r="W15" s="419">
        <f t="shared" ca="1" si="10"/>
        <v>17139.600903595729</v>
      </c>
      <c r="X15" s="419">
        <f t="shared" ca="1" si="10"/>
        <v>18403.330486015104</v>
      </c>
      <c r="Y15" s="419">
        <f t="shared" ca="1" si="10"/>
        <v>19710.050613733678</v>
      </c>
      <c r="Z15" s="419">
        <f t="shared" ca="1" si="10"/>
        <v>12439.171914103086</v>
      </c>
      <c r="AA15" s="419">
        <f t="shared" ca="1" si="10"/>
        <v>19839.363682929074</v>
      </c>
      <c r="AB15" s="419">
        <f t="shared" ca="1" si="10"/>
        <v>22323.798003667947</v>
      </c>
      <c r="AC15" s="419">
        <f t="shared" ca="1" si="10"/>
        <v>24801.221606444775</v>
      </c>
      <c r="AD15" s="419">
        <f t="shared" ca="1" si="10"/>
        <v>27379.994048887314</v>
      </c>
      <c r="AE15" s="419">
        <f t="shared" ca="1" si="10"/>
        <v>19073.144860553806</v>
      </c>
      <c r="AF15" s="420">
        <f t="shared" ca="1" si="10"/>
        <v>24045.17932465097</v>
      </c>
      <c r="AG15" s="621"/>
      <c r="AH15" s="7"/>
      <c r="AI15" s="7"/>
      <c r="AJ15" s="7"/>
      <c r="AK15" s="11"/>
      <c r="AL15" s="11"/>
      <c r="AM15" s="11"/>
      <c r="AN15" s="11"/>
    </row>
    <row r="16" spans="1:40" ht="15">
      <c r="A16" s="985"/>
      <c r="B16" s="331">
        <v>10</v>
      </c>
      <c r="C16" s="325" t="s">
        <v>406</v>
      </c>
      <c r="D16" s="605">
        <f>-'Fin. Data'!D21</f>
        <v>-1308</v>
      </c>
      <c r="E16" s="606">
        <f>-'Fin. Data'!C21</f>
        <v>-1601</v>
      </c>
      <c r="F16" s="607">
        <f>-'Fin. Data'!B21</f>
        <v>-1925</v>
      </c>
      <c r="G16" s="777">
        <f>'Assumptions '!I47</f>
        <v>1561.0730054174996</v>
      </c>
      <c r="H16" s="582">
        <f>'Assumptions '!J47</f>
        <v>1687.9455319248914</v>
      </c>
      <c r="I16" s="582">
        <f>'Assumptions '!K47</f>
        <v>1835.9634795168483</v>
      </c>
      <c r="J16" s="582">
        <f ca="1">'Assumptions '!L47</f>
        <v>1886.0694314293298</v>
      </c>
      <c r="K16" s="582">
        <f ca="1">'Assumptions '!M47</f>
        <v>1937.0171543032777</v>
      </c>
      <c r="L16" s="582">
        <f ca="1">'Assumptions '!N47</f>
        <v>2343.790756706966</v>
      </c>
      <c r="M16" s="582">
        <f ca="1">'Assumptions '!O47</f>
        <v>2835.9868156154289</v>
      </c>
      <c r="N16" s="582">
        <f ca="1">'Assumptions '!P47</f>
        <v>3431.544046894669</v>
      </c>
      <c r="O16" s="582">
        <f ca="1">'Assumptions '!Q47</f>
        <v>4152.1682967425495</v>
      </c>
      <c r="P16" s="582">
        <f ca="1">'Assumptions '!R47</f>
        <v>5024.1236390584845</v>
      </c>
      <c r="Q16" s="582">
        <f ca="1">'Assumptions '!S47</f>
        <v>6079.1896032607665</v>
      </c>
      <c r="R16" s="582">
        <f ca="1">'Assumptions '!T47</f>
        <v>7355.8194199455274</v>
      </c>
      <c r="S16" s="582">
        <f ca="1">'Assumptions '!U47</f>
        <v>8900.5414981340873</v>
      </c>
      <c r="T16" s="582">
        <f ca="1">'Assumptions '!V47</f>
        <v>10769.655212742246</v>
      </c>
      <c r="U16" s="582">
        <f ca="1">'Assumptions '!W47</f>
        <v>13031.282807418116</v>
      </c>
      <c r="V16" s="582">
        <f ca="1">'Assumptions '!X47</f>
        <v>15767.85219697592</v>
      </c>
      <c r="W16" s="582">
        <f ca="1">'Assumptions '!Y47</f>
        <v>19079.101158340862</v>
      </c>
      <c r="X16" s="582">
        <f ca="1">'Assumptions '!Z47</f>
        <v>23085.712401592442</v>
      </c>
      <c r="Y16" s="582">
        <f ca="1">'Assumptions '!AA47</f>
        <v>27933.712005926853</v>
      </c>
      <c r="Z16" s="582">
        <f ca="1">'Assumptions '!AB47</f>
        <v>33799.791527171488</v>
      </c>
      <c r="AA16" s="582">
        <f ca="1">'Assumptions '!AC47</f>
        <v>40897.747747877496</v>
      </c>
      <c r="AB16" s="582">
        <f ca="1">'Assumptions '!AD47</f>
        <v>49486.274774931771</v>
      </c>
      <c r="AC16" s="582">
        <f ca="1">'Assumptions '!AE47</f>
        <v>59878.392477667439</v>
      </c>
      <c r="AD16" s="582">
        <f ca="1">'Assumptions '!AF47</f>
        <v>72452.854897977595</v>
      </c>
      <c r="AE16" s="582">
        <f ca="1">'Assumptions '!AG47</f>
        <v>87667.954426552882</v>
      </c>
      <c r="AF16" s="582">
        <f ca="1">'Assumptions '!AH47</f>
        <v>106078.22485612899</v>
      </c>
      <c r="AG16" s="621"/>
      <c r="AH16" s="7"/>
      <c r="AI16" s="7"/>
      <c r="AJ16" s="7"/>
      <c r="AK16" s="11"/>
      <c r="AL16" s="11"/>
      <c r="AM16" s="11"/>
      <c r="AN16" s="11"/>
    </row>
    <row r="17" spans="1:40" ht="15.75" thickBot="1">
      <c r="A17" s="985"/>
      <c r="B17" s="332">
        <v>11</v>
      </c>
      <c r="C17" s="338" t="s">
        <v>407</v>
      </c>
      <c r="D17" s="715">
        <f>'Fin. Data'!D23</f>
        <v>4002</v>
      </c>
      <c r="E17" s="398">
        <f>'Fin. Data'!C23</f>
        <v>5007</v>
      </c>
      <c r="F17" s="767">
        <f>'Fin. Data'!B23</f>
        <v>5844</v>
      </c>
      <c r="G17" s="411">
        <f>G16+G15</f>
        <v>7859.3409254175003</v>
      </c>
      <c r="H17" s="412">
        <f t="shared" ref="H17:AF17" ca="1" si="11">H16+H15</f>
        <v>8445.8766902332372</v>
      </c>
      <c r="I17" s="412">
        <f t="shared" ca="1" si="11"/>
        <v>9337.5022919440562</v>
      </c>
      <c r="J17" s="413">
        <f t="shared" ca="1" si="11"/>
        <v>9816.064407626076</v>
      </c>
      <c r="K17" s="411">
        <f t="shared" ca="1" si="11"/>
        <v>10145.955852506268</v>
      </c>
      <c r="L17" s="412">
        <f ca="1">L16+L15</f>
        <v>12287.990072587207</v>
      </c>
      <c r="M17" s="412">
        <f t="shared" ca="1" si="11"/>
        <v>12161.585034618016</v>
      </c>
      <c r="N17" s="412">
        <f t="shared" ca="1" si="11"/>
        <v>12288.625992428197</v>
      </c>
      <c r="O17" s="412">
        <f t="shared" ca="1" si="11"/>
        <v>12688.82872186125</v>
      </c>
      <c r="P17" s="412">
        <f t="shared" ca="1" si="11"/>
        <v>11397.005556281285</v>
      </c>
      <c r="Q17" s="412">
        <f t="shared" ca="1" si="11"/>
        <v>14291.902634049475</v>
      </c>
      <c r="R17" s="412">
        <f t="shared" ca="1" si="11"/>
        <v>17097.402419204162</v>
      </c>
      <c r="S17" s="412">
        <f t="shared" ca="1" si="11"/>
        <v>19996.826366217392</v>
      </c>
      <c r="T17" s="412">
        <f t="shared" ca="1" si="11"/>
        <v>23101.057184596255</v>
      </c>
      <c r="U17" s="412">
        <f t="shared" ca="1" si="11"/>
        <v>22641.728798207929</v>
      </c>
      <c r="V17" s="412">
        <f t="shared" ca="1" si="11"/>
        <v>31620.283599773451</v>
      </c>
      <c r="W17" s="412">
        <f t="shared" ca="1" si="11"/>
        <v>36218.702061936594</v>
      </c>
      <c r="X17" s="412">
        <f t="shared" ca="1" si="11"/>
        <v>41489.042887607546</v>
      </c>
      <c r="Y17" s="412">
        <f t="shared" ca="1" si="11"/>
        <v>47643.762619660527</v>
      </c>
      <c r="Z17" s="412">
        <f t="shared" ca="1" si="11"/>
        <v>46238.963441274573</v>
      </c>
      <c r="AA17" s="412">
        <f t="shared" ca="1" si="11"/>
        <v>60737.111430806573</v>
      </c>
      <c r="AB17" s="412">
        <f t="shared" ca="1" si="11"/>
        <v>71810.072778599715</v>
      </c>
      <c r="AC17" s="412">
        <f t="shared" ca="1" si="11"/>
        <v>84679.614084112211</v>
      </c>
      <c r="AD17" s="412">
        <f t="shared" ca="1" si="11"/>
        <v>99832.848946864906</v>
      </c>
      <c r="AE17" s="412">
        <f t="shared" ca="1" si="11"/>
        <v>106741.09928710668</v>
      </c>
      <c r="AF17" s="413">
        <f t="shared" ca="1" si="11"/>
        <v>130123.40418077997</v>
      </c>
      <c r="AG17" s="621"/>
      <c r="AH17" s="7"/>
      <c r="AI17" s="7"/>
      <c r="AJ17" s="7"/>
      <c r="AK17" s="11"/>
      <c r="AL17" s="11"/>
      <c r="AM17" s="11"/>
      <c r="AN17" s="11"/>
    </row>
    <row r="18" spans="1:40" ht="15.75" thickBot="1">
      <c r="A18" s="311"/>
      <c r="B18" s="327"/>
      <c r="C18" s="328" t="s">
        <v>408</v>
      </c>
      <c r="D18" s="336" t="s">
        <v>408</v>
      </c>
      <c r="E18" s="336" t="s">
        <v>408</v>
      </c>
      <c r="F18" s="336" t="s">
        <v>408</v>
      </c>
      <c r="G18" s="333" t="s">
        <v>408</v>
      </c>
      <c r="H18" s="333" t="s">
        <v>408</v>
      </c>
      <c r="I18" s="333" t="s">
        <v>408</v>
      </c>
      <c r="J18" s="333" t="s">
        <v>408</v>
      </c>
      <c r="K18" s="333" t="s">
        <v>408</v>
      </c>
      <c r="L18" s="333" t="s">
        <v>408</v>
      </c>
      <c r="M18" s="333" t="s">
        <v>408</v>
      </c>
      <c r="N18" s="333" t="s">
        <v>408</v>
      </c>
      <c r="O18" s="333" t="s">
        <v>408</v>
      </c>
      <c r="P18" s="333" t="s">
        <v>408</v>
      </c>
      <c r="Q18" s="333" t="s">
        <v>408</v>
      </c>
      <c r="R18" s="333" t="s">
        <v>408</v>
      </c>
      <c r="S18" s="333" t="s">
        <v>408</v>
      </c>
      <c r="T18" s="333" t="s">
        <v>408</v>
      </c>
      <c r="U18" s="333" t="s">
        <v>408</v>
      </c>
      <c r="V18" s="333" t="s">
        <v>408</v>
      </c>
      <c r="W18" s="333" t="s">
        <v>408</v>
      </c>
      <c r="X18" s="333" t="s">
        <v>408</v>
      </c>
      <c r="Y18" s="333" t="s">
        <v>408</v>
      </c>
      <c r="Z18" s="333" t="s">
        <v>408</v>
      </c>
      <c r="AA18" s="333" t="s">
        <v>408</v>
      </c>
      <c r="AB18" s="333" t="s">
        <v>408</v>
      </c>
      <c r="AC18" s="333" t="s">
        <v>408</v>
      </c>
      <c r="AD18" s="333" t="s">
        <v>408</v>
      </c>
      <c r="AE18" s="333" t="s">
        <v>408</v>
      </c>
      <c r="AF18" s="343" t="s">
        <v>408</v>
      </c>
      <c r="AG18" s="621"/>
      <c r="AH18" s="7"/>
      <c r="AI18" s="7"/>
      <c r="AJ18" s="7"/>
      <c r="AK18" s="11"/>
      <c r="AL18" s="11"/>
      <c r="AM18" s="11"/>
      <c r="AN18" s="11"/>
    </row>
    <row r="19" spans="1:40" ht="15">
      <c r="A19" s="986" t="s">
        <v>409</v>
      </c>
      <c r="B19" s="300">
        <v>12</v>
      </c>
      <c r="C19" s="546" t="s">
        <v>410</v>
      </c>
      <c r="D19" s="526">
        <v>4059</v>
      </c>
      <c r="E19" s="354">
        <v>5079</v>
      </c>
      <c r="F19" s="421">
        <v>5915</v>
      </c>
      <c r="G19" s="601">
        <f>G17-G10-G9-G11</f>
        <v>11015.634369711066</v>
      </c>
      <c r="H19" s="618">
        <f ca="1">H17-H10-H9-H11</f>
        <v>11759.604311323255</v>
      </c>
      <c r="I19" s="618">
        <f t="shared" ref="I19:AF19" ca="1" si="12">I17-I10-I9-I11</f>
        <v>12883.208068812073</v>
      </c>
      <c r="J19" s="619">
        <f t="shared" ca="1" si="12"/>
        <v>13538.983857552814</v>
      </c>
      <c r="K19" s="601">
        <f t="shared" ca="1" si="12"/>
        <v>13980.364536635585</v>
      </c>
      <c r="L19" s="618">
        <f ca="1">L17-L10-L9-L11</f>
        <v>16151.475085092588</v>
      </c>
      <c r="M19" s="618">
        <f t="shared" ca="1" si="12"/>
        <v>16054.389919952078</v>
      </c>
      <c r="N19" s="618">
        <f t="shared" ca="1" si="12"/>
        <v>16210.996434749879</v>
      </c>
      <c r="O19" s="618">
        <f t="shared" ca="1" si="12"/>
        <v>16641.01256422545</v>
      </c>
      <c r="P19" s="618">
        <f t="shared" ca="1" si="12"/>
        <v>15379.252820002077</v>
      </c>
      <c r="Q19" s="618">
        <f t="shared" ca="1" si="12"/>
        <v>18303.475429863371</v>
      </c>
      <c r="R19" s="618">
        <f t="shared" ca="1" si="12"/>
        <v>21138.537513832063</v>
      </c>
      <c r="S19" s="618">
        <f t="shared" ca="1" si="12"/>
        <v>24067.762527248658</v>
      </c>
      <c r="T19" s="618">
        <f t="shared" ca="1" si="12"/>
        <v>27202.035197747122</v>
      </c>
      <c r="U19" s="618">
        <f t="shared" ca="1" si="12"/>
        <v>26772.991484730093</v>
      </c>
      <c r="V19" s="618">
        <f t="shared" ca="1" si="12"/>
        <v>35781.080509052525</v>
      </c>
      <c r="W19" s="618">
        <f t="shared" ca="1" si="12"/>
        <v>40409.263043863291</v>
      </c>
      <c r="X19" s="618">
        <f t="shared" ca="1" si="12"/>
        <v>45709.599660505439</v>
      </c>
      <c r="Y19" s="618">
        <f t="shared" ca="1" si="12"/>
        <v>51894.548785786115</v>
      </c>
      <c r="Z19" s="618">
        <f t="shared" ca="1" si="12"/>
        <v>50520.214502447045</v>
      </c>
      <c r="AA19" s="618">
        <f t="shared" ca="1" si="12"/>
        <v>65048.06586577923</v>
      </c>
      <c r="AB19" s="618">
        <f t="shared" ca="1" si="12"/>
        <v>76150.953423371044</v>
      </c>
      <c r="AC19" s="618">
        <f t="shared" ca="1" si="12"/>
        <v>89050.64551718632</v>
      </c>
      <c r="AD19" s="618">
        <f t="shared" ca="1" si="12"/>
        <v>104234.25750315456</v>
      </c>
      <c r="AE19" s="618">
        <f t="shared" ca="1" si="12"/>
        <v>111173.11307194839</v>
      </c>
      <c r="AF19" s="620">
        <f t="shared" ca="1" si="12"/>
        <v>134585.25209215414</v>
      </c>
      <c r="AG19" s="621"/>
      <c r="AH19" s="7"/>
      <c r="AI19" s="7"/>
      <c r="AJ19" s="7"/>
      <c r="AK19" s="11"/>
      <c r="AL19" s="11"/>
      <c r="AM19" s="11"/>
      <c r="AN19" s="11"/>
    </row>
    <row r="20" spans="1:40" ht="15">
      <c r="A20" s="987"/>
      <c r="B20" s="300">
        <v>13</v>
      </c>
      <c r="C20" s="325" t="s">
        <v>411</v>
      </c>
      <c r="D20" s="355">
        <v>619</v>
      </c>
      <c r="E20" s="356">
        <v>665</v>
      </c>
      <c r="F20" s="422">
        <v>724</v>
      </c>
      <c r="G20" s="778">
        <f>G11</f>
        <v>-869.37632163221031</v>
      </c>
      <c r="H20" s="618">
        <f ca="1">H11</f>
        <v>-912.84513771382092</v>
      </c>
      <c r="I20" s="618">
        <f t="shared" ref="I20:AF20" si="13">I11</f>
        <v>-976.90750021613076</v>
      </c>
      <c r="J20" s="619">
        <f t="shared" ca="1" si="13"/>
        <v>-1025.8402033473883</v>
      </c>
      <c r="K20" s="601">
        <f t="shared" ca="1" si="13"/>
        <v>-1056.61540944781</v>
      </c>
      <c r="L20" s="618">
        <f ca="1">L11</f>
        <v>-1060.4266151484103</v>
      </c>
      <c r="M20" s="618">
        <f t="shared" ca="1" si="13"/>
        <v>-1064.2515678460377</v>
      </c>
      <c r="N20" s="618">
        <f t="shared" ca="1" si="13"/>
        <v>-1068.0903171260311</v>
      </c>
      <c r="O20" s="618">
        <f t="shared" ca="1" si="13"/>
        <v>-1071.9429127525837</v>
      </c>
      <c r="P20" s="618">
        <f t="shared" ca="1" si="13"/>
        <v>-1075.809404669388</v>
      </c>
      <c r="Q20" s="618">
        <f t="shared" ca="1" si="13"/>
        <v>-1079.6898430002827</v>
      </c>
      <c r="R20" s="618">
        <f t="shared" ca="1" si="13"/>
        <v>-1083.5842780499036</v>
      </c>
      <c r="S20" s="618">
        <f t="shared" ca="1" si="13"/>
        <v>-1087.4927603043341</v>
      </c>
      <c r="T20" s="618">
        <f t="shared" ca="1" si="13"/>
        <v>-1091.4153404317615</v>
      </c>
      <c r="U20" s="618">
        <f t="shared" ca="1" si="13"/>
        <v>-1095.3520692831323</v>
      </c>
      <c r="V20" s="618">
        <f t="shared" ca="1" si="13"/>
        <v>-1099.3029978928125</v>
      </c>
      <c r="W20" s="618">
        <f t="shared" ca="1" si="13"/>
        <v>-1103.2681774792486</v>
      </c>
      <c r="X20" s="618">
        <f t="shared" ca="1" si="13"/>
        <v>-1107.2476594456316</v>
      </c>
      <c r="Y20" s="618">
        <f t="shared" ca="1" si="13"/>
        <v>-1111.2414953805637</v>
      </c>
      <c r="Z20" s="618">
        <f t="shared" ca="1" si="13"/>
        <v>-1115.2497370587269</v>
      </c>
      <c r="AA20" s="618">
        <f t="shared" ca="1" si="13"/>
        <v>-1119.272436441554</v>
      </c>
      <c r="AB20" s="618">
        <f t="shared" ca="1" si="13"/>
        <v>-1123.3096456779026</v>
      </c>
      <c r="AC20" s="618">
        <f t="shared" ca="1" si="13"/>
        <v>-1127.3614171047309</v>
      </c>
      <c r="AD20" s="618">
        <f t="shared" ca="1" si="13"/>
        <v>-1131.427803247776</v>
      </c>
      <c r="AE20" s="618">
        <f t="shared" ca="1" si="13"/>
        <v>-1135.5088568222352</v>
      </c>
      <c r="AF20" s="620">
        <f t="shared" ca="1" si="13"/>
        <v>-1139.6046307334493</v>
      </c>
      <c r="AG20" s="621"/>
      <c r="AH20" s="7"/>
      <c r="AI20" s="7"/>
      <c r="AJ20" s="7"/>
      <c r="AK20" s="11"/>
      <c r="AL20" s="11"/>
      <c r="AM20" s="11"/>
      <c r="AN20" s="11"/>
    </row>
    <row r="21" spans="1:40" ht="15">
      <c r="A21" s="987"/>
      <c r="B21" s="300">
        <v>14</v>
      </c>
      <c r="C21" s="325" t="s">
        <v>412</v>
      </c>
      <c r="D21" s="359">
        <f>'Assumptions '!F72</f>
        <v>-2447</v>
      </c>
      <c r="E21" s="359">
        <f>'Assumptions '!G72</f>
        <v>-1378</v>
      </c>
      <c r="F21" s="359">
        <f>'Assumptions '!H72</f>
        <v>1034</v>
      </c>
      <c r="G21" s="601">
        <f>'Assumptions '!I72</f>
        <v>-1360.0918649627201</v>
      </c>
      <c r="H21" s="618">
        <f ca="1">'Assumptions '!J72</f>
        <v>-1428.0964582108561</v>
      </c>
      <c r="I21" s="618">
        <f>'Assumptions '!K72</f>
        <v>-1528.3185322674638</v>
      </c>
      <c r="J21" s="619">
        <f ca="1">'Assumptions '!L72</f>
        <v>-1604.8710789649738</v>
      </c>
      <c r="K21" s="601">
        <f ca="1">'Assumptions '!M72</f>
        <v>-1653.0172113339231</v>
      </c>
      <c r="L21" s="618">
        <f ca="1">'Assumptions '!N72</f>
        <v>-1643.6893246779687</v>
      </c>
      <c r="M21" s="618">
        <f ca="1">'Assumptions '!O72</f>
        <v>-1634.4140747815529</v>
      </c>
      <c r="N21" s="618">
        <f ca="1">'Assumptions '!P72</f>
        <v>-1625.1911646182907</v>
      </c>
      <c r="O21" s="618">
        <f ca="1">'Assumptions '!Q72</f>
        <v>-1616.0202988379008</v>
      </c>
      <c r="P21" s="618">
        <f ca="1">'Assumptions '!R72</f>
        <v>-1606.9011837567473</v>
      </c>
      <c r="Q21" s="618">
        <f ca="1">'Assumptions '!S72</f>
        <v>-1597.8335273484354</v>
      </c>
      <c r="R21" s="618">
        <f ca="1">'Assumptions '!T72</f>
        <v>-1588.8170392344593</v>
      </c>
      <c r="S21" s="618">
        <f ca="1">'Assumptions '!U72</f>
        <v>-1579.8514306749037</v>
      </c>
      <c r="T21" s="618">
        <f ca="1">'Assumptions '!V72</f>
        <v>-1570.9364145591967</v>
      </c>
      <c r="U21" s="618">
        <f ca="1">'Assumptions '!W72</f>
        <v>-1562.0717053969161</v>
      </c>
      <c r="V21" s="618">
        <f ca="1">'Assumptions '!X72</f>
        <v>-1553.2570193086462</v>
      </c>
      <c r="W21" s="618">
        <f ca="1">'Assumptions '!Y72</f>
        <v>-1544.492074016888</v>
      </c>
      <c r="X21" s="618">
        <f ca="1">'Assumptions '!Z72</f>
        <v>-1535.7765888370188</v>
      </c>
      <c r="Y21" s="618">
        <f ca="1">'Assumptions '!AA72</f>
        <v>-1527.1102846683043</v>
      </c>
      <c r="Z21" s="618">
        <f ca="1">'Assumptions '!AB72</f>
        <v>-1518.4928839849604</v>
      </c>
      <c r="AA21" s="618">
        <f ca="1">'Assumptions '!AC72</f>
        <v>-1509.9241108272658</v>
      </c>
      <c r="AB21" s="618">
        <f ca="1">'Assumptions '!AD72</f>
        <v>-1501.4036907927255</v>
      </c>
      <c r="AC21" s="618">
        <f ca="1">'Assumptions '!AE72</f>
        <v>-1492.9313510272825</v>
      </c>
      <c r="AD21" s="618">
        <f ca="1">'Assumptions '!AF72</f>
        <v>-1484.5068202165805</v>
      </c>
      <c r="AE21" s="618">
        <f ca="1">'Assumptions '!AG72</f>
        <v>-1476.1298285772755</v>
      </c>
      <c r="AF21" s="620">
        <f ca="1">'Assumptions '!AH72</f>
        <v>-1467.8001078483962</v>
      </c>
      <c r="AG21" s="621"/>
      <c r="AH21" s="7"/>
      <c r="AI21" s="7"/>
      <c r="AJ21" s="7"/>
      <c r="AK21" s="11"/>
      <c r="AL21" s="11"/>
      <c r="AM21" s="11"/>
      <c r="AN21" s="11"/>
    </row>
    <row r="22" spans="1:40" ht="15">
      <c r="A22" s="987"/>
      <c r="B22" s="300">
        <v>15</v>
      </c>
      <c r="C22" s="334" t="s">
        <v>413</v>
      </c>
      <c r="D22" s="657">
        <f>D19-D20-D21</f>
        <v>5887</v>
      </c>
      <c r="E22" s="657">
        <f t="shared" ref="E22:AF22" si="14">E19-E20-E21</f>
        <v>5792</v>
      </c>
      <c r="F22" s="657">
        <f t="shared" si="14"/>
        <v>4157</v>
      </c>
      <c r="G22" s="657">
        <f t="shared" si="14"/>
        <v>13245.102556305996</v>
      </c>
      <c r="H22" s="657">
        <f t="shared" ca="1" si="14"/>
        <v>14100.545907247932</v>
      </c>
      <c r="I22" s="657">
        <f t="shared" ca="1" si="14"/>
        <v>15388.434101295667</v>
      </c>
      <c r="J22" s="657">
        <f t="shared" ca="1" si="14"/>
        <v>16169.695139865176</v>
      </c>
      <c r="K22" s="657">
        <f t="shared" ca="1" si="14"/>
        <v>16689.997157417318</v>
      </c>
      <c r="L22" s="657">
        <f ca="1">L19-L20-L21</f>
        <v>18855.591024918969</v>
      </c>
      <c r="M22" s="657">
        <f t="shared" ca="1" si="14"/>
        <v>18753.05556257967</v>
      </c>
      <c r="N22" s="657">
        <f t="shared" ca="1" si="14"/>
        <v>18904.277916494204</v>
      </c>
      <c r="O22" s="657">
        <f t="shared" ca="1" si="14"/>
        <v>19328.975775815936</v>
      </c>
      <c r="P22" s="657">
        <f t="shared" ca="1" si="14"/>
        <v>18061.963408428215</v>
      </c>
      <c r="Q22" s="657">
        <f t="shared" ca="1" si="14"/>
        <v>20980.998800212088</v>
      </c>
      <c r="R22" s="657">
        <f t="shared" ca="1" si="14"/>
        <v>23810.938831116426</v>
      </c>
      <c r="S22" s="657">
        <f t="shared" ca="1" si="14"/>
        <v>26735.106718227893</v>
      </c>
      <c r="T22" s="657">
        <f t="shared" ca="1" si="14"/>
        <v>29864.386952738081</v>
      </c>
      <c r="U22" s="657">
        <f t="shared" ca="1" si="14"/>
        <v>29430.415259410143</v>
      </c>
      <c r="V22" s="657">
        <f t="shared" ca="1" si="14"/>
        <v>38433.640526253977</v>
      </c>
      <c r="W22" s="657">
        <f t="shared" ca="1" si="14"/>
        <v>43057.023295359431</v>
      </c>
      <c r="X22" s="657">
        <f t="shared" ca="1" si="14"/>
        <v>48352.623908788089</v>
      </c>
      <c r="Y22" s="657">
        <f t="shared" ca="1" si="14"/>
        <v>54532.900565834985</v>
      </c>
      <c r="Z22" s="657">
        <f t="shared" ca="1" si="14"/>
        <v>53153.957123490734</v>
      </c>
      <c r="AA22" s="657">
        <f t="shared" ca="1" si="14"/>
        <v>67677.262413048054</v>
      </c>
      <c r="AB22" s="657">
        <f t="shared" ca="1" si="14"/>
        <v>78775.666759841668</v>
      </c>
      <c r="AC22" s="657">
        <f t="shared" ca="1" si="14"/>
        <v>91670.938285318334</v>
      </c>
      <c r="AD22" s="657">
        <f t="shared" ca="1" si="14"/>
        <v>106850.19212661892</v>
      </c>
      <c r="AE22" s="657">
        <f t="shared" ca="1" si="14"/>
        <v>113784.75175734791</v>
      </c>
      <c r="AF22" s="657">
        <f t="shared" ca="1" si="14"/>
        <v>137192.656830736</v>
      </c>
      <c r="AG22" s="621"/>
      <c r="AH22" s="7"/>
      <c r="AI22" s="7"/>
      <c r="AJ22" s="7"/>
      <c r="AK22" s="11"/>
      <c r="AL22" s="11"/>
      <c r="AM22" s="11"/>
      <c r="AN22" s="11"/>
    </row>
    <row r="23" spans="1:40" ht="15">
      <c r="A23" s="987"/>
      <c r="B23" s="300">
        <v>16</v>
      </c>
      <c r="C23" s="325" t="s">
        <v>414</v>
      </c>
      <c r="D23" s="381">
        <f>'Fin. Data'!D32</f>
        <v>-2810</v>
      </c>
      <c r="E23" s="380">
        <f>'Fin. Data'!C32</f>
        <v>-3588</v>
      </c>
      <c r="F23" s="424">
        <f>'Fin. Data'!B32</f>
        <v>-3891</v>
      </c>
      <c r="G23" s="406">
        <f>G6*$D$62</f>
        <v>-4478.8070466708132</v>
      </c>
      <c r="H23" s="406">
        <f ca="1">H6*$D$62</f>
        <v>-4702.7473990043536</v>
      </c>
      <c r="I23" s="406">
        <f t="shared" ref="I23:J23" si="15">I6*$D$62</f>
        <v>-5032.7804968267583</v>
      </c>
      <c r="J23" s="543">
        <f t="shared" ca="1" si="15"/>
        <v>-5284.8694140697144</v>
      </c>
      <c r="K23" s="409">
        <f t="shared" ref="K23:AF23" ca="1" si="16">K6*$E$62</f>
        <v>-5303.4659630566093</v>
      </c>
      <c r="L23" s="406">
        <f t="shared" ca="1" si="16"/>
        <v>-5642.0719701256794</v>
      </c>
      <c r="M23" s="406">
        <f t="shared" ca="1" si="16"/>
        <v>-5954.5560385640811</v>
      </c>
      <c r="N23" s="406">
        <f t="shared" ca="1" si="16"/>
        <v>-6246.5583710631208</v>
      </c>
      <c r="O23" s="406">
        <f t="shared" ca="1" si="16"/>
        <v>-6523.1488194827598</v>
      </c>
      <c r="P23" s="406">
        <f t="shared" ca="1" si="16"/>
        <v>-6718.8432840672422</v>
      </c>
      <c r="Q23" s="406">
        <f t="shared" ca="1" si="16"/>
        <v>-6932.8127317952785</v>
      </c>
      <c r="R23" s="406">
        <f t="shared" ca="1" si="16"/>
        <v>-7150.3964941677687</v>
      </c>
      <c r="S23" s="406">
        <f t="shared" ca="1" si="16"/>
        <v>-7372.3338790587004</v>
      </c>
      <c r="T23" s="406">
        <f t="shared" ca="1" si="16"/>
        <v>-7599.2458698817472</v>
      </c>
      <c r="U23" s="406">
        <f t="shared" ca="1" si="16"/>
        <v>-7827.2232459781999</v>
      </c>
      <c r="V23" s="406">
        <f t="shared" ca="1" si="16"/>
        <v>-8312.5110872288478</v>
      </c>
      <c r="W23" s="406">
        <f t="shared" ca="1" si="16"/>
        <v>-8761.3866859392056</v>
      </c>
      <c r="X23" s="406">
        <f t="shared" ca="1" si="16"/>
        <v>-9181.9332468642879</v>
      </c>
      <c r="Y23" s="406">
        <f t="shared" ca="1" si="16"/>
        <v>-9581.347343102887</v>
      </c>
      <c r="Z23" s="406">
        <f t="shared" ca="1" si="16"/>
        <v>-9868.7877633959724</v>
      </c>
      <c r="AA23" s="406">
        <f t="shared" ca="1" si="16"/>
        <v>-10462.433112066234</v>
      </c>
      <c r="AB23" s="406">
        <f t="shared" ca="1" si="16"/>
        <v>-11012.917901469817</v>
      </c>
      <c r="AC23" s="406">
        <f t="shared" ca="1" si="16"/>
        <v>-11530.101348443328</v>
      </c>
      <c r="AD23" s="406">
        <f t="shared" ca="1" si="16"/>
        <v>-12022.680487290592</v>
      </c>
      <c r="AE23" s="406">
        <f t="shared" ca="1" si="16"/>
        <v>-12383.360901909309</v>
      </c>
      <c r="AF23" s="410">
        <f t="shared" ca="1" si="16"/>
        <v>-12777.723559464039</v>
      </c>
      <c r="AG23" s="622">
        <f ca="1">SUM(D23:AF23)</f>
        <v>-218954.04446098732</v>
      </c>
      <c r="AH23" s="7"/>
      <c r="AI23" s="7"/>
      <c r="AJ23" s="7"/>
      <c r="AK23" s="11"/>
      <c r="AL23" s="11"/>
      <c r="AM23" s="11"/>
      <c r="AN23" s="11"/>
    </row>
    <row r="24" spans="1:40" ht="15">
      <c r="A24" s="987"/>
      <c r="B24" s="300">
        <v>17</v>
      </c>
      <c r="C24" s="325" t="s">
        <v>415</v>
      </c>
      <c r="D24" s="359">
        <f>Inputs!D66</f>
        <v>-1019</v>
      </c>
      <c r="E24" s="358">
        <f>'Fin. Data'!C33</f>
        <v>101</v>
      </c>
      <c r="F24" s="425">
        <f>'Fin. Data'!B33</f>
        <v>3</v>
      </c>
      <c r="G24" s="409">
        <f>G6*$D$63</f>
        <v>-208.76400631196489</v>
      </c>
      <c r="H24" s="406">
        <f t="shared" ref="H24:J24" ca="1" si="17">H6*$D$63</f>
        <v>-219.20220662756313</v>
      </c>
      <c r="I24" s="406">
        <f t="shared" si="17"/>
        <v>-234.5855511206392</v>
      </c>
      <c r="J24" s="543">
        <f t="shared" ca="1" si="17"/>
        <v>-246.33579884555596</v>
      </c>
      <c r="K24" s="409">
        <f t="shared" ref="K24:AF24" ca="1" si="18">K6*$E$63</f>
        <v>-315.23037659206057</v>
      </c>
      <c r="L24" s="406">
        <f t="shared" ca="1" si="18"/>
        <v>-335.35662985139118</v>
      </c>
      <c r="M24" s="406">
        <f t="shared" ca="1" si="18"/>
        <v>-353.93023271016847</v>
      </c>
      <c r="N24" s="406">
        <f t="shared" ca="1" si="18"/>
        <v>-371.28643069100389</v>
      </c>
      <c r="O24" s="406">
        <f t="shared" ca="1" si="18"/>
        <v>-387.72656848474935</v>
      </c>
      <c r="P24" s="406">
        <f t="shared" ca="1" si="18"/>
        <v>-399.35836553929181</v>
      </c>
      <c r="Q24" s="406">
        <f t="shared" ca="1" si="18"/>
        <v>-412.0764012646743</v>
      </c>
      <c r="R24" s="406">
        <f t="shared" ca="1" si="18"/>
        <v>-425.00926664568766</v>
      </c>
      <c r="S24" s="406">
        <f t="shared" ca="1" si="18"/>
        <v>-438.20090507730379</v>
      </c>
      <c r="T24" s="406">
        <f t="shared" ca="1" si="18"/>
        <v>-451.68822691903341</v>
      </c>
      <c r="U24" s="406">
        <f t="shared" ca="1" si="18"/>
        <v>-465.23887372660448</v>
      </c>
      <c r="V24" s="406">
        <f t="shared" ca="1" si="18"/>
        <v>-494.08368389765394</v>
      </c>
      <c r="W24" s="406">
        <f t="shared" ca="1" si="18"/>
        <v>-520.76420282812728</v>
      </c>
      <c r="X24" s="406">
        <f t="shared" ca="1" si="18"/>
        <v>-545.76088456387743</v>
      </c>
      <c r="Y24" s="406">
        <f t="shared" ca="1" si="18"/>
        <v>-569.50148304240611</v>
      </c>
      <c r="Z24" s="406">
        <f t="shared" ca="1" si="18"/>
        <v>-586.58652753367824</v>
      </c>
      <c r="AA24" s="406">
        <f t="shared" ca="1" si="18"/>
        <v>-621.87195184431107</v>
      </c>
      <c r="AB24" s="406">
        <f t="shared" ca="1" si="18"/>
        <v>-654.59197468987691</v>
      </c>
      <c r="AC24" s="406">
        <f t="shared" ca="1" si="18"/>
        <v>-685.33261371580886</v>
      </c>
      <c r="AD24" s="406">
        <f t="shared" ca="1" si="18"/>
        <v>-714.61080811204931</v>
      </c>
      <c r="AE24" s="406">
        <f t="shared" ca="1" si="18"/>
        <v>-736.04913235541073</v>
      </c>
      <c r="AF24" s="410">
        <f t="shared" ca="1" si="18"/>
        <v>-759.48948059574809</v>
      </c>
      <c r="AG24" s="621"/>
      <c r="AH24" s="623">
        <f ca="1">AG9-AG23</f>
        <v>218954.04446098732</v>
      </c>
      <c r="AI24" s="7"/>
      <c r="AJ24" s="7"/>
      <c r="AK24" s="11"/>
      <c r="AL24" s="11"/>
      <c r="AM24" s="11"/>
      <c r="AN24" s="11"/>
    </row>
    <row r="25" spans="1:40" ht="15">
      <c r="A25" s="987"/>
      <c r="B25" s="300">
        <v>18</v>
      </c>
      <c r="C25" s="325" t="s">
        <v>416</v>
      </c>
      <c r="D25" s="359">
        <f>Inputs!D67</f>
        <v>-62</v>
      </c>
      <c r="E25" s="358">
        <f>Inputs!C67</f>
        <v>-48</v>
      </c>
      <c r="F25" s="425">
        <f>Inputs!B67</f>
        <v>-27</v>
      </c>
      <c r="G25" s="409">
        <f>(1+G5)*AVERAGE(D25:F25)</f>
        <v>-48.497999999999998</v>
      </c>
      <c r="H25" s="406">
        <f t="shared" ref="H25:AF25" ca="1" si="19">(1+H5)*AVERAGE(E25:G25)</f>
        <v>-43.224299999999999</v>
      </c>
      <c r="I25" s="406">
        <f t="shared" ca="1" si="19"/>
        <v>-42.351362248722687</v>
      </c>
      <c r="J25" s="543">
        <f t="shared" ca="1" si="19"/>
        <v>-46.929776843194759</v>
      </c>
      <c r="K25" s="409">
        <f t="shared" ca="1" si="19"/>
        <v>-45.493534088224997</v>
      </c>
      <c r="L25" s="406">
        <f t="shared" ca="1" si="19"/>
        <v>-47.793173441007362</v>
      </c>
      <c r="M25" s="406">
        <f t="shared" ca="1" si="19"/>
        <v>-49.327440825931397</v>
      </c>
      <c r="N25" s="406">
        <f t="shared" ca="1" si="19"/>
        <v>-49.869242782081571</v>
      </c>
      <c r="O25" s="406">
        <f t="shared" ca="1" si="19"/>
        <v>-51.166133174337041</v>
      </c>
      <c r="P25" s="406">
        <f t="shared" ca="1" si="19"/>
        <v>-51.624567095273498</v>
      </c>
      <c r="Q25" s="406">
        <f t="shared" ca="1" si="19"/>
        <v>-52.507192685664926</v>
      </c>
      <c r="R25" s="406">
        <f t="shared" ca="1" si="19"/>
        <v>-53.390619954598137</v>
      </c>
      <c r="S25" s="406">
        <f t="shared" ca="1" si="19"/>
        <v>-54.137211261942753</v>
      </c>
      <c r="T25" s="406">
        <f t="shared" ca="1" si="19"/>
        <v>-54.986906198942684</v>
      </c>
      <c r="U25" s="406">
        <f t="shared" ca="1" si="19"/>
        <v>-55.796726512649364</v>
      </c>
      <c r="V25" s="406">
        <f t="shared" ca="1" si="19"/>
        <v>-58.38197876663132</v>
      </c>
      <c r="W25" s="406">
        <f t="shared" ca="1" si="19"/>
        <v>-59.433518166015809</v>
      </c>
      <c r="X25" s="406">
        <f t="shared" ca="1" si="19"/>
        <v>-60.648536723556909</v>
      </c>
      <c r="Y25" s="406">
        <f t="shared" ca="1" si="19"/>
        <v>-62.075739706749644</v>
      </c>
      <c r="Z25" s="406">
        <f t="shared" ca="1" si="19"/>
        <v>-62.540842811404012</v>
      </c>
      <c r="AA25" s="406">
        <f t="shared" ca="1" si="19"/>
        <v>-65.46984170486644</v>
      </c>
      <c r="AB25" s="406">
        <f t="shared" ca="1" si="19"/>
        <v>-66.695963922508511</v>
      </c>
      <c r="AC25" s="406">
        <f t="shared" ca="1" si="19"/>
        <v>-67.950123355144115</v>
      </c>
      <c r="AD25" s="406">
        <f t="shared" ca="1" si="19"/>
        <v>-69.555036909222693</v>
      </c>
      <c r="AE25" s="406">
        <f t="shared" ca="1" si="19"/>
        <v>-70.109052637493846</v>
      </c>
      <c r="AF25" s="410">
        <f t="shared" ca="1" si="19"/>
        <v>-71.40864370314479</v>
      </c>
      <c r="AG25" s="384"/>
      <c r="AH25" s="7"/>
      <c r="AI25" s="7"/>
      <c r="AJ25" s="7"/>
      <c r="AK25" s="11"/>
      <c r="AL25" s="11"/>
      <c r="AM25" s="11"/>
      <c r="AN25" s="11"/>
    </row>
    <row r="26" spans="1:40" ht="15">
      <c r="A26" s="987"/>
      <c r="B26" s="300">
        <v>19</v>
      </c>
      <c r="C26" s="334" t="s">
        <v>417</v>
      </c>
      <c r="D26" s="657">
        <f>D23+D24+D25</f>
        <v>-3891</v>
      </c>
      <c r="E26" s="357">
        <f t="shared" ref="E26:AF26" si="20">E23+E24+E25</f>
        <v>-3535</v>
      </c>
      <c r="F26" s="423">
        <f t="shared" si="20"/>
        <v>-3915</v>
      </c>
      <c r="G26" s="427">
        <f t="shared" si="20"/>
        <v>-4736.069052982778</v>
      </c>
      <c r="H26" s="426">
        <f t="shared" ca="1" si="20"/>
        <v>-4965.1739056319166</v>
      </c>
      <c r="I26" s="426">
        <f t="shared" ca="1" si="20"/>
        <v>-5309.71741019612</v>
      </c>
      <c r="J26" s="542">
        <f t="shared" ca="1" si="20"/>
        <v>-5578.134989758466</v>
      </c>
      <c r="K26" s="427">
        <f t="shared" ca="1" si="20"/>
        <v>-5664.1898737368947</v>
      </c>
      <c r="L26" s="426">
        <f t="shared" ca="1" si="20"/>
        <v>-6025.2217734180786</v>
      </c>
      <c r="M26" s="426">
        <f t="shared" ca="1" si="20"/>
        <v>-6357.813712100181</v>
      </c>
      <c r="N26" s="426">
        <f t="shared" ca="1" si="20"/>
        <v>-6667.7140445362065</v>
      </c>
      <c r="O26" s="426">
        <f t="shared" ca="1" si="20"/>
        <v>-6962.0415211418467</v>
      </c>
      <c r="P26" s="426">
        <f t="shared" ca="1" si="20"/>
        <v>-7169.8262167018074</v>
      </c>
      <c r="Q26" s="426">
        <f t="shared" ca="1" si="20"/>
        <v>-7397.396325745618</v>
      </c>
      <c r="R26" s="426">
        <f t="shared" ca="1" si="20"/>
        <v>-7628.7963807680544</v>
      </c>
      <c r="S26" s="426">
        <f t="shared" ca="1" si="20"/>
        <v>-7864.6719953979473</v>
      </c>
      <c r="T26" s="426">
        <f t="shared" ca="1" si="20"/>
        <v>-8105.9210029997239</v>
      </c>
      <c r="U26" s="426">
        <f t="shared" ca="1" si="20"/>
        <v>-8348.2588462174535</v>
      </c>
      <c r="V26" s="426">
        <f t="shared" ca="1" si="20"/>
        <v>-8864.9767498931324</v>
      </c>
      <c r="W26" s="426">
        <f t="shared" ca="1" si="20"/>
        <v>-9341.5844069333489</v>
      </c>
      <c r="X26" s="426">
        <f t="shared" ca="1" si="20"/>
        <v>-9788.3426681517212</v>
      </c>
      <c r="Y26" s="426">
        <f t="shared" ca="1" si="20"/>
        <v>-10212.924565852043</v>
      </c>
      <c r="Z26" s="426">
        <f t="shared" ca="1" si="20"/>
        <v>-10517.915133741055</v>
      </c>
      <c r="AA26" s="426">
        <f t="shared" ca="1" si="20"/>
        <v>-11149.77490561541</v>
      </c>
      <c r="AB26" s="426">
        <f t="shared" ca="1" si="20"/>
        <v>-11734.205840082201</v>
      </c>
      <c r="AC26" s="426">
        <f t="shared" ca="1" si="20"/>
        <v>-12283.384085514281</v>
      </c>
      <c r="AD26" s="426">
        <f t="shared" ca="1" si="20"/>
        <v>-12806.846332311865</v>
      </c>
      <c r="AE26" s="426">
        <f t="shared" ca="1" si="20"/>
        <v>-13189.519086902214</v>
      </c>
      <c r="AF26" s="379">
        <f t="shared" ca="1" si="20"/>
        <v>-13608.621683762933</v>
      </c>
      <c r="AG26" s="621"/>
      <c r="AH26" s="7"/>
      <c r="AI26" s="7"/>
      <c r="AJ26" s="7"/>
      <c r="AK26" s="11"/>
      <c r="AL26" s="11"/>
      <c r="AM26" s="11"/>
      <c r="AN26" s="11"/>
    </row>
    <row r="27" spans="1:40" ht="15">
      <c r="A27" s="987"/>
      <c r="B27" s="300">
        <v>20</v>
      </c>
      <c r="C27" s="325" t="s">
        <v>418</v>
      </c>
      <c r="D27" s="359">
        <f>Inputs!D71+Inputs!D72</f>
        <v>0</v>
      </c>
      <c r="E27" s="358">
        <f>Inputs!C71+Inputs!C72</f>
        <v>0</v>
      </c>
      <c r="F27" s="424">
        <f>Inputs!B71+Inputs!B72</f>
        <v>0</v>
      </c>
      <c r="G27" s="428">
        <v>0</v>
      </c>
      <c r="H27" s="361">
        <v>0</v>
      </c>
      <c r="I27" s="361">
        <v>0</v>
      </c>
      <c r="J27" s="544">
        <v>0</v>
      </c>
      <c r="K27" s="428">
        <v>0</v>
      </c>
      <c r="L27" s="361">
        <v>0</v>
      </c>
      <c r="M27" s="361">
        <v>0</v>
      </c>
      <c r="N27" s="361">
        <v>0</v>
      </c>
      <c r="O27" s="361">
        <v>0</v>
      </c>
      <c r="P27" s="361">
        <v>0</v>
      </c>
      <c r="Q27" s="361">
        <v>0</v>
      </c>
      <c r="R27" s="361">
        <v>0</v>
      </c>
      <c r="S27" s="361">
        <v>0</v>
      </c>
      <c r="T27" s="361">
        <v>0</v>
      </c>
      <c r="U27" s="361">
        <v>0</v>
      </c>
      <c r="V27" s="361">
        <v>0</v>
      </c>
      <c r="W27" s="361">
        <v>0</v>
      </c>
      <c r="X27" s="361">
        <v>0</v>
      </c>
      <c r="Y27" s="361">
        <v>0</v>
      </c>
      <c r="Z27" s="361">
        <v>0</v>
      </c>
      <c r="AA27" s="361">
        <v>0</v>
      </c>
      <c r="AB27" s="361">
        <v>0</v>
      </c>
      <c r="AC27" s="361">
        <v>0</v>
      </c>
      <c r="AD27" s="361">
        <v>0</v>
      </c>
      <c r="AE27" s="361">
        <v>0</v>
      </c>
      <c r="AF27" s="362">
        <v>0</v>
      </c>
      <c r="AG27" s="621"/>
      <c r="AH27" s="7"/>
      <c r="AI27" s="7"/>
      <c r="AJ27" s="7"/>
      <c r="AK27" s="11"/>
      <c r="AL27" s="11"/>
      <c r="AM27" s="11"/>
      <c r="AN27" s="11"/>
    </row>
    <row r="28" spans="1:40" ht="15">
      <c r="A28" s="987"/>
      <c r="B28" s="300">
        <v>21</v>
      </c>
      <c r="C28" s="325" t="s">
        <v>419</v>
      </c>
      <c r="D28" s="381">
        <f>+SUM(Inputs!D69:D70)</f>
        <v>792</v>
      </c>
      <c r="E28" s="358">
        <f>+SUM(Inputs!C69:C70)</f>
        <v>-94</v>
      </c>
      <c r="F28" s="425">
        <f>+SUM(Inputs!B69:B70)</f>
        <v>-800</v>
      </c>
      <c r="G28" s="409">
        <f>G44-F44</f>
        <v>-7022.7437799448662</v>
      </c>
      <c r="H28" s="406">
        <f t="shared" ref="H28:AF28" ca="1" si="21">H44-G44</f>
        <v>283.27239257494057</v>
      </c>
      <c r="I28" s="406">
        <f ca="1">I44-H44</f>
        <v>346.20298581966199</v>
      </c>
      <c r="J28" s="543">
        <f t="shared" ca="1" si="21"/>
        <v>190.22071706378483</v>
      </c>
      <c r="K28" s="409">
        <f ca="1">K44-J44</f>
        <v>104.28550400485619</v>
      </c>
      <c r="L28" s="406">
        <f t="shared" ca="1" si="21"/>
        <v>723.83865343207162</v>
      </c>
      <c r="M28" s="406">
        <f t="shared" ca="1" si="21"/>
        <v>-349.34400833936888</v>
      </c>
      <c r="N28" s="406">
        <f t="shared" ca="1" si="21"/>
        <v>-266.67069426905891</v>
      </c>
      <c r="O28" s="406">
        <f t="shared" ca="1" si="21"/>
        <v>-195.60939071286248</v>
      </c>
      <c r="P28" s="406">
        <f t="shared" ca="1" si="21"/>
        <v>-1022.8763564851092</v>
      </c>
      <c r="Q28" s="406">
        <f t="shared" ca="1" si="21"/>
        <v>799.40757413026449</v>
      </c>
      <c r="R28" s="406">
        <f t="shared" ca="1" si="21"/>
        <v>623.8909751514766</v>
      </c>
      <c r="S28" s="406">
        <f t="shared" ca="1" si="21"/>
        <v>525.67652663786248</v>
      </c>
      <c r="T28" s="406">
        <f t="shared" ca="1" si="21"/>
        <v>450.66674253491874</v>
      </c>
      <c r="U28" s="406">
        <f t="shared" ca="1" si="21"/>
        <v>-1351.4850911328776</v>
      </c>
      <c r="V28" s="406">
        <f t="shared" ca="1" si="21"/>
        <v>2703.0116524193054</v>
      </c>
      <c r="W28" s="406">
        <f t="shared" ca="1" si="21"/>
        <v>371.75460789049612</v>
      </c>
      <c r="X28" s="406">
        <f t="shared" ca="1" si="21"/>
        <v>345.7978885048542</v>
      </c>
      <c r="Y28" s="406">
        <f t="shared" ca="1" si="21"/>
        <v>325.96803460197316</v>
      </c>
      <c r="Z28" s="406">
        <f t="shared" ca="1" si="21"/>
        <v>-3580.0135464617551</v>
      </c>
      <c r="AA28" s="406">
        <f t="shared" ca="1" si="21"/>
        <v>3067.2463413969363</v>
      </c>
      <c r="AB28" s="406">
        <f t="shared" ca="1" si="21"/>
        <v>685.48130309502903</v>
      </c>
      <c r="AC28" s="406">
        <f t="shared" ca="1" si="21"/>
        <v>609.44268183658278</v>
      </c>
      <c r="AD28" s="406">
        <f t="shared" ca="1" si="21"/>
        <v>548.06602250123069</v>
      </c>
      <c r="AE28" s="406">
        <f t="shared" ca="1" si="21"/>
        <v>-4476.7307543347451</v>
      </c>
      <c r="AF28" s="410">
        <f t="shared" ca="1" si="21"/>
        <v>1475.5583396345619</v>
      </c>
      <c r="AG28" s="621"/>
      <c r="AH28" s="7"/>
      <c r="AI28" s="7"/>
      <c r="AJ28" s="7"/>
      <c r="AK28" s="11"/>
      <c r="AL28" s="11"/>
      <c r="AM28" s="11"/>
      <c r="AN28" s="11"/>
    </row>
    <row r="29" spans="1:40" ht="15">
      <c r="A29" s="987"/>
      <c r="B29" s="300">
        <v>22</v>
      </c>
      <c r="C29" s="325" t="s">
        <v>420</v>
      </c>
      <c r="D29" s="381">
        <f>'Fin. Data'!D28</f>
        <v>-526</v>
      </c>
      <c r="E29" s="358">
        <f>'Fin. Data'!C28</f>
        <v>-808</v>
      </c>
      <c r="F29" s="424">
        <f>'Fin. Data'!B28</f>
        <v>-802</v>
      </c>
      <c r="G29" s="409">
        <f>-G17*$D$65</f>
        <v>-1375.1757750584732</v>
      </c>
      <c r="H29" s="406">
        <f ca="1">-H17*$D$65</f>
        <v>-1477.8039448546763</v>
      </c>
      <c r="I29" s="406">
        <f ca="1">-I17*$D$65</f>
        <v>-1633.8147273783418</v>
      </c>
      <c r="J29" s="543">
        <f ca="1">-J17*$D$65</f>
        <v>-1717.5503783180145</v>
      </c>
      <c r="K29" s="409">
        <f t="shared" ref="K29:AF29" ca="1" si="22">-K17*$E$65</f>
        <v>-1717.5204214968426</v>
      </c>
      <c r="L29" s="406">
        <f ca="1">-L17*$E$65</f>
        <v>-2080.1267219791462</v>
      </c>
      <c r="M29" s="406">
        <f t="shared" ca="1" si="22"/>
        <v>-2058.7287150049151</v>
      </c>
      <c r="N29" s="406">
        <f t="shared" ca="1" si="22"/>
        <v>-2080.2343713055589</v>
      </c>
      <c r="O29" s="406">
        <f t="shared" ca="1" si="22"/>
        <v>-2147.9812027063927</v>
      </c>
      <c r="P29" s="406">
        <f t="shared" ca="1" si="22"/>
        <v>-1929.2997201432477</v>
      </c>
      <c r="Q29" s="406">
        <f t="shared" ca="1" si="22"/>
        <v>-2419.3516109141106</v>
      </c>
      <c r="R29" s="406">
        <f t="shared" ca="1" si="22"/>
        <v>-2894.2702133164566</v>
      </c>
      <c r="S29" s="406">
        <f t="shared" ca="1" si="22"/>
        <v>-3385.0884183199883</v>
      </c>
      <c r="T29" s="406">
        <f t="shared" ca="1" si="22"/>
        <v>-3910.5765932255135</v>
      </c>
      <c r="U29" s="406">
        <f t="shared" ca="1" si="22"/>
        <v>-3832.820894771507</v>
      </c>
      <c r="V29" s="406">
        <f t="shared" ca="1" si="22"/>
        <v>-5352.7221688745312</v>
      </c>
      <c r="W29" s="406">
        <f t="shared" ca="1" si="22"/>
        <v>-6131.1483447978535</v>
      </c>
      <c r="X29" s="406">
        <f t="shared" ca="1" si="22"/>
        <v>-7023.318400328144</v>
      </c>
      <c r="Y29" s="406">
        <f t="shared" ca="1" si="22"/>
        <v>-8065.1972515730313</v>
      </c>
      <c r="Z29" s="406">
        <f t="shared" ca="1" si="22"/>
        <v>-7827.3910446414429</v>
      </c>
      <c r="AA29" s="406">
        <f t="shared" ca="1" si="22"/>
        <v>-10281.656133894079</v>
      </c>
      <c r="AB29" s="406">
        <f t="shared" ca="1" si="22"/>
        <v>-12156.101234754839</v>
      </c>
      <c r="AC29" s="406">
        <f t="shared" ca="1" si="22"/>
        <v>-14334.673695431844</v>
      </c>
      <c r="AD29" s="406">
        <f t="shared" ca="1" si="22"/>
        <v>-16899.832730899823</v>
      </c>
      <c r="AE29" s="406">
        <f t="shared" ca="1" si="22"/>
        <v>-18069.270210094732</v>
      </c>
      <c r="AF29" s="410">
        <f t="shared" ca="1" si="22"/>
        <v>-22027.456776284958</v>
      </c>
      <c r="AG29" s="621"/>
      <c r="AH29" s="7"/>
      <c r="AI29" s="7"/>
      <c r="AJ29" s="7"/>
      <c r="AK29" s="11"/>
      <c r="AL29" s="11"/>
      <c r="AM29" s="11"/>
      <c r="AN29" s="11"/>
    </row>
    <row r="30" spans="1:40" s="7" customFormat="1" ht="15">
      <c r="A30" s="987"/>
      <c r="B30" s="300">
        <v>23</v>
      </c>
      <c r="C30" s="325" t="s">
        <v>421</v>
      </c>
      <c r="D30" s="359">
        <f>'Fin. Data'!D27</f>
        <v>-1479</v>
      </c>
      <c r="E30" s="358">
        <f>'Fin. Data'!C27</f>
        <v>-1318</v>
      </c>
      <c r="F30" s="425">
        <f>'Fin. Data'!B27</f>
        <v>-1498</v>
      </c>
      <c r="G30" s="409">
        <f>-$D$64*G17</f>
        <v>-2548.1821144443006</v>
      </c>
      <c r="H30" s="406">
        <f t="shared" ref="H30:J30" ca="1" si="23">-$D$64*H17</f>
        <v>-2738.3507252182344</v>
      </c>
      <c r="I30" s="406">
        <f t="shared" ca="1" si="23"/>
        <v>-3027.4365954738823</v>
      </c>
      <c r="J30" s="543">
        <f t="shared" ca="1" si="23"/>
        <v>-3182.5976242934544</v>
      </c>
      <c r="K30" s="409">
        <f t="shared" ref="K30:AF30" ca="1" si="24">-$E$64*K17</f>
        <v>-3425.5887938226761</v>
      </c>
      <c r="L30" s="406">
        <f t="shared" ca="1" si="24"/>
        <v>-4148.8058595150515</v>
      </c>
      <c r="M30" s="406">
        <f t="shared" ca="1" si="24"/>
        <v>-4106.1276054555256</v>
      </c>
      <c r="N30" s="406">
        <f t="shared" ca="1" si="24"/>
        <v>-4149.0205657401457</v>
      </c>
      <c r="O30" s="406">
        <f t="shared" ca="1" si="24"/>
        <v>-4284.141396653722</v>
      </c>
      <c r="P30" s="406">
        <f t="shared" ca="1" si="24"/>
        <v>-3847.9819037540829</v>
      </c>
      <c r="Q30" s="406">
        <f t="shared" ca="1" si="24"/>
        <v>-4825.3887772940543</v>
      </c>
      <c r="R30" s="406">
        <f t="shared" ca="1" si="24"/>
        <v>-5772.6123572905926</v>
      </c>
      <c r="S30" s="406">
        <f t="shared" ca="1" si="24"/>
        <v>-6751.5476420302912</v>
      </c>
      <c r="T30" s="406">
        <f t="shared" ca="1" si="24"/>
        <v>-7799.6320669443667</v>
      </c>
      <c r="U30" s="406">
        <f t="shared" ca="1" si="24"/>
        <v>-7644.5485838334262</v>
      </c>
      <c r="V30" s="406">
        <f t="shared" ca="1" si="24"/>
        <v>-10675.986642512544</v>
      </c>
      <c r="W30" s="406">
        <f t="shared" ca="1" si="24"/>
        <v>-12228.555072957884</v>
      </c>
      <c r="X30" s="406">
        <f t="shared" ca="1" si="24"/>
        <v>-14007.985294663889</v>
      </c>
      <c r="Y30" s="406">
        <f t="shared" ca="1" si="24"/>
        <v>-16086.009213724399</v>
      </c>
      <c r="Z30" s="406">
        <f t="shared" ca="1" si="24"/>
        <v>-15611.70552139545</v>
      </c>
      <c r="AA30" s="406">
        <f t="shared" ca="1" si="24"/>
        <v>-20506.729115634269</v>
      </c>
      <c r="AB30" s="406">
        <f t="shared" ca="1" si="24"/>
        <v>-24245.303662857626</v>
      </c>
      <c r="AC30" s="406">
        <f t="shared" ca="1" si="24"/>
        <v>-28590.459222243542</v>
      </c>
      <c r="AD30" s="406">
        <f t="shared" ca="1" si="24"/>
        <v>-33706.66042502979</v>
      </c>
      <c r="AE30" s="406">
        <f t="shared" ca="1" si="24"/>
        <v>-36039.099605179406</v>
      </c>
      <c r="AF30" s="410">
        <f t="shared" ca="1" si="24"/>
        <v>-43933.689605561318</v>
      </c>
      <c r="AG30" s="621"/>
      <c r="AK30" s="11"/>
      <c r="AL30" s="11"/>
      <c r="AM30" s="11"/>
      <c r="AN30" s="11"/>
    </row>
    <row r="31" spans="1:40" s="3" customFormat="1" ht="15">
      <c r="A31" s="987"/>
      <c r="B31" s="300">
        <v>24</v>
      </c>
      <c r="C31" s="325" t="s">
        <v>422</v>
      </c>
      <c r="D31" s="464">
        <f>Inputs!D75</f>
        <v>-5275</v>
      </c>
      <c r="E31" s="463">
        <f>Inputs!C75</f>
        <v>-2063</v>
      </c>
      <c r="F31" s="462">
        <f>Inputs!B75</f>
        <v>-790</v>
      </c>
      <c r="G31" s="409">
        <f>(1+G5)*AVERAGE(D31:F31)</f>
        <v>-2877.3120000000004</v>
      </c>
      <c r="H31" s="406">
        <f t="shared" ref="H31:AF31" ca="1" si="25">(1+H5)*AVERAGE(E31:G31)</f>
        <v>-2005.6092000000001</v>
      </c>
      <c r="I31" s="406">
        <f t="shared" ca="1" si="25"/>
        <v>-2023.6799720832453</v>
      </c>
      <c r="J31" s="543">
        <f t="shared" ca="1" si="25"/>
        <v>-2417.516209481344</v>
      </c>
      <c r="K31" s="598">
        <f t="shared" ca="1" si="25"/>
        <v>-2213.4031810038423</v>
      </c>
      <c r="L31" s="599">
        <f t="shared" ca="1" si="25"/>
        <v>-2359.8233556133032</v>
      </c>
      <c r="M31" s="599">
        <f t="shared" ca="1" si="25"/>
        <v>-2459.3074821471746</v>
      </c>
      <c r="N31" s="599">
        <f t="shared" ca="1" si="25"/>
        <v>-2459.1329149307876</v>
      </c>
      <c r="O31" s="599">
        <f t="shared" ca="1" si="25"/>
        <v>-2533.5123111519033</v>
      </c>
      <c r="P31" s="599">
        <f t="shared" ca="1" si="25"/>
        <v>-2558.5037631589207</v>
      </c>
      <c r="Q31" s="599">
        <f t="shared" ca="1" si="25"/>
        <v>-2597.2080629036923</v>
      </c>
      <c r="R31" s="599">
        <f t="shared" ca="1" si="25"/>
        <v>-2643.5158638885914</v>
      </c>
      <c r="S31" s="599">
        <f t="shared" ca="1" si="25"/>
        <v>-2680.4346013547984</v>
      </c>
      <c r="T31" s="599">
        <f t="shared" ca="1" si="25"/>
        <v>-2721.6542376395087</v>
      </c>
      <c r="U31" s="599">
        <f t="shared" ca="1" si="25"/>
        <v>-2762.3242813231282</v>
      </c>
      <c r="V31" s="599">
        <f t="shared" ca="1" si="25"/>
        <v>-2890.2022445923717</v>
      </c>
      <c r="W31" s="599">
        <f t="shared" ca="1" si="25"/>
        <v>-2942.1288415956597</v>
      </c>
      <c r="X31" s="599">
        <f t="shared" ca="1" si="25"/>
        <v>-3002.3996083838988</v>
      </c>
      <c r="Y31" s="599">
        <f t="shared" ca="1" si="25"/>
        <v>-3073.0138265952696</v>
      </c>
      <c r="Z31" s="599">
        <f t="shared" ca="1" si="25"/>
        <v>-3096.0228482906909</v>
      </c>
      <c r="AA31" s="599">
        <f t="shared" ca="1" si="25"/>
        <v>-3241.0444239563067</v>
      </c>
      <c r="AB31" s="599">
        <f t="shared" ca="1" si="25"/>
        <v>-3301.731999229522</v>
      </c>
      <c r="AC31" s="599">
        <f t="shared" ca="1" si="25"/>
        <v>-3363.8173362027696</v>
      </c>
      <c r="AD31" s="599">
        <f t="shared" ca="1" si="25"/>
        <v>-3443.2715980302632</v>
      </c>
      <c r="AE31" s="599">
        <f t="shared" ca="1" si="25"/>
        <v>-3470.6951871554775</v>
      </c>
      <c r="AF31" s="600">
        <f t="shared" ca="1" si="25"/>
        <v>-3535.0307386180589</v>
      </c>
      <c r="AG31" s="621"/>
      <c r="AH31" s="644"/>
      <c r="AI31" s="644"/>
      <c r="AJ31" s="644"/>
      <c r="AK31" s="642"/>
      <c r="AL31" s="642"/>
      <c r="AM31" s="642"/>
      <c r="AN31" s="642"/>
    </row>
    <row r="32" spans="1:40" s="7" customFormat="1" ht="16.5" customHeight="1" thickBot="1">
      <c r="A32" s="988"/>
      <c r="B32" s="301">
        <v>25</v>
      </c>
      <c r="C32" s="335" t="s">
        <v>423</v>
      </c>
      <c r="D32" s="534">
        <f t="shared" ref="D32:AF32" si="26">D27+D28+D29+D30+D31</f>
        <v>-6488</v>
      </c>
      <c r="E32" s="535">
        <f t="shared" si="26"/>
        <v>-4283</v>
      </c>
      <c r="F32" s="536">
        <f t="shared" si="26"/>
        <v>-3890</v>
      </c>
      <c r="G32" s="539">
        <f t="shared" si="26"/>
        <v>-13823.41366944764</v>
      </c>
      <c r="H32" s="540">
        <f t="shared" ca="1" si="26"/>
        <v>-5938.4914774979698</v>
      </c>
      <c r="I32" s="540">
        <f t="shared" ca="1" si="26"/>
        <v>-6338.728309115807</v>
      </c>
      <c r="J32" s="545">
        <f t="shared" ca="1" si="26"/>
        <v>-7127.4434950290279</v>
      </c>
      <c r="K32" s="539">
        <f t="shared" ca="1" si="26"/>
        <v>-7252.2268923185047</v>
      </c>
      <c r="L32" s="540">
        <f t="shared" ca="1" si="26"/>
        <v>-7864.9172836754296</v>
      </c>
      <c r="M32" s="540">
        <f t="shared" ca="1" si="26"/>
        <v>-8973.5078109469832</v>
      </c>
      <c r="N32" s="540">
        <f t="shared" ca="1" si="26"/>
        <v>-8955.058546245551</v>
      </c>
      <c r="O32" s="540">
        <f t="shared" ca="1" si="26"/>
        <v>-9161.2443012248805</v>
      </c>
      <c r="P32" s="540">
        <f t="shared" ca="1" si="26"/>
        <v>-9358.6617435413609</v>
      </c>
      <c r="Q32" s="540">
        <f t="shared" ca="1" si="26"/>
        <v>-9042.5408769815931</v>
      </c>
      <c r="R32" s="540">
        <f t="shared" ca="1" si="26"/>
        <v>-10686.507459344164</v>
      </c>
      <c r="S32" s="540">
        <f t="shared" ca="1" si="26"/>
        <v>-12291.394135067216</v>
      </c>
      <c r="T32" s="540">
        <f t="shared" ca="1" si="26"/>
        <v>-13981.196155274469</v>
      </c>
      <c r="U32" s="540">
        <f t="shared" ca="1" si="26"/>
        <v>-15591.178851060939</v>
      </c>
      <c r="V32" s="540">
        <f t="shared" ca="1" si="26"/>
        <v>-16215.899403560143</v>
      </c>
      <c r="W32" s="540">
        <f t="shared" ca="1" si="26"/>
        <v>-20930.077651460902</v>
      </c>
      <c r="X32" s="540">
        <f t="shared" ca="1" si="26"/>
        <v>-23687.905414871075</v>
      </c>
      <c r="Y32" s="540">
        <f t="shared" ca="1" si="26"/>
        <v>-26898.252257290726</v>
      </c>
      <c r="Z32" s="540">
        <f t="shared" ca="1" si="26"/>
        <v>-30115.132960789335</v>
      </c>
      <c r="AA32" s="540">
        <f t="shared" ca="1" si="26"/>
        <v>-30962.183332087719</v>
      </c>
      <c r="AB32" s="540">
        <f t="shared" ca="1" si="26"/>
        <v>-39017.65559374696</v>
      </c>
      <c r="AC32" s="540">
        <f t="shared" ca="1" si="26"/>
        <v>-45679.50757204157</v>
      </c>
      <c r="AD32" s="540">
        <f t="shared" ca="1" si="26"/>
        <v>-53501.698731458644</v>
      </c>
      <c r="AE32" s="540">
        <f t="shared" ca="1" si="26"/>
        <v>-62055.795756764361</v>
      </c>
      <c r="AF32" s="541">
        <f t="shared" ca="1" si="26"/>
        <v>-68020.618780829784</v>
      </c>
      <c r="AG32" s="621"/>
      <c r="AK32" s="11"/>
      <c r="AL32" s="11"/>
      <c r="AM32" s="11"/>
      <c r="AN32" s="11"/>
    </row>
    <row r="33" spans="1:40" ht="13.5" thickBot="1">
      <c r="A33" s="973"/>
      <c r="B33" s="974"/>
      <c r="C33" s="974"/>
      <c r="D33" s="974"/>
      <c r="E33" s="974"/>
      <c r="F33" s="974"/>
      <c r="G33" s="975"/>
      <c r="H33" s="975"/>
      <c r="I33" s="975"/>
      <c r="J33" s="975"/>
      <c r="K33" s="976"/>
      <c r="L33" s="976"/>
      <c r="M33" s="976"/>
      <c r="N33" s="976"/>
      <c r="O33" s="976"/>
      <c r="P33" s="976"/>
      <c r="Q33" s="976"/>
      <c r="R33" s="976"/>
      <c r="S33" s="976"/>
      <c r="T33" s="976"/>
      <c r="U33" s="976"/>
      <c r="V33" s="976"/>
      <c r="W33" s="976"/>
      <c r="X33" s="976"/>
      <c r="Y33" s="976"/>
      <c r="Z33" s="976"/>
      <c r="AA33" s="976"/>
      <c r="AB33" s="976"/>
      <c r="AC33" s="976"/>
      <c r="AD33" s="976"/>
      <c r="AE33" s="976"/>
      <c r="AF33" s="977"/>
      <c r="AG33" s="7"/>
      <c r="AH33" s="7"/>
      <c r="AI33" s="7"/>
      <c r="AJ33" s="7"/>
      <c r="AK33" s="11"/>
      <c r="AL33" s="11"/>
      <c r="AM33" s="11"/>
      <c r="AN33" s="11"/>
    </row>
    <row r="34" spans="1:40" ht="15">
      <c r="A34" s="1001" t="s">
        <v>424</v>
      </c>
      <c r="B34" s="300">
        <v>26</v>
      </c>
      <c r="C34" s="304" t="s">
        <v>425</v>
      </c>
      <c r="D34" s="658">
        <f>D22+D26+D27+D28+D31</f>
        <v>-2487</v>
      </c>
      <c r="E34" s="531">
        <f t="shared" ref="E34:AF34" si="27">E22+E26+E27+E28+E31</f>
        <v>100</v>
      </c>
      <c r="F34" s="570">
        <f t="shared" si="27"/>
        <v>-1348</v>
      </c>
      <c r="G34" s="571">
        <f t="shared" si="27"/>
        <v>-1391.022276621648</v>
      </c>
      <c r="H34" s="572">
        <f t="shared" ca="1" si="27"/>
        <v>7413.0351941909566</v>
      </c>
      <c r="I34" s="572">
        <f ca="1">I22+I26+I27+I28+I31</f>
        <v>8401.2397048359635</v>
      </c>
      <c r="J34" s="573">
        <f t="shared" ca="1" si="27"/>
        <v>8364.2646576891511</v>
      </c>
      <c r="K34" s="569">
        <f ca="1">K22+K26+K27+K28+K31</f>
        <v>8916.689606681437</v>
      </c>
      <c r="L34" s="532">
        <f t="shared" ca="1" si="27"/>
        <v>11194.384549319659</v>
      </c>
      <c r="M34" s="532">
        <f t="shared" ca="1" si="27"/>
        <v>9586.5903599929443</v>
      </c>
      <c r="N34" s="532">
        <f t="shared" ca="1" si="27"/>
        <v>9510.7602627581527</v>
      </c>
      <c r="O34" s="532">
        <f t="shared" ca="1" si="27"/>
        <v>9637.8125528093224</v>
      </c>
      <c r="P34" s="532">
        <f t="shared" ca="1" si="27"/>
        <v>7310.7570720823787</v>
      </c>
      <c r="Q34" s="532">
        <f t="shared" ca="1" si="27"/>
        <v>11785.801985693042</v>
      </c>
      <c r="R34" s="532">
        <f t="shared" ca="1" si="27"/>
        <v>14162.517561611257</v>
      </c>
      <c r="S34" s="532">
        <f t="shared" ca="1" si="27"/>
        <v>16715.676648113011</v>
      </c>
      <c r="T34" s="532">
        <f t="shared" ca="1" si="27"/>
        <v>19487.478454633769</v>
      </c>
      <c r="U34" s="532">
        <f t="shared" ca="1" si="27"/>
        <v>16968.347040736684</v>
      </c>
      <c r="V34" s="532">
        <f t="shared" ca="1" si="27"/>
        <v>29381.47318418778</v>
      </c>
      <c r="W34" s="532">
        <f t="shared" ca="1" si="27"/>
        <v>31145.064654720925</v>
      </c>
      <c r="X34" s="532">
        <f t="shared" ca="1" si="27"/>
        <v>35907.679520757316</v>
      </c>
      <c r="Y34" s="532">
        <f t="shared" ca="1" si="27"/>
        <v>41572.930207989644</v>
      </c>
      <c r="Z34" s="532">
        <f t="shared" ca="1" si="27"/>
        <v>35960.00559499723</v>
      </c>
      <c r="AA34" s="532">
        <f t="shared" ca="1" si="27"/>
        <v>56353.689424873271</v>
      </c>
      <c r="AB34" s="532">
        <f t="shared" ca="1" si="27"/>
        <v>64425.210223624978</v>
      </c>
      <c r="AC34" s="532">
        <f t="shared" ca="1" si="27"/>
        <v>76633.179545437859</v>
      </c>
      <c r="AD34" s="532">
        <f t="shared" ca="1" si="27"/>
        <v>91148.140218778019</v>
      </c>
      <c r="AE34" s="532">
        <f t="shared" ca="1" si="27"/>
        <v>92647.806728955475</v>
      </c>
      <c r="AF34" s="533">
        <f t="shared" ca="1" si="27"/>
        <v>121524.56274798956</v>
      </c>
      <c r="AG34" s="621"/>
      <c r="AH34" s="7"/>
      <c r="AI34" s="7"/>
      <c r="AJ34" s="7"/>
      <c r="AK34" s="11"/>
      <c r="AL34" s="11"/>
      <c r="AM34" s="11"/>
      <c r="AN34" s="11"/>
    </row>
    <row r="35" spans="1:40" s="3" customFormat="1" ht="15">
      <c r="A35" s="1001"/>
      <c r="B35" s="300">
        <v>27</v>
      </c>
      <c r="C35" s="304" t="s">
        <v>426</v>
      </c>
      <c r="D35" s="432">
        <f>-1*(D29+D30)</f>
        <v>2005</v>
      </c>
      <c r="E35" s="429">
        <f t="shared" ref="E35:AF35" si="28">-1*(E29+E30)</f>
        <v>2126</v>
      </c>
      <c r="F35" s="436">
        <f t="shared" si="28"/>
        <v>2300</v>
      </c>
      <c r="G35" s="447">
        <f t="shared" si="28"/>
        <v>3923.357889502774</v>
      </c>
      <c r="H35" s="382">
        <f t="shared" ca="1" si="28"/>
        <v>4216.1546700729104</v>
      </c>
      <c r="I35" s="382">
        <f t="shared" ca="1" si="28"/>
        <v>4661.2513228522239</v>
      </c>
      <c r="J35" s="448">
        <f ca="1">-1*(J29+J30)</f>
        <v>4900.1480026114687</v>
      </c>
      <c r="K35" s="382">
        <f t="shared" ca="1" si="28"/>
        <v>5143.1092153195186</v>
      </c>
      <c r="L35" s="382">
        <f ca="1">-1*(L29+L30)</f>
        <v>6228.9325814941976</v>
      </c>
      <c r="M35" s="382">
        <f t="shared" ca="1" si="28"/>
        <v>6164.8563204604407</v>
      </c>
      <c r="N35" s="382">
        <f t="shared" ca="1" si="28"/>
        <v>6229.2549370457045</v>
      </c>
      <c r="O35" s="382">
        <f t="shared" ca="1" si="28"/>
        <v>6432.1225993601147</v>
      </c>
      <c r="P35" s="382">
        <f t="shared" ca="1" si="28"/>
        <v>5777.2816238973301</v>
      </c>
      <c r="Q35" s="382">
        <f t="shared" ca="1" si="28"/>
        <v>7244.7403882081653</v>
      </c>
      <c r="R35" s="382">
        <f t="shared" ca="1" si="28"/>
        <v>8666.8825706070493</v>
      </c>
      <c r="S35" s="382">
        <f t="shared" ca="1" si="28"/>
        <v>10136.63606035028</v>
      </c>
      <c r="T35" s="382">
        <f t="shared" ca="1" si="28"/>
        <v>11710.208660169879</v>
      </c>
      <c r="U35" s="382">
        <f t="shared" ca="1" si="28"/>
        <v>11477.369478604933</v>
      </c>
      <c r="V35" s="382">
        <f t="shared" ca="1" si="28"/>
        <v>16028.708811387074</v>
      </c>
      <c r="W35" s="382">
        <f t="shared" ca="1" si="28"/>
        <v>18359.703417755736</v>
      </c>
      <c r="X35" s="382">
        <f t="shared" ca="1" si="28"/>
        <v>21031.303694992035</v>
      </c>
      <c r="Y35" s="382">
        <f t="shared" ca="1" si="28"/>
        <v>24151.20646529743</v>
      </c>
      <c r="Z35" s="382">
        <f t="shared" ca="1" si="28"/>
        <v>23439.096566036893</v>
      </c>
      <c r="AA35" s="382">
        <f t="shared" ca="1" si="28"/>
        <v>30788.38524952835</v>
      </c>
      <c r="AB35" s="382">
        <f t="shared" ca="1" si="28"/>
        <v>36401.404897612461</v>
      </c>
      <c r="AC35" s="382">
        <f t="shared" ca="1" si="28"/>
        <v>42925.132917675386</v>
      </c>
      <c r="AD35" s="382">
        <f t="shared" ca="1" si="28"/>
        <v>50606.493155929609</v>
      </c>
      <c r="AE35" s="382">
        <f t="shared" ca="1" si="28"/>
        <v>54108.369815274142</v>
      </c>
      <c r="AF35" s="448">
        <f t="shared" ca="1" si="28"/>
        <v>65961.14638184628</v>
      </c>
      <c r="AG35" s="621"/>
      <c r="AH35" s="644"/>
      <c r="AI35" s="644"/>
      <c r="AJ35" s="644"/>
      <c r="AK35" s="642"/>
      <c r="AL35" s="642"/>
      <c r="AM35" s="642"/>
      <c r="AN35" s="642"/>
    </row>
    <row r="36" spans="1:40" s="7" customFormat="1" ht="15.75" thickBot="1">
      <c r="A36" s="1001"/>
      <c r="B36" s="301">
        <v>28</v>
      </c>
      <c r="C36" s="299" t="s">
        <v>427</v>
      </c>
      <c r="D36" s="509">
        <f>D34-D35</f>
        <v>-4492</v>
      </c>
      <c r="E36" s="510">
        <f>E34-E35</f>
        <v>-2026</v>
      </c>
      <c r="F36" s="437">
        <f>F34-F35</f>
        <v>-3648</v>
      </c>
      <c r="G36" s="449">
        <f>G34-G35</f>
        <v>-5314.3801661244215</v>
      </c>
      <c r="H36" s="450">
        <f t="shared" ref="H36:AF36" ca="1" si="29">H34-H35</f>
        <v>3196.8805241180462</v>
      </c>
      <c r="I36" s="450">
        <f ca="1">I34-I35</f>
        <v>3739.9883819837396</v>
      </c>
      <c r="J36" s="451">
        <f t="shared" ca="1" si="29"/>
        <v>3464.1166550776825</v>
      </c>
      <c r="K36" s="450">
        <f ca="1">K34-K35</f>
        <v>3773.5803913619184</v>
      </c>
      <c r="L36" s="450">
        <f t="shared" ca="1" si="29"/>
        <v>4965.451967825461</v>
      </c>
      <c r="M36" s="450">
        <f t="shared" ca="1" si="29"/>
        <v>3421.7340395325036</v>
      </c>
      <c r="N36" s="450">
        <f t="shared" ca="1" si="29"/>
        <v>3281.5053257124482</v>
      </c>
      <c r="O36" s="450">
        <f t="shared" ca="1" si="29"/>
        <v>3205.6899534492077</v>
      </c>
      <c r="P36" s="450">
        <f t="shared" ca="1" si="29"/>
        <v>1533.4754481850487</v>
      </c>
      <c r="Q36" s="450">
        <f t="shared" ca="1" si="29"/>
        <v>4541.061597484877</v>
      </c>
      <c r="R36" s="450">
        <f t="shared" ca="1" si="29"/>
        <v>5495.6349910042081</v>
      </c>
      <c r="S36" s="450">
        <f t="shared" ca="1" si="29"/>
        <v>6579.0405877627309</v>
      </c>
      <c r="T36" s="450">
        <f t="shared" ca="1" si="29"/>
        <v>7777.2697944638894</v>
      </c>
      <c r="U36" s="450">
        <f t="shared" ca="1" si="29"/>
        <v>5490.9775621317513</v>
      </c>
      <c r="V36" s="450">
        <f t="shared" ca="1" si="29"/>
        <v>13352.764372800706</v>
      </c>
      <c r="W36" s="450">
        <f t="shared" ca="1" si="29"/>
        <v>12785.361236965189</v>
      </c>
      <c r="X36" s="450">
        <f t="shared" ca="1" si="29"/>
        <v>14876.375825765281</v>
      </c>
      <c r="Y36" s="450">
        <f t="shared" ca="1" si="29"/>
        <v>17421.723742692215</v>
      </c>
      <c r="Z36" s="450">
        <f t="shared" ca="1" si="29"/>
        <v>12520.909028960337</v>
      </c>
      <c r="AA36" s="450">
        <f t="shared" ca="1" si="29"/>
        <v>25565.304175344922</v>
      </c>
      <c r="AB36" s="450">
        <f t="shared" ca="1" si="29"/>
        <v>28023.805326012516</v>
      </c>
      <c r="AC36" s="450">
        <f t="shared" ca="1" si="29"/>
        <v>33708.046627762473</v>
      </c>
      <c r="AD36" s="450">
        <f t="shared" ca="1" si="29"/>
        <v>40541.647062848409</v>
      </c>
      <c r="AE36" s="450">
        <f t="shared" ca="1" si="29"/>
        <v>38539.436913681333</v>
      </c>
      <c r="AF36" s="451">
        <f t="shared" ca="1" si="29"/>
        <v>55563.416366143283</v>
      </c>
      <c r="AG36" s="621"/>
      <c r="AK36" s="11"/>
      <c r="AL36" s="11"/>
      <c r="AM36" s="11"/>
      <c r="AN36" s="11"/>
    </row>
    <row r="37" spans="1:40" ht="15.75" thickBot="1">
      <c r="A37" s="310"/>
      <c r="B37" s="308"/>
      <c r="C37" s="309"/>
      <c r="D37" s="537"/>
      <c r="E37" s="537"/>
      <c r="F37" s="537"/>
      <c r="G37" s="537"/>
      <c r="H37" s="537"/>
      <c r="I37" s="537"/>
      <c r="J37" s="537"/>
      <c r="K37" s="537"/>
      <c r="L37" s="537"/>
      <c r="M37" s="537"/>
      <c r="N37" s="537"/>
      <c r="O37" s="537"/>
      <c r="P37" s="537"/>
      <c r="Q37" s="537"/>
      <c r="R37" s="537"/>
      <c r="S37" s="537"/>
      <c r="T37" s="537"/>
      <c r="U37" s="537"/>
      <c r="V37" s="537"/>
      <c r="W37" s="537"/>
      <c r="X37" s="537"/>
      <c r="Y37" s="537"/>
      <c r="Z37" s="537"/>
      <c r="AA37" s="537"/>
      <c r="AB37" s="537"/>
      <c r="AC37" s="537"/>
      <c r="AD37" s="537"/>
      <c r="AE37" s="537"/>
      <c r="AF37" s="538"/>
      <c r="AG37" s="621"/>
      <c r="AH37" s="7"/>
      <c r="AI37" s="7"/>
      <c r="AJ37" s="7"/>
      <c r="AK37" s="11"/>
      <c r="AL37" s="11"/>
      <c r="AM37" s="11"/>
      <c r="AN37" s="11"/>
    </row>
    <row r="38" spans="1:40" ht="15">
      <c r="A38" s="1002" t="s">
        <v>428</v>
      </c>
      <c r="B38" s="302">
        <v>29</v>
      </c>
      <c r="C38" s="304" t="s">
        <v>429</v>
      </c>
      <c r="D38" s="430">
        <v>988</v>
      </c>
      <c r="E38" s="431">
        <v>996</v>
      </c>
      <c r="F38" s="435">
        <v>993</v>
      </c>
      <c r="G38" s="439">
        <f>+F38+(-G10)</f>
        <v>1002.383216595818</v>
      </c>
      <c r="H38" s="440">
        <f t="shared" ref="H38:AF38" si="30">+G38+(-H10)</f>
        <v>1011.855098603201</v>
      </c>
      <c r="I38" s="440">
        <f t="shared" si="30"/>
        <v>1021.4164838537313</v>
      </c>
      <c r="J38" s="441">
        <f t="shared" si="30"/>
        <v>1031.0682180959652</v>
      </c>
      <c r="K38" s="574">
        <f t="shared" si="30"/>
        <v>1040.8111550702438</v>
      </c>
      <c r="L38" s="440">
        <f t="shared" si="30"/>
        <v>1050.6461565842092</v>
      </c>
      <c r="M38" s="440">
        <f t="shared" si="30"/>
        <v>1060.5740925890364</v>
      </c>
      <c r="N38" s="440">
        <f t="shared" si="30"/>
        <v>1070.5958412563839</v>
      </c>
      <c r="O38" s="440">
        <f t="shared" si="30"/>
        <v>1080.7122890560722</v>
      </c>
      <c r="P38" s="440">
        <f t="shared" si="30"/>
        <v>1090.9243308344965</v>
      </c>
      <c r="Q38" s="440">
        <f t="shared" si="30"/>
        <v>1101.2328698937793</v>
      </c>
      <c r="R38" s="440">
        <f t="shared" si="30"/>
        <v>1111.6388180716719</v>
      </c>
      <c r="S38" s="440">
        <f t="shared" si="30"/>
        <v>1122.1430958222113</v>
      </c>
      <c r="T38" s="440">
        <f t="shared" si="30"/>
        <v>1132.7466322971372</v>
      </c>
      <c r="U38" s="440">
        <f t="shared" si="30"/>
        <v>1143.4503654280813</v>
      </c>
      <c r="V38" s="440">
        <f t="shared" si="30"/>
        <v>1154.2552420095303</v>
      </c>
      <c r="W38" s="440">
        <f t="shared" si="30"/>
        <v>1165.1622177825752</v>
      </c>
      <c r="X38" s="440">
        <f t="shared" si="30"/>
        <v>1176.1722575194508</v>
      </c>
      <c r="Y38" s="440">
        <f t="shared" si="30"/>
        <v>1187.286335108874</v>
      </c>
      <c r="Z38" s="440">
        <f t="shared" si="30"/>
        <v>1198.5054336421888</v>
      </c>
      <c r="AA38" s="440">
        <f t="shared" si="30"/>
        <v>1209.8305455003251</v>
      </c>
      <c r="AB38" s="440">
        <f t="shared" si="30"/>
        <v>1221.26267244158</v>
      </c>
      <c r="AC38" s="440">
        <f t="shared" si="30"/>
        <v>1232.8028256902273</v>
      </c>
      <c r="AD38" s="440">
        <f t="shared" si="30"/>
        <v>1244.4520260259653</v>
      </c>
      <c r="AE38" s="440">
        <f t="shared" si="30"/>
        <v>1256.2113038742091</v>
      </c>
      <c r="AF38" s="441">
        <f t="shared" si="30"/>
        <v>1268.0816993972369</v>
      </c>
      <c r="AG38" s="622">
        <f>SUM(G38:AF38)</f>
        <v>29386.221223044202</v>
      </c>
      <c r="AH38" s="7"/>
      <c r="AI38" s="7"/>
      <c r="AJ38" s="7"/>
      <c r="AK38" s="11"/>
      <c r="AL38" s="11"/>
      <c r="AM38" s="11"/>
      <c r="AN38" s="11"/>
    </row>
    <row r="39" spans="1:40" ht="15">
      <c r="A39" s="1001"/>
      <c r="B39" s="302">
        <v>30</v>
      </c>
      <c r="C39" s="304" t="s">
        <v>430</v>
      </c>
      <c r="D39" s="429">
        <v>-12896</v>
      </c>
      <c r="E39" s="436">
        <v>-14166</v>
      </c>
      <c r="F39" s="436">
        <v>-15286</v>
      </c>
      <c r="G39" s="442">
        <f>F39-G10</f>
        <v>-15276.616783404183</v>
      </c>
      <c r="H39" s="438">
        <f t="shared" ref="H39:AF39" si="31">G39-H10</f>
        <v>-15267.144901396799</v>
      </c>
      <c r="I39" s="438">
        <f t="shared" si="31"/>
        <v>-15257.583516146269</v>
      </c>
      <c r="J39" s="443">
        <f t="shared" si="31"/>
        <v>-15247.931781904035</v>
      </c>
      <c r="K39" s="575">
        <f t="shared" si="31"/>
        <v>-15238.188844929757</v>
      </c>
      <c r="L39" s="438">
        <f t="shared" si="31"/>
        <v>-15228.353843415791</v>
      </c>
      <c r="M39" s="438">
        <f t="shared" si="31"/>
        <v>-15218.425907410963</v>
      </c>
      <c r="N39" s="438">
        <f t="shared" si="31"/>
        <v>-15208.404158743615</v>
      </c>
      <c r="O39" s="438">
        <f t="shared" si="31"/>
        <v>-15198.287710943927</v>
      </c>
      <c r="P39" s="438">
        <f t="shared" si="31"/>
        <v>-15188.075669165502</v>
      </c>
      <c r="Q39" s="438">
        <f t="shared" si="31"/>
        <v>-15177.76713010622</v>
      </c>
      <c r="R39" s="438">
        <f t="shared" si="31"/>
        <v>-15167.361181928327</v>
      </c>
      <c r="S39" s="438">
        <f t="shared" si="31"/>
        <v>-15156.856904177788</v>
      </c>
      <c r="T39" s="438">
        <f t="shared" si="31"/>
        <v>-15146.253367702862</v>
      </c>
      <c r="U39" s="438">
        <f t="shared" si="31"/>
        <v>-15135.549634571918</v>
      </c>
      <c r="V39" s="438">
        <f t="shared" si="31"/>
        <v>-15124.744757990469</v>
      </c>
      <c r="W39" s="438">
        <f t="shared" si="31"/>
        <v>-15113.837782217424</v>
      </c>
      <c r="X39" s="438">
        <f t="shared" si="31"/>
        <v>-15102.827742480549</v>
      </c>
      <c r="Y39" s="438">
        <f t="shared" si="31"/>
        <v>-15091.713664891126</v>
      </c>
      <c r="Z39" s="438">
        <f t="shared" si="31"/>
        <v>-15080.494566357811</v>
      </c>
      <c r="AA39" s="438">
        <f t="shared" si="31"/>
        <v>-15069.169454499675</v>
      </c>
      <c r="AB39" s="438">
        <f t="shared" si="31"/>
        <v>-15057.73732755842</v>
      </c>
      <c r="AC39" s="438">
        <f t="shared" si="31"/>
        <v>-15046.197174309773</v>
      </c>
      <c r="AD39" s="438">
        <f t="shared" si="31"/>
        <v>-15034.547973974035</v>
      </c>
      <c r="AE39" s="438">
        <f t="shared" si="31"/>
        <v>-15022.788696125792</v>
      </c>
      <c r="AF39" s="443">
        <f t="shared" si="31"/>
        <v>-15010.918300602763</v>
      </c>
      <c r="AG39" s="622">
        <f>SUM(G39:AF39)</f>
        <v>-393867.77877695573</v>
      </c>
      <c r="AH39" s="7"/>
      <c r="AI39" s="7"/>
      <c r="AJ39" s="7"/>
      <c r="AK39" s="11"/>
      <c r="AL39" s="11"/>
      <c r="AM39" s="11"/>
      <c r="AN39" s="11"/>
    </row>
    <row r="40" spans="1:40" ht="15">
      <c r="A40" s="1001"/>
      <c r="B40" s="302">
        <v>31</v>
      </c>
      <c r="C40" s="304" t="s">
        <v>431</v>
      </c>
      <c r="D40" s="432">
        <f>Inputs!D33</f>
        <v>38083</v>
      </c>
      <c r="E40" s="429">
        <f>Inputs!C33</f>
        <v>41258</v>
      </c>
      <c r="F40" s="436">
        <f>Inputs!B33</f>
        <v>44326</v>
      </c>
      <c r="G40" s="442">
        <f>F40+(-G23)</f>
        <v>48804.807046670816</v>
      </c>
      <c r="H40" s="438">
        <f t="shared" ref="H40:AF40" ca="1" si="32">G40+(-H23)</f>
        <v>53507.554445675167</v>
      </c>
      <c r="I40" s="438">
        <f t="shared" ca="1" si="32"/>
        <v>58540.334942501926</v>
      </c>
      <c r="J40" s="443">
        <f ca="1">I40+(-J23)</f>
        <v>63825.204356571638</v>
      </c>
      <c r="K40" s="575">
        <f t="shared" ca="1" si="32"/>
        <v>69128.670319628247</v>
      </c>
      <c r="L40" s="438">
        <f t="shared" ca="1" si="32"/>
        <v>74770.742289753922</v>
      </c>
      <c r="M40" s="438">
        <f t="shared" ca="1" si="32"/>
        <v>80725.298328318007</v>
      </c>
      <c r="N40" s="438">
        <f t="shared" ca="1" si="32"/>
        <v>86971.856699381126</v>
      </c>
      <c r="O40" s="438">
        <f t="shared" ca="1" si="32"/>
        <v>93495.00551886388</v>
      </c>
      <c r="P40" s="438">
        <f t="shared" ca="1" si="32"/>
        <v>100213.84880293113</v>
      </c>
      <c r="Q40" s="438">
        <f t="shared" ca="1" si="32"/>
        <v>107146.6615347264</v>
      </c>
      <c r="R40" s="438">
        <f t="shared" ca="1" si="32"/>
        <v>114297.05802889417</v>
      </c>
      <c r="S40" s="438">
        <f t="shared" ca="1" si="32"/>
        <v>121669.39190795287</v>
      </c>
      <c r="T40" s="438">
        <f t="shared" ca="1" si="32"/>
        <v>129268.63777783462</v>
      </c>
      <c r="U40" s="438">
        <f t="shared" ca="1" si="32"/>
        <v>137095.86102381282</v>
      </c>
      <c r="V40" s="438">
        <f t="shared" ca="1" si="32"/>
        <v>145408.37211104165</v>
      </c>
      <c r="W40" s="438">
        <f t="shared" ca="1" si="32"/>
        <v>154169.75879698087</v>
      </c>
      <c r="X40" s="438">
        <f t="shared" ca="1" si="32"/>
        <v>163351.69204384516</v>
      </c>
      <c r="Y40" s="438">
        <f t="shared" ca="1" si="32"/>
        <v>172933.03938694805</v>
      </c>
      <c r="Z40" s="438">
        <f t="shared" ca="1" si="32"/>
        <v>182801.82715034403</v>
      </c>
      <c r="AA40" s="438">
        <f t="shared" ca="1" si="32"/>
        <v>193264.26026241027</v>
      </c>
      <c r="AB40" s="438">
        <f t="shared" ca="1" si="32"/>
        <v>204277.17816388007</v>
      </c>
      <c r="AC40" s="438">
        <f t="shared" ca="1" si="32"/>
        <v>215807.27951232341</v>
      </c>
      <c r="AD40" s="438">
        <f t="shared" ca="1" si="32"/>
        <v>227829.95999961399</v>
      </c>
      <c r="AE40" s="438">
        <f t="shared" ca="1" si="32"/>
        <v>240213.32090152329</v>
      </c>
      <c r="AF40" s="443">
        <f t="shared" ca="1" si="32"/>
        <v>252991.04446098732</v>
      </c>
      <c r="AG40" s="622">
        <f ca="1">SUM(G40:AF40)</f>
        <v>3492508.6658134144</v>
      </c>
      <c r="AH40" s="7"/>
      <c r="AI40" s="7"/>
      <c r="AJ40" s="7"/>
      <c r="AK40" s="11"/>
      <c r="AL40" s="11"/>
      <c r="AM40" s="11"/>
      <c r="AN40" s="11"/>
    </row>
    <row r="41" spans="1:40" ht="15.75" thickBot="1">
      <c r="A41" s="1003"/>
      <c r="B41" s="303">
        <v>32</v>
      </c>
      <c r="C41" s="299" t="s">
        <v>432</v>
      </c>
      <c r="D41" s="433">
        <v>-1296000</v>
      </c>
      <c r="E41" s="434">
        <v>-14166000</v>
      </c>
      <c r="F41" s="437">
        <v>-15286000</v>
      </c>
      <c r="G41" s="444">
        <f>F41-G9</f>
        <v>-15283722.466093935</v>
      </c>
      <c r="H41" s="445">
        <f t="shared" ref="H41:AF41" ca="1" si="33">G41-H9</f>
        <v>-15281331.055492567</v>
      </c>
      <c r="I41" s="445">
        <f t="shared" ca="1" si="33"/>
        <v>-15278771.818601165</v>
      </c>
      <c r="J41" s="446">
        <f t="shared" ca="1" si="33"/>
        <v>-15276084.391088828</v>
      </c>
      <c r="K41" s="576">
        <f t="shared" ca="1" si="33"/>
        <v>-15273316.340751121</v>
      </c>
      <c r="L41" s="445">
        <f t="shared" ca="1" si="33"/>
        <v>-15270523.117355278</v>
      </c>
      <c r="M41" s="445">
        <f t="shared" ca="1" si="33"/>
        <v>-15267704.491973795</v>
      </c>
      <c r="N41" s="445">
        <f t="shared" ca="1" si="33"/>
        <v>-15264860.233597267</v>
      </c>
      <c r="O41" s="445">
        <f t="shared" ca="1" si="33"/>
        <v>-15261990.109115455</v>
      </c>
      <c r="P41" s="445">
        <f t="shared" ca="1" si="33"/>
        <v>-15259093.883298183</v>
      </c>
      <c r="Q41" s="445">
        <f t="shared" ca="1" si="33"/>
        <v>-15256172.308884429</v>
      </c>
      <c r="R41" s="445">
        <f t="shared" ca="1" si="33"/>
        <v>-15253225.164016029</v>
      </c>
      <c r="S41" s="445">
        <f t="shared" ca="1" si="33"/>
        <v>-15250252.224893052</v>
      </c>
      <c r="T41" s="445">
        <f t="shared" ca="1" si="33"/>
        <v>-15247253.265756808</v>
      </c>
      <c r="U41" s="445">
        <f t="shared" ca="1" si="33"/>
        <v>-15244228.0588727</v>
      </c>
      <c r="V41" s="445">
        <f t="shared" ca="1" si="33"/>
        <v>-15241177.369837895</v>
      </c>
      <c r="W41" s="445">
        <f t="shared" ca="1" si="33"/>
        <v>-15238100.984009221</v>
      </c>
      <c r="X41" s="445">
        <f t="shared" ca="1" si="33"/>
        <v>-15234998.684935506</v>
      </c>
      <c r="Y41" s="445">
        <f t="shared" ca="1" si="33"/>
        <v>-15231870.254342351</v>
      </c>
      <c r="Z41" s="445">
        <f t="shared" ca="1" si="33"/>
        <v>-15228715.47211677</v>
      </c>
      <c r="AA41" s="445">
        <f t="shared" ca="1" si="33"/>
        <v>-15225535.115230097</v>
      </c>
      <c r="AB41" s="445">
        <f t="shared" ca="1" si="33"/>
        <v>-15222328.976357944</v>
      </c>
      <c r="AC41" s="445">
        <f t="shared" ca="1" si="33"/>
        <v>-15219096.846495224</v>
      </c>
      <c r="AD41" s="445">
        <f t="shared" ca="1" si="33"/>
        <v>-15215838.514942518</v>
      </c>
      <c r="AE41" s="445">
        <f t="shared" ca="1" si="33"/>
        <v>-15212553.769292347</v>
      </c>
      <c r="AF41" s="446">
        <f t="shared" ca="1" si="33"/>
        <v>-15209243.39640723</v>
      </c>
      <c r="AG41" s="622">
        <f ca="1">SUM(G41:AF41)</f>
        <v>-396447988.31375778</v>
      </c>
      <c r="AH41" s="7"/>
      <c r="AI41" s="7"/>
      <c r="AJ41" s="7"/>
      <c r="AK41" s="11"/>
      <c r="AL41" s="11"/>
      <c r="AM41" s="11"/>
      <c r="AN41" s="11"/>
    </row>
    <row r="42" spans="1:40" s="7" customFormat="1" ht="15.75" thickBot="1">
      <c r="A42" s="992"/>
      <c r="B42" s="993"/>
      <c r="C42" s="993"/>
      <c r="D42" s="994"/>
      <c r="E42" s="994"/>
      <c r="F42" s="994"/>
      <c r="G42" s="995"/>
      <c r="H42" s="995"/>
      <c r="I42" s="995"/>
      <c r="J42" s="995"/>
      <c r="K42" s="995"/>
      <c r="L42" s="995"/>
      <c r="M42" s="995"/>
      <c r="N42" s="995"/>
      <c r="O42" s="995"/>
      <c r="P42" s="995"/>
      <c r="Q42" s="995"/>
      <c r="R42" s="995"/>
      <c r="S42" s="995"/>
      <c r="T42" s="995"/>
      <c r="U42" s="995"/>
      <c r="V42" s="995"/>
      <c r="W42" s="995"/>
      <c r="X42" s="995"/>
      <c r="Y42" s="995"/>
      <c r="Z42" s="995"/>
      <c r="AA42" s="995"/>
      <c r="AB42" s="995"/>
      <c r="AC42" s="995"/>
      <c r="AD42" s="995"/>
      <c r="AE42" s="995"/>
      <c r="AF42" s="996"/>
      <c r="AG42" s="621"/>
      <c r="AK42" s="11"/>
      <c r="AL42" s="11"/>
      <c r="AM42" s="11"/>
      <c r="AN42" s="11"/>
    </row>
    <row r="43" spans="1:40" ht="15" customHeight="1">
      <c r="A43" s="986" t="s">
        <v>433</v>
      </c>
      <c r="B43" s="300">
        <v>33</v>
      </c>
      <c r="C43" s="298" t="s">
        <v>434</v>
      </c>
      <c r="D43" s="388">
        <f>'Fin. Data'!D39</f>
        <v>13305</v>
      </c>
      <c r="E43" s="389">
        <f>E36+D43</f>
        <v>11279</v>
      </c>
      <c r="F43" s="452">
        <f>F36+E43</f>
        <v>7631</v>
      </c>
      <c r="G43" s="453">
        <f>G36+F43</f>
        <v>2316.6198338755785</v>
      </c>
      <c r="H43" s="454">
        <f t="shared" ref="H43:AF43" ca="1" si="34">H36+G43</f>
        <v>5513.5003579936247</v>
      </c>
      <c r="I43" s="454">
        <f ca="1">I36+H43</f>
        <v>9253.4887399773652</v>
      </c>
      <c r="J43" s="455">
        <f t="shared" ca="1" si="34"/>
        <v>12717.605395055049</v>
      </c>
      <c r="K43" s="577">
        <f ca="1">K36+J43</f>
        <v>16491.185786416965</v>
      </c>
      <c r="L43" s="454">
        <f t="shared" ca="1" si="34"/>
        <v>21456.637754242427</v>
      </c>
      <c r="M43" s="454">
        <f t="shared" ca="1" si="34"/>
        <v>24878.371793774932</v>
      </c>
      <c r="N43" s="454">
        <f t="shared" ca="1" si="34"/>
        <v>28159.877119487381</v>
      </c>
      <c r="O43" s="454">
        <f t="shared" ca="1" si="34"/>
        <v>31365.567072936588</v>
      </c>
      <c r="P43" s="454">
        <f t="shared" ca="1" si="34"/>
        <v>32899.042521121635</v>
      </c>
      <c r="Q43" s="454">
        <f t="shared" ca="1" si="34"/>
        <v>37440.104118606512</v>
      </c>
      <c r="R43" s="454">
        <f t="shared" ca="1" si="34"/>
        <v>42935.739109610717</v>
      </c>
      <c r="S43" s="454">
        <f t="shared" ca="1" si="34"/>
        <v>49514.779697373451</v>
      </c>
      <c r="T43" s="454">
        <f t="shared" ca="1" si="34"/>
        <v>57292.049491837344</v>
      </c>
      <c r="U43" s="454">
        <f t="shared" ca="1" si="34"/>
        <v>62783.027053969097</v>
      </c>
      <c r="V43" s="454">
        <f t="shared" ca="1" si="34"/>
        <v>76135.791426769807</v>
      </c>
      <c r="W43" s="454">
        <f t="shared" ca="1" si="34"/>
        <v>88921.152663735003</v>
      </c>
      <c r="X43" s="454">
        <f t="shared" ca="1" si="34"/>
        <v>103797.52848950028</v>
      </c>
      <c r="Y43" s="454">
        <f t="shared" ca="1" si="34"/>
        <v>121219.25223219249</v>
      </c>
      <c r="Z43" s="454">
        <f t="shared" ca="1" si="34"/>
        <v>133740.16126115283</v>
      </c>
      <c r="AA43" s="454">
        <f t="shared" ca="1" si="34"/>
        <v>159305.46543649776</v>
      </c>
      <c r="AB43" s="454">
        <f t="shared" ca="1" si="34"/>
        <v>187329.27076251028</v>
      </c>
      <c r="AC43" s="454">
        <f t="shared" ca="1" si="34"/>
        <v>221037.31739027274</v>
      </c>
      <c r="AD43" s="454">
        <f t="shared" ca="1" si="34"/>
        <v>261578.96445312115</v>
      </c>
      <c r="AE43" s="454">
        <f t="shared" ca="1" si="34"/>
        <v>300118.40136680251</v>
      </c>
      <c r="AF43" s="455">
        <f t="shared" ca="1" si="34"/>
        <v>355681.81773294578</v>
      </c>
      <c r="AG43" s="621"/>
      <c r="AH43" s="7"/>
      <c r="AI43" s="7"/>
      <c r="AJ43" s="7"/>
      <c r="AK43" s="11"/>
      <c r="AL43" s="11"/>
      <c r="AM43" s="11"/>
      <c r="AN43" s="11"/>
    </row>
    <row r="44" spans="1:40" ht="15">
      <c r="A44" s="987"/>
      <c r="B44" s="300">
        <v>34</v>
      </c>
      <c r="C44" s="298" t="s">
        <v>289</v>
      </c>
      <c r="D44" s="388">
        <f>'Fin. Data'!D58</f>
        <v>11086</v>
      </c>
      <c r="E44" s="388">
        <f>'Fin. Data'!C58</f>
        <v>11407</v>
      </c>
      <c r="F44" s="390">
        <f>'Fin. Data'!B58</f>
        <v>10906</v>
      </c>
      <c r="G44" s="388">
        <f>G12*'Assumptions '!$H$130</f>
        <v>3883.2562200551338</v>
      </c>
      <c r="H44" s="388">
        <f ca="1">H12*'Assumptions '!$H$130</f>
        <v>4166.5286126300743</v>
      </c>
      <c r="I44" s="388">
        <f>I12*'Assumptions '!$H$130</f>
        <v>4512.7315984497363</v>
      </c>
      <c r="J44" s="388">
        <f ca="1">J12*'Assumptions '!$H$130</f>
        <v>4702.9523155135212</v>
      </c>
      <c r="K44" s="388">
        <f ca="1">K12*'Assumptions '!$H$130</f>
        <v>4807.2378195183774</v>
      </c>
      <c r="L44" s="388">
        <f ca="1">L12*'Assumptions '!$H$130</f>
        <v>5531.076472950449</v>
      </c>
      <c r="M44" s="388">
        <f ca="1">M12*'Assumptions '!$H$130</f>
        <v>5181.7324646110801</v>
      </c>
      <c r="N44" s="388">
        <f ca="1">N12*'Assumptions '!$H$130</f>
        <v>4915.0617703420212</v>
      </c>
      <c r="O44" s="388">
        <f ca="1">O12*'Assumptions '!$H$130</f>
        <v>4719.4523796291587</v>
      </c>
      <c r="P44" s="388">
        <f ca="1">P12*'Assumptions '!$H$130</f>
        <v>3696.5760231440495</v>
      </c>
      <c r="Q44" s="388">
        <f ca="1">Q12*'Assumptions '!$H$130</f>
        <v>4495.983597274314</v>
      </c>
      <c r="R44" s="388">
        <f ca="1">R12*'Assumptions '!$H$130</f>
        <v>5119.8745724257906</v>
      </c>
      <c r="S44" s="388">
        <f ca="1">S12*'Assumptions '!$H$130</f>
        <v>5645.5510990636531</v>
      </c>
      <c r="T44" s="388">
        <f ca="1">T12*'Assumptions '!$H$130</f>
        <v>6096.2178415985718</v>
      </c>
      <c r="U44" s="388">
        <f ca="1">U12*'Assumptions '!$H$130</f>
        <v>4744.7327504656942</v>
      </c>
      <c r="V44" s="388">
        <f ca="1">V12*'Assumptions '!$H$130</f>
        <v>7447.7444028849995</v>
      </c>
      <c r="W44" s="388">
        <f ca="1">W12*'Assumptions '!$H$130</f>
        <v>7819.4990107754957</v>
      </c>
      <c r="X44" s="388">
        <f ca="1">X12*'Assumptions '!$H$130</f>
        <v>8165.2968992803499</v>
      </c>
      <c r="Y44" s="388">
        <f ca="1">Y12*'Assumptions '!$H$130</f>
        <v>8491.264933882323</v>
      </c>
      <c r="Z44" s="388">
        <f ca="1">Z12*'Assumptions '!$H$130</f>
        <v>4911.2513874205679</v>
      </c>
      <c r="AA44" s="388">
        <f ca="1">AA12*'Assumptions '!$H$130</f>
        <v>7978.4977288175041</v>
      </c>
      <c r="AB44" s="388">
        <f ca="1">AB12*'Assumptions '!$H$130</f>
        <v>8663.9790319125332</v>
      </c>
      <c r="AC44" s="388">
        <f ca="1">AC12*'Assumptions '!$H$130</f>
        <v>9273.421713749116</v>
      </c>
      <c r="AD44" s="388">
        <f ca="1">AD12*'Assumptions '!$H$130</f>
        <v>9821.4877362503466</v>
      </c>
      <c r="AE44" s="388">
        <f ca="1">AE12*'Assumptions '!$H$130</f>
        <v>5344.7569819156015</v>
      </c>
      <c r="AF44" s="388">
        <f ca="1">AF12*'Assumptions '!$H$130</f>
        <v>6820.3153215501634</v>
      </c>
      <c r="AG44" s="641"/>
      <c r="AH44" s="11"/>
      <c r="AI44" s="11"/>
      <c r="AJ44" s="11"/>
      <c r="AK44" s="11"/>
      <c r="AL44" s="11"/>
      <c r="AM44" s="11"/>
      <c r="AN44" s="11"/>
    </row>
    <row r="45" spans="1:40" ht="15">
      <c r="A45" s="987"/>
      <c r="B45" s="300">
        <v>35</v>
      </c>
      <c r="C45" s="298" t="s">
        <v>435</v>
      </c>
      <c r="E45" s="525"/>
      <c r="F45" s="579">
        <f>1/((1+$F$50)^G50)</f>
        <v>1</v>
      </c>
      <c r="G45" s="456">
        <f>1/((1+$F$50)^G49)</f>
        <v>0.90954037597066029</v>
      </c>
      <c r="H45" s="383">
        <f>1/((1+$F$50)^H49)</f>
        <v>0.82726369552085</v>
      </c>
      <c r="I45" s="383">
        <f t="shared" ref="I45:AF45" si="35">1/((1+$F$50)^I49)</f>
        <v>0.75242973265091173</v>
      </c>
      <c r="J45" s="457">
        <f t="shared" si="35"/>
        <v>0.68436522192681359</v>
      </c>
      <c r="K45" s="523">
        <f>1/((1+$F$50)^K49)</f>
        <v>0.62245780125255834</v>
      </c>
      <c r="L45" s="383">
        <f t="shared" si="35"/>
        <v>0.56615050257712252</v>
      </c>
      <c r="M45" s="383">
        <f t="shared" si="35"/>
        <v>0.51493674096997422</v>
      </c>
      <c r="N45" s="383">
        <f t="shared" si="35"/>
        <v>0.46835575698293685</v>
      </c>
      <c r="O45" s="383">
        <f t="shared" si="35"/>
        <v>0.42598847129428358</v>
      </c>
      <c r="P45" s="383">
        <f t="shared" si="35"/>
        <v>0.38745371434016951</v>
      </c>
      <c r="Q45" s="383">
        <f t="shared" si="35"/>
        <v>0.35240479701218658</v>
      </c>
      <c r="R45" s="383">
        <f t="shared" si="35"/>
        <v>0.32052639156832835</v>
      </c>
      <c r="S45" s="383">
        <f t="shared" si="35"/>
        <v>0.29153169469557644</v>
      </c>
      <c r="T45" s="383">
        <f t="shared" si="35"/>
        <v>0.26515984720077834</v>
      </c>
      <c r="U45" s="383">
        <f t="shared" si="35"/>
        <v>0.24117358711531878</v>
      </c>
      <c r="V45" s="383">
        <f t="shared" si="35"/>
        <v>0.21935711509905978</v>
      </c>
      <c r="W45" s="383">
        <f t="shared" si="35"/>
        <v>0.19951415293903824</v>
      </c>
      <c r="X45" s="383">
        <f t="shared" si="35"/>
        <v>0.18146617767564063</v>
      </c>
      <c r="Y45" s="383">
        <f t="shared" si="35"/>
        <v>0.16505081546906084</v>
      </c>
      <c r="Z45" s="383">
        <f t="shared" si="35"/>
        <v>0.15012038075599363</v>
      </c>
      <c r="AA45" s="383">
        <f t="shared" si="35"/>
        <v>0.13654054755366513</v>
      </c>
      <c r="AB45" s="383">
        <f t="shared" si="35"/>
        <v>0.12418914095720039</v>
      </c>
      <c r="AC45" s="383">
        <f t="shared" si="35"/>
        <v>0.11295503795768538</v>
      </c>
      <c r="AD45" s="383">
        <f t="shared" si="35"/>
        <v>0.10273716769181336</v>
      </c>
      <c r="AE45" s="383">
        <f t="shared" si="35"/>
        <v>9.3443602128572681E-2</v>
      </c>
      <c r="AF45" s="457">
        <f t="shared" si="35"/>
        <v>8.4990729012074787E-2</v>
      </c>
      <c r="AG45" s="641"/>
      <c r="AH45" s="11"/>
      <c r="AI45" s="11"/>
      <c r="AJ45" s="11"/>
      <c r="AK45" s="11"/>
      <c r="AL45" s="11"/>
      <c r="AM45" s="11"/>
      <c r="AN45" s="11"/>
    </row>
    <row r="46" spans="1:40" ht="15">
      <c r="A46" s="987"/>
      <c r="B46" s="300">
        <v>36</v>
      </c>
      <c r="C46" s="304" t="s">
        <v>436</v>
      </c>
      <c r="D46" s="522"/>
      <c r="E46" s="512" t="s">
        <v>437</v>
      </c>
      <c r="F46" s="580">
        <f>1/((1+$F$50+0.001)^G50)</f>
        <v>1</v>
      </c>
      <c r="G46" s="456">
        <f>1/((1+$F$50+0.001)^G49)</f>
        <v>0.90871386402112875</v>
      </c>
      <c r="H46" s="383">
        <f t="shared" ref="H46:AF46" si="36">1/((1+$F$50+0.001)^H49)</f>
        <v>0.82576088666421055</v>
      </c>
      <c r="I46" s="383">
        <f t="shared" si="36"/>
        <v>0.75038036607814818</v>
      </c>
      <c r="J46" s="457">
        <f t="shared" si="36"/>
        <v>0.6818810419444632</v>
      </c>
      <c r="K46" s="523">
        <f t="shared" si="36"/>
        <v>0.61963475642810661</v>
      </c>
      <c r="L46" s="383">
        <f t="shared" si="36"/>
        <v>0.56307069379557573</v>
      </c>
      <c r="M46" s="383">
        <f t="shared" si="36"/>
        <v>0.51167014587603543</v>
      </c>
      <c r="N46" s="383">
        <f t="shared" si="36"/>
        <v>0.46496175536326678</v>
      </c>
      <c r="O46" s="383">
        <f t="shared" si="36"/>
        <v>0.42251719333820098</v>
      </c>
      <c r="P46" s="383">
        <f t="shared" si="36"/>
        <v>0.38394723137371894</v>
      </c>
      <c r="Q46" s="383">
        <f t="shared" si="36"/>
        <v>0.34889817220182651</v>
      </c>
      <c r="R46" s="383">
        <f t="shared" si="36"/>
        <v>0.31704860621143099</v>
      </c>
      <c r="S46" s="383">
        <f t="shared" si="36"/>
        <v>0.28810646403290269</v>
      </c>
      <c r="T46" s="383">
        <f t="shared" si="36"/>
        <v>0.26180633818080334</v>
      </c>
      <c r="U46" s="383">
        <f t="shared" si="36"/>
        <v>0.23790704919350023</v>
      </c>
      <c r="V46" s="383">
        <f t="shared" si="36"/>
        <v>0.21618943395049034</v>
      </c>
      <c r="W46" s="383">
        <f t="shared" si="36"/>
        <v>0.1964543358856907</v>
      </c>
      <c r="X46" s="383">
        <f t="shared" si="36"/>
        <v>0.17852077866639071</v>
      </c>
      <c r="Y46" s="383">
        <f t="shared" si="36"/>
        <v>0.16222430658999656</v>
      </c>
      <c r="Z46" s="383">
        <f t="shared" si="36"/>
        <v>0.14741547647954406</v>
      </c>
      <c r="AA46" s="383">
        <f t="shared" si="36"/>
        <v>0.1339584872482423</v>
      </c>
      <c r="AB46" s="383">
        <f t="shared" si="36"/>
        <v>0.12172993456577538</v>
      </c>
      <c r="AC46" s="383">
        <f t="shared" si="36"/>
        <v>0.11061767920630491</v>
      </c>
      <c r="AD46" s="383">
        <f t="shared" si="36"/>
        <v>0.10051981870061101</v>
      </c>
      <c r="AE46" s="383">
        <f t="shared" si="36"/>
        <v>9.1343752862135558E-2</v>
      </c>
      <c r="AF46" s="457">
        <f t="shared" si="36"/>
        <v>8.300533461754224E-2</v>
      </c>
      <c r="AG46" s="641"/>
      <c r="AH46" s="11"/>
      <c r="AI46" s="11"/>
      <c r="AJ46" s="11"/>
      <c r="AK46" s="11"/>
      <c r="AL46" s="11"/>
      <c r="AM46" s="11"/>
      <c r="AN46" s="11"/>
    </row>
    <row r="47" spans="1:40" ht="15.75" thickBot="1">
      <c r="A47" s="988"/>
      <c r="B47" s="301">
        <v>37</v>
      </c>
      <c r="C47" s="299" t="s">
        <v>438</v>
      </c>
      <c r="D47" s="511"/>
      <c r="E47" s="512" t="s">
        <v>439</v>
      </c>
      <c r="F47" s="581">
        <f>1/((1+$F$50+0.005)^G50)</f>
        <v>1</v>
      </c>
      <c r="G47" s="458">
        <f t="shared" ref="G47:AF47" si="37">1/((1+$F$50+0.005)^G49)</f>
        <v>0.90542278307799451</v>
      </c>
      <c r="H47" s="459">
        <f t="shared" si="37"/>
        <v>0.81979041611670112</v>
      </c>
      <c r="I47" s="459">
        <f t="shared" si="37"/>
        <v>0.74225692010105071</v>
      </c>
      <c r="J47" s="460">
        <f t="shared" si="37"/>
        <v>0.67205632635679391</v>
      </c>
      <c r="K47" s="578">
        <f t="shared" si="37"/>
        <v>0.6084951093951414</v>
      </c>
      <c r="L47" s="459">
        <f t="shared" si="37"/>
        <v>0.55094533543789759</v>
      </c>
      <c r="M47" s="459">
        <f t="shared" si="37"/>
        <v>0.49883845893602041</v>
      </c>
      <c r="N47" s="459">
        <f t="shared" si="37"/>
        <v>0.45165970579618958</v>
      </c>
      <c r="O47" s="459">
        <f t="shared" si="37"/>
        <v>0.40894298782617416</v>
      </c>
      <c r="P47" s="459">
        <f t="shared" si="37"/>
        <v>0.37026629815780499</v>
      </c>
      <c r="Q47" s="459">
        <f t="shared" si="37"/>
        <v>0.33524754215802632</v>
      </c>
      <c r="R47" s="459">
        <f t="shared" si="37"/>
        <v>0.30354076264077751</v>
      </c>
      <c r="S47" s="459">
        <f t="shared" si="37"/>
        <v>0.27483272208782972</v>
      </c>
      <c r="T47" s="459">
        <f t="shared" si="37"/>
        <v>0.2488398081136638</v>
      </c>
      <c r="U47" s="459">
        <f t="shared" si="37"/>
        <v>0.22530523160286756</v>
      </c>
      <c r="V47" s="459">
        <f t="shared" si="37"/>
        <v>0.20399648983990049</v>
      </c>
      <c r="W47" s="459">
        <f t="shared" si="37"/>
        <v>0.18470306956898455</v>
      </c>
      <c r="X47" s="459">
        <f t="shared" si="37"/>
        <v>0.16723436729219843</v>
      </c>
      <c r="Y47" s="459">
        <f t="shared" si="37"/>
        <v>0.15141780625998982</v>
      </c>
      <c r="Z47" s="459">
        <f t="shared" si="37"/>
        <v>0.13709713155148456</v>
      </c>
      <c r="AA47" s="459">
        <f t="shared" si="37"/>
        <v>0.12413086640135509</v>
      </c>
      <c r="AB47" s="459">
        <f t="shared" si="37"/>
        <v>0.11239091452299765</v>
      </c>
      <c r="AC47" s="459">
        <f t="shared" si="37"/>
        <v>0.10176129462009352</v>
      </c>
      <c r="AD47" s="459">
        <f t="shared" si="37"/>
        <v>9.2136994584544829E-2</v>
      </c>
      <c r="AE47" s="459">
        <f t="shared" si="37"/>
        <v>8.342293406118069E-2</v>
      </c>
      <c r="AF47" s="460">
        <f t="shared" si="37"/>
        <v>7.5533025130206238E-2</v>
      </c>
      <c r="AG47" s="641"/>
      <c r="AH47" s="11"/>
      <c r="AI47" s="11"/>
      <c r="AJ47" s="11"/>
      <c r="AK47" s="11"/>
      <c r="AL47" s="11"/>
      <c r="AM47" s="11"/>
      <c r="AN47" s="11"/>
    </row>
    <row r="48" spans="1:40" ht="15.75" thickBot="1">
      <c r="A48" s="997" t="s">
        <v>408</v>
      </c>
      <c r="B48" s="998"/>
      <c r="C48" s="998"/>
      <c r="D48" s="998"/>
      <c r="E48" s="998"/>
      <c r="F48" s="998"/>
      <c r="G48" s="999"/>
      <c r="H48" s="999"/>
      <c r="I48" s="999"/>
      <c r="J48" s="999"/>
      <c r="K48" s="999"/>
      <c r="L48" s="999"/>
      <c r="M48" s="999"/>
      <c r="N48" s="999"/>
      <c r="O48" s="999"/>
      <c r="P48" s="999"/>
      <c r="Q48" s="999"/>
      <c r="R48" s="999"/>
      <c r="S48" s="999"/>
      <c r="T48" s="999"/>
      <c r="U48" s="999"/>
      <c r="V48" s="999"/>
      <c r="W48" s="999"/>
      <c r="X48" s="999"/>
      <c r="Y48" s="999"/>
      <c r="Z48" s="999"/>
      <c r="AA48" s="999"/>
      <c r="AB48" s="999"/>
      <c r="AC48" s="999"/>
      <c r="AD48" s="999"/>
      <c r="AE48" s="999"/>
      <c r="AF48" s="1000"/>
      <c r="AG48" s="641"/>
      <c r="AH48" s="11"/>
      <c r="AI48" s="11"/>
      <c r="AJ48" s="643"/>
      <c r="AK48" s="11"/>
      <c r="AL48" s="11"/>
      <c r="AM48" s="11"/>
      <c r="AN48" s="11"/>
    </row>
    <row r="49" spans="1:40" ht="15">
      <c r="A49" s="1004" t="s">
        <v>440</v>
      </c>
      <c r="C49" s="316" t="s">
        <v>441</v>
      </c>
      <c r="D49" s="305" t="s">
        <v>442</v>
      </c>
      <c r="E49" s="306" t="s">
        <v>443</v>
      </c>
      <c r="F49" s="317" t="s">
        <v>444</v>
      </c>
      <c r="G49" s="384">
        <v>1</v>
      </c>
      <c r="H49" s="385">
        <v>2</v>
      </c>
      <c r="I49" s="385">
        <v>3</v>
      </c>
      <c r="J49" s="384">
        <v>4</v>
      </c>
      <c r="K49" s="385">
        <v>5</v>
      </c>
      <c r="L49" s="385">
        <v>6</v>
      </c>
      <c r="M49" s="384">
        <v>7</v>
      </c>
      <c r="N49" s="385">
        <v>8</v>
      </c>
      <c r="O49" s="385">
        <v>9</v>
      </c>
      <c r="P49" s="384">
        <v>10</v>
      </c>
      <c r="Q49" s="385">
        <v>11</v>
      </c>
      <c r="R49" s="385">
        <v>12</v>
      </c>
      <c r="S49" s="384">
        <v>13</v>
      </c>
      <c r="T49" s="385">
        <v>14</v>
      </c>
      <c r="U49" s="385">
        <v>15</v>
      </c>
      <c r="V49" s="384">
        <v>16</v>
      </c>
      <c r="W49" s="385">
        <v>17</v>
      </c>
      <c r="X49" s="385">
        <v>18</v>
      </c>
      <c r="Y49" s="384">
        <v>19</v>
      </c>
      <c r="Z49" s="385">
        <v>20</v>
      </c>
      <c r="AA49" s="385">
        <v>21</v>
      </c>
      <c r="AB49" s="384">
        <v>22</v>
      </c>
      <c r="AC49" s="385">
        <v>23</v>
      </c>
      <c r="AD49" s="385">
        <v>24</v>
      </c>
      <c r="AE49" s="384">
        <v>25</v>
      </c>
      <c r="AF49" s="385">
        <v>26</v>
      </c>
      <c r="AG49" s="641"/>
      <c r="AH49" s="11"/>
      <c r="AI49" s="11"/>
      <c r="AJ49" s="11"/>
      <c r="AK49" s="11"/>
      <c r="AL49" s="11"/>
      <c r="AM49" s="11"/>
      <c r="AN49" s="11"/>
    </row>
    <row r="50" spans="1:40" ht="15.75" thickBot="1">
      <c r="A50" s="1005"/>
      <c r="C50" s="312">
        <v>4.0730000000000002E-2</v>
      </c>
      <c r="D50" s="313">
        <f>'Assumptions '!C119</f>
        <v>4.8726413831877827E-2</v>
      </c>
      <c r="E50" s="314">
        <v>0.01</v>
      </c>
      <c r="F50" s="315">
        <f>E50+D50+C50</f>
        <v>9.9456413831877838E-2</v>
      </c>
      <c r="G50" s="384">
        <v>0</v>
      </c>
      <c r="S50" s="297"/>
      <c r="T50" s="297"/>
      <c r="U50" s="297"/>
      <c r="V50" s="297"/>
      <c r="W50" s="297"/>
      <c r="X50" s="297"/>
      <c r="Y50" s="297"/>
      <c r="Z50" s="297"/>
      <c r="AA50" s="297"/>
      <c r="AB50" s="297"/>
      <c r="AC50" s="297"/>
      <c r="AD50" s="297"/>
      <c r="AE50" s="297"/>
      <c r="AF50" s="297"/>
      <c r="AG50" s="640"/>
      <c r="AH50" s="11"/>
      <c r="AI50" s="11"/>
      <c r="AJ50" s="11"/>
      <c r="AK50" s="11"/>
      <c r="AL50" s="11"/>
      <c r="AM50" s="11"/>
      <c r="AN50" s="11"/>
    </row>
    <row r="51" spans="1:40" ht="15">
      <c r="A51" s="297"/>
      <c r="C51" s="297"/>
      <c r="D51" s="297"/>
      <c r="G51"/>
      <c r="H51" s="297"/>
      <c r="I51" s="297"/>
      <c r="J51" s="297"/>
      <c r="K51" s="297"/>
      <c r="S51" s="297"/>
      <c r="T51" s="297"/>
      <c r="U51" s="297"/>
      <c r="V51" s="297"/>
      <c r="W51" s="297"/>
      <c r="X51" s="297"/>
      <c r="Y51" s="297"/>
      <c r="Z51" s="297"/>
      <c r="AA51" s="297"/>
      <c r="AB51" s="297"/>
      <c r="AC51" s="297"/>
      <c r="AD51" s="297"/>
      <c r="AE51" s="297"/>
      <c r="AF51" s="297"/>
      <c r="AG51" s="640"/>
      <c r="AH51" s="11"/>
      <c r="AI51" s="11"/>
      <c r="AJ51" s="11"/>
      <c r="AK51" s="11"/>
      <c r="AL51" s="11"/>
      <c r="AM51" s="11"/>
      <c r="AN51" s="11"/>
    </row>
    <row r="52" spans="1:40" ht="15" customHeight="1">
      <c r="A52" s="982" t="s">
        <v>445</v>
      </c>
      <c r="C52" s="550" t="s">
        <v>408</v>
      </c>
      <c r="D52" s="551" t="s">
        <v>385</v>
      </c>
      <c r="E52" s="552" t="s">
        <v>386</v>
      </c>
      <c r="F52" s="551" t="s">
        <v>446</v>
      </c>
      <c r="G52" s="297"/>
      <c r="I52" s="597"/>
      <c r="J52" s="597"/>
      <c r="K52" s="297"/>
      <c r="S52" s="297"/>
      <c r="T52" s="297"/>
      <c r="U52" s="297"/>
      <c r="V52" s="297"/>
      <c r="W52" s="297"/>
      <c r="X52" s="297"/>
      <c r="Y52" s="297"/>
      <c r="Z52" s="297"/>
      <c r="AA52" s="297"/>
      <c r="AB52" s="297"/>
      <c r="AC52" s="297"/>
      <c r="AD52" s="297"/>
      <c r="AE52" s="297"/>
      <c r="AF52" s="297"/>
      <c r="AG52" s="640"/>
      <c r="AH52" s="11"/>
      <c r="AI52" s="11"/>
      <c r="AJ52" s="11"/>
      <c r="AK52" s="11"/>
      <c r="AL52" s="11"/>
      <c r="AM52" s="11"/>
      <c r="AN52" s="11"/>
    </row>
    <row r="53" spans="1:40" ht="15" customHeight="1">
      <c r="A53" s="983"/>
      <c r="C53" s="553" t="s">
        <v>447</v>
      </c>
      <c r="D53" s="739">
        <f>'Assumptions '!H138</f>
        <v>9.4493621307330869E-3</v>
      </c>
      <c r="E53" s="739">
        <f>'Assumptions '!I138</f>
        <v>8.4356469838205005E-3</v>
      </c>
      <c r="F53" s="554" t="s">
        <v>448</v>
      </c>
      <c r="G53" s="604"/>
      <c r="I53" s="297"/>
      <c r="J53" s="297"/>
      <c r="K53" s="297"/>
      <c r="S53" s="297"/>
      <c r="T53" s="297"/>
      <c r="U53" s="297"/>
      <c r="V53" s="297"/>
      <c r="W53" s="297"/>
      <c r="X53" s="297"/>
      <c r="Y53" s="297"/>
      <c r="Z53" s="297"/>
      <c r="AA53" s="297"/>
      <c r="AB53" s="297"/>
      <c r="AC53" s="297"/>
      <c r="AD53" s="297"/>
      <c r="AE53" s="297"/>
      <c r="AF53" s="297"/>
      <c r="AG53" s="640"/>
      <c r="AH53" s="11"/>
      <c r="AI53" s="11"/>
      <c r="AJ53" s="11"/>
      <c r="AK53" s="11"/>
      <c r="AL53" s="11"/>
      <c r="AM53" s="11"/>
      <c r="AN53" s="11"/>
    </row>
    <row r="54" spans="1:40" ht="15" customHeight="1">
      <c r="A54" s="983"/>
      <c r="C54" s="555" t="s">
        <v>449</v>
      </c>
      <c r="D54" s="739">
        <f>'Assumptions '!H139</f>
        <v>9.4493621307330869E-3</v>
      </c>
      <c r="E54" s="739">
        <f>'Assumptions '!I139</f>
        <v>9.309229471271975E-3</v>
      </c>
      <c r="F54" s="554" t="s">
        <v>448</v>
      </c>
      <c r="G54" s="297"/>
      <c r="I54" s="297"/>
      <c r="J54" s="297"/>
      <c r="K54" s="297"/>
      <c r="S54" s="297"/>
      <c r="T54" s="297"/>
      <c r="U54" s="297"/>
      <c r="V54" s="297"/>
      <c r="W54" s="297"/>
      <c r="X54" s="297"/>
      <c r="Y54" s="297"/>
      <c r="Z54" s="297"/>
      <c r="AA54" s="297"/>
      <c r="AB54" s="297"/>
      <c r="AC54" s="297"/>
      <c r="AD54" s="297"/>
      <c r="AE54" s="297"/>
      <c r="AF54" s="297"/>
      <c r="AG54" s="640"/>
      <c r="AH54" s="11"/>
      <c r="AI54" s="11"/>
      <c r="AJ54" s="11"/>
      <c r="AK54" s="11"/>
      <c r="AL54" s="11"/>
      <c r="AM54" s="11"/>
      <c r="AN54" s="11"/>
    </row>
    <row r="55" spans="1:40" ht="15" customHeight="1">
      <c r="A55" s="983"/>
      <c r="C55" s="524" t="s">
        <v>450</v>
      </c>
      <c r="D55" s="739">
        <f>'Assumptions '!H140</f>
        <v>3.6069942445682486E-3</v>
      </c>
      <c r="E55" s="739">
        <f t="shared" ref="E55:E67" si="38">D55</f>
        <v>3.6069942445682486E-3</v>
      </c>
      <c r="F55" s="554" t="s">
        <v>451</v>
      </c>
      <c r="G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640"/>
      <c r="AH55" s="11"/>
      <c r="AI55" s="11"/>
      <c r="AJ55" s="11"/>
      <c r="AK55" s="11"/>
      <c r="AL55" s="11"/>
      <c r="AM55" s="11"/>
      <c r="AN55" s="11"/>
    </row>
    <row r="56" spans="1:40" ht="15" customHeight="1">
      <c r="A56" s="983"/>
      <c r="C56" s="555" t="s">
        <v>452</v>
      </c>
      <c r="D56" s="739">
        <f>'Assumptions '!H141</f>
        <v>0.24587698935541025</v>
      </c>
      <c r="E56" s="739">
        <f t="shared" si="38"/>
        <v>0.24587698935541025</v>
      </c>
      <c r="F56" s="554" t="s">
        <v>453</v>
      </c>
      <c r="G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640"/>
      <c r="AH56" s="11"/>
      <c r="AI56" s="11"/>
      <c r="AJ56" s="11"/>
      <c r="AK56" s="11"/>
      <c r="AL56" s="11"/>
      <c r="AM56" s="11"/>
      <c r="AN56" s="11"/>
    </row>
    <row r="57" spans="1:40" ht="15" customHeight="1">
      <c r="A57" s="983"/>
      <c r="C57" s="524" t="s">
        <v>454</v>
      </c>
      <c r="D57" s="739">
        <f>'Assumptions '!H142</f>
        <v>2.3E-2</v>
      </c>
      <c r="E57" s="739">
        <f>'Assumptions '!I142</f>
        <v>2.5129061784897024E-2</v>
      </c>
      <c r="F57" s="556" t="s">
        <v>455</v>
      </c>
      <c r="G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640"/>
      <c r="AH57" s="11"/>
      <c r="AI57" s="11"/>
      <c r="AJ57" s="11"/>
      <c r="AK57" s="11"/>
      <c r="AL57" s="11"/>
      <c r="AM57" s="11"/>
      <c r="AN57" s="11"/>
    </row>
    <row r="58" spans="1:40" ht="15" customHeight="1">
      <c r="A58" s="983"/>
      <c r="C58" s="555" t="s">
        <v>456</v>
      </c>
      <c r="D58" s="739">
        <v>4.2320000000000003E-2</v>
      </c>
      <c r="E58" s="739">
        <v>4.1700000000000001E-2</v>
      </c>
      <c r="F58" s="554" t="s">
        <v>457</v>
      </c>
      <c r="G58" s="297"/>
      <c r="H58" s="297"/>
      <c r="I58" s="299"/>
      <c r="J58" s="323"/>
      <c r="K58" s="323"/>
      <c r="L58" s="323"/>
      <c r="M58" s="323"/>
      <c r="N58" s="323"/>
      <c r="O58" s="297"/>
      <c r="P58" s="297"/>
      <c r="Q58" s="297"/>
      <c r="R58" s="297"/>
      <c r="S58" s="297"/>
      <c r="T58" s="297"/>
      <c r="U58" s="297"/>
      <c r="V58" s="297"/>
      <c r="W58" s="297"/>
      <c r="X58" s="297"/>
      <c r="Y58" s="297"/>
      <c r="Z58" s="297"/>
      <c r="AA58" s="297"/>
      <c r="AB58" s="297"/>
      <c r="AC58" s="297"/>
      <c r="AD58" s="297"/>
      <c r="AE58" s="297"/>
      <c r="AF58" s="297"/>
      <c r="AG58" s="640"/>
      <c r="AH58" s="11"/>
      <c r="AI58" s="11"/>
      <c r="AJ58" s="11"/>
      <c r="AK58" s="11"/>
      <c r="AL58" s="11"/>
      <c r="AM58" s="11"/>
      <c r="AN58" s="11"/>
    </row>
    <row r="59" spans="1:40" ht="15" customHeight="1">
      <c r="A59" s="983"/>
      <c r="C59" s="524" t="s">
        <v>458</v>
      </c>
      <c r="D59" s="739">
        <f>D62</f>
        <v>-1.8582322566070213E-2</v>
      </c>
      <c r="E59" s="739">
        <f>E62</f>
        <v>-1.8104573370746085E-2</v>
      </c>
      <c r="F59" s="556" t="s">
        <v>459</v>
      </c>
      <c r="G59" s="297"/>
      <c r="H59" s="297"/>
      <c r="I59" s="297"/>
      <c r="J59" s="324"/>
      <c r="K59" s="324"/>
      <c r="L59" s="324"/>
      <c r="M59" s="324"/>
      <c r="N59" s="323"/>
      <c r="O59" s="297"/>
      <c r="P59" s="297"/>
      <c r="Q59" s="297"/>
      <c r="R59" s="297"/>
      <c r="S59" s="297"/>
      <c r="T59" s="297"/>
      <c r="U59" s="297"/>
      <c r="V59" s="297"/>
      <c r="W59" s="297"/>
      <c r="X59" s="297"/>
      <c r="Y59" s="297"/>
      <c r="Z59" s="297"/>
      <c r="AA59" s="297"/>
      <c r="AB59" s="297"/>
      <c r="AC59" s="297"/>
      <c r="AD59" s="297"/>
      <c r="AE59" s="297"/>
      <c r="AF59" s="297"/>
      <c r="AG59" s="640"/>
      <c r="AH59" s="11"/>
      <c r="AI59" s="11"/>
      <c r="AJ59" s="11"/>
      <c r="AK59" s="11"/>
      <c r="AL59" s="11"/>
      <c r="AM59" s="11"/>
      <c r="AN59" s="11"/>
    </row>
    <row r="60" spans="1:40" ht="15" customHeight="1">
      <c r="A60" s="983"/>
      <c r="C60" s="550" t="s">
        <v>460</v>
      </c>
      <c r="D60" s="739">
        <f>'Assumptions '!H145</f>
        <v>-5.6429458761818501E-3</v>
      </c>
      <c r="E60" s="739">
        <f>'Assumptions '!I145</f>
        <v>-5.4506897103999679E-3</v>
      </c>
      <c r="F60" s="558" t="s">
        <v>461</v>
      </c>
      <c r="G60" s="297"/>
      <c r="H60" s="297"/>
      <c r="I60" s="297"/>
      <c r="J60" s="323"/>
      <c r="K60" s="323"/>
      <c r="L60" s="323"/>
      <c r="M60" s="323"/>
      <c r="N60" s="323"/>
      <c r="O60" s="297"/>
      <c r="P60" s="297"/>
      <c r="Q60" s="297"/>
      <c r="R60" s="297"/>
      <c r="S60" s="297"/>
      <c r="T60" s="297"/>
      <c r="U60" s="297"/>
      <c r="V60" s="297"/>
      <c r="W60" s="297"/>
      <c r="X60" s="297"/>
      <c r="Y60" s="297"/>
      <c r="Z60" s="297"/>
      <c r="AA60" s="297"/>
      <c r="AB60" s="297"/>
      <c r="AC60" s="297"/>
      <c r="AD60" s="297"/>
      <c r="AE60" s="297"/>
      <c r="AF60" s="297"/>
      <c r="AG60" s="640"/>
      <c r="AH60" s="11"/>
      <c r="AI60" s="11"/>
      <c r="AJ60" s="11"/>
      <c r="AK60" s="11"/>
      <c r="AL60" s="11"/>
      <c r="AM60" s="11"/>
      <c r="AN60" s="11"/>
    </row>
    <row r="61" spans="1:40" ht="15" customHeight="1">
      <c r="A61" s="983"/>
      <c r="C61" s="559" t="s">
        <v>462</v>
      </c>
      <c r="D61" s="739">
        <f>'Assumptions '!H146</f>
        <v>3.1461071414148624E-3</v>
      </c>
      <c r="E61" s="739">
        <f>'Assumptions '!I146</f>
        <v>3.7753285696978346E-3</v>
      </c>
      <c r="F61" s="554" t="s">
        <v>463</v>
      </c>
      <c r="G61" s="297"/>
      <c r="H61" s="297"/>
      <c r="I61" s="297"/>
      <c r="J61" s="297"/>
      <c r="K61" s="297"/>
      <c r="L61" s="297"/>
      <c r="M61" s="297"/>
      <c r="N61" s="297"/>
      <c r="O61" s="297"/>
      <c r="P61" s="297"/>
      <c r="Q61" s="297"/>
      <c r="R61" s="297"/>
      <c r="S61" s="297"/>
      <c r="T61" s="297"/>
      <c r="U61" s="297"/>
      <c r="V61" s="297"/>
      <c r="W61" s="297"/>
      <c r="X61" s="297"/>
      <c r="Y61" s="297"/>
      <c r="Z61" s="297"/>
      <c r="AA61" s="297"/>
      <c r="AB61" s="297"/>
      <c r="AC61" s="297"/>
      <c r="AD61" s="297"/>
      <c r="AE61" s="297"/>
      <c r="AF61" s="297"/>
      <c r="AG61" s="640"/>
      <c r="AH61" s="11"/>
      <c r="AI61" s="11"/>
      <c r="AJ61" s="11"/>
      <c r="AK61" s="11"/>
      <c r="AL61" s="11"/>
      <c r="AM61" s="11"/>
      <c r="AN61" s="11"/>
    </row>
    <row r="62" spans="1:40" ht="15" customHeight="1">
      <c r="A62" s="983"/>
      <c r="C62" s="559" t="s">
        <v>464</v>
      </c>
      <c r="D62" s="739">
        <f>'Assumptions '!H147</f>
        <v>-1.8582322566070213E-2</v>
      </c>
      <c r="E62" s="739">
        <f>'Assumptions '!I147</f>
        <v>-1.8104573370746085E-2</v>
      </c>
      <c r="F62" s="554" t="s">
        <v>465</v>
      </c>
      <c r="G62" s="297"/>
      <c r="H62" s="297"/>
      <c r="I62" s="297"/>
      <c r="J62" s="297"/>
      <c r="K62" s="297"/>
      <c r="L62" s="297"/>
      <c r="M62" s="297"/>
      <c r="N62" s="297"/>
      <c r="O62" s="297"/>
      <c r="P62" s="297"/>
      <c r="Q62" s="297"/>
      <c r="R62" s="297"/>
      <c r="S62" s="297"/>
      <c r="T62" s="297"/>
      <c r="U62" s="297"/>
      <c r="V62" s="297"/>
      <c r="W62" s="297"/>
      <c r="X62" s="297"/>
      <c r="Y62" s="297"/>
      <c r="Z62" s="297"/>
      <c r="AA62" s="297"/>
      <c r="AB62" s="297"/>
      <c r="AC62" s="297"/>
      <c r="AD62" s="297"/>
      <c r="AE62" s="297"/>
      <c r="AF62" s="297"/>
      <c r="AG62" s="640"/>
      <c r="AH62" s="11"/>
      <c r="AI62" s="11"/>
      <c r="AJ62" s="11"/>
      <c r="AK62" s="11"/>
      <c r="AL62" s="11"/>
      <c r="AM62" s="11"/>
      <c r="AN62" s="11"/>
    </row>
    <row r="63" spans="1:40" ht="15" customHeight="1">
      <c r="A63" s="983"/>
      <c r="C63" s="559" t="s">
        <v>466</v>
      </c>
      <c r="D63" s="739">
        <f>'Assumptions '!H148</f>
        <v>-8.6615030856433651E-4</v>
      </c>
      <c r="E63" s="739">
        <f>'Assumptions '!I148</f>
        <v>-1.0761097594392088E-3</v>
      </c>
      <c r="F63" s="554" t="s">
        <v>465</v>
      </c>
      <c r="G63" s="297"/>
      <c r="H63" s="297"/>
      <c r="I63" s="297"/>
      <c r="J63" s="297"/>
      <c r="K63" s="297"/>
      <c r="L63" s="297"/>
      <c r="M63" s="297"/>
      <c r="N63" s="297"/>
      <c r="O63" s="297"/>
      <c r="P63" s="297"/>
      <c r="Q63" s="297"/>
      <c r="R63" s="297"/>
      <c r="S63" s="297"/>
      <c r="T63" s="297"/>
      <c r="U63" s="297"/>
      <c r="V63" s="297"/>
      <c r="W63" s="297"/>
      <c r="X63" s="297"/>
      <c r="Y63" s="297"/>
      <c r="Z63" s="297"/>
      <c r="AA63" s="297"/>
      <c r="AB63" s="297"/>
      <c r="AC63" s="297"/>
      <c r="AD63" s="297"/>
      <c r="AE63" s="297"/>
      <c r="AF63" s="297"/>
      <c r="AG63" s="640"/>
      <c r="AH63" s="11"/>
      <c r="AI63" s="11"/>
      <c r="AJ63" s="11"/>
      <c r="AK63" s="11"/>
      <c r="AL63" s="11"/>
      <c r="AM63" s="11"/>
      <c r="AN63" s="11"/>
    </row>
    <row r="64" spans="1:40" ht="15" customHeight="1">
      <c r="A64" s="983"/>
      <c r="C64" s="559" t="s">
        <v>135</v>
      </c>
      <c r="D64" s="739">
        <f>'Assumptions '!H149</f>
        <v>0.32422338445751253</v>
      </c>
      <c r="E64" s="739">
        <f>'Assumptions '!I149</f>
        <v>0.33763095795222514</v>
      </c>
      <c r="F64" s="554" t="s">
        <v>467</v>
      </c>
      <c r="G64" s="297"/>
      <c r="I64" s="297"/>
      <c r="J64" s="297"/>
      <c r="K64" s="297"/>
      <c r="L64" s="297"/>
      <c r="M64" s="297"/>
      <c r="N64" s="297"/>
      <c r="O64" s="297"/>
      <c r="P64" s="297"/>
      <c r="Q64" s="297"/>
      <c r="R64" s="297"/>
      <c r="S64" s="297"/>
      <c r="T64" s="297"/>
      <c r="U64" s="297"/>
      <c r="V64" s="297"/>
      <c r="W64" s="297"/>
      <c r="X64" s="297"/>
      <c r="Y64" s="297"/>
      <c r="Z64" s="297"/>
      <c r="AA64" s="297"/>
      <c r="AB64" s="297"/>
      <c r="AC64" s="297"/>
      <c r="AD64" s="297"/>
      <c r="AE64" s="297"/>
      <c r="AF64" s="297"/>
      <c r="AG64" s="297"/>
    </row>
    <row r="65" spans="1:33" ht="15" customHeight="1">
      <c r="A65" s="983"/>
      <c r="C65" s="559" t="s">
        <v>468</v>
      </c>
      <c r="D65" s="739">
        <f>'Assumptions '!H150</f>
        <v>0.1749734218312233</v>
      </c>
      <c r="E65" s="739">
        <f>'Assumptions '!I150</f>
        <v>0.16928128275588528</v>
      </c>
      <c r="F65" s="554" t="s">
        <v>467</v>
      </c>
      <c r="G65" s="297"/>
      <c r="I65" s="297"/>
      <c r="J65" s="297"/>
      <c r="K65" s="297"/>
      <c r="L65" s="297"/>
      <c r="M65" s="297"/>
      <c r="N65" s="297"/>
      <c r="O65" s="297"/>
      <c r="P65" s="297"/>
      <c r="Q65" s="297"/>
      <c r="R65" s="297"/>
      <c r="S65" s="297"/>
      <c r="T65" s="297"/>
      <c r="U65" s="297"/>
      <c r="V65" s="297"/>
      <c r="W65" s="297"/>
      <c r="X65" s="297"/>
      <c r="Y65" s="297"/>
      <c r="Z65" s="297"/>
      <c r="AA65" s="297"/>
      <c r="AB65" s="297"/>
      <c r="AC65" s="297"/>
      <c r="AD65" s="297"/>
      <c r="AE65" s="297"/>
      <c r="AF65" s="297"/>
      <c r="AG65" s="297"/>
    </row>
    <row r="66" spans="1:33" ht="15" customHeight="1">
      <c r="A66" s="983"/>
      <c r="C66" s="559" t="s">
        <v>469</v>
      </c>
      <c r="D66" s="739">
        <f>'Assumptions '!H151</f>
        <v>4.2120000000000005E-2</v>
      </c>
      <c r="E66" s="739">
        <f>'Assumptions '!I151</f>
        <v>3.6204E-2</v>
      </c>
      <c r="F66" s="554" t="s">
        <v>465</v>
      </c>
      <c r="G66" s="297"/>
      <c r="I66" s="297"/>
      <c r="J66" s="297"/>
      <c r="K66" s="297"/>
      <c r="L66" s="297"/>
      <c r="M66" s="297"/>
      <c r="N66" s="297"/>
      <c r="O66" s="297"/>
      <c r="P66" s="297"/>
      <c r="Q66" s="297"/>
      <c r="R66" s="297"/>
      <c r="S66" s="297"/>
      <c r="T66" s="297"/>
      <c r="U66" s="297"/>
      <c r="V66" s="297"/>
      <c r="W66" s="297"/>
      <c r="X66" s="297"/>
      <c r="Y66" s="297"/>
      <c r="Z66" s="297"/>
      <c r="AA66" s="297"/>
      <c r="AB66" s="297"/>
      <c r="AC66" s="297"/>
      <c r="AD66" s="297"/>
      <c r="AE66" s="297"/>
      <c r="AF66" s="297"/>
      <c r="AG66" s="297"/>
    </row>
    <row r="67" spans="1:33" ht="15.75" customHeight="1">
      <c r="A67" s="984"/>
      <c r="C67" s="559" t="s">
        <v>470</v>
      </c>
      <c r="D67" s="739">
        <f>AVERAGE(D12:F12)/AVERAGE(D6:F6)</f>
        <v>4.2842800062410535E-2</v>
      </c>
      <c r="E67" s="739">
        <f t="shared" si="38"/>
        <v>4.2842800062410535E-2</v>
      </c>
      <c r="F67" s="554" t="s">
        <v>465</v>
      </c>
      <c r="G67" s="297"/>
      <c r="J67" s="297"/>
      <c r="K67" s="297"/>
      <c r="L67" s="297"/>
      <c r="M67" s="297"/>
      <c r="N67" s="297"/>
      <c r="O67" s="297"/>
      <c r="P67" s="297"/>
      <c r="Q67" s="297"/>
      <c r="R67" s="297"/>
      <c r="S67" s="297"/>
      <c r="T67" s="297"/>
      <c r="U67" s="297"/>
      <c r="V67" s="297"/>
      <c r="W67" s="297"/>
      <c r="X67" s="297"/>
      <c r="Y67" s="297"/>
      <c r="Z67" s="297"/>
      <c r="AA67" s="297"/>
      <c r="AB67" s="297"/>
      <c r="AC67" s="297"/>
      <c r="AD67" s="297"/>
      <c r="AE67" s="297"/>
      <c r="AF67" s="297"/>
      <c r="AG67" s="297"/>
    </row>
    <row r="68" spans="1:33" ht="15">
      <c r="A68" s="297"/>
      <c r="C68" s="297"/>
      <c r="D68" s="297"/>
      <c r="E68" s="297"/>
      <c r="F68" s="297"/>
      <c r="G68" s="297"/>
      <c r="H68" s="297"/>
      <c r="I68" s="297"/>
      <c r="J68" s="297"/>
      <c r="K68" s="297"/>
      <c r="L68" s="297"/>
      <c r="M68" s="297"/>
      <c r="N68" s="297"/>
      <c r="O68" s="297"/>
      <c r="P68" s="297"/>
      <c r="Q68" s="297"/>
      <c r="R68" s="297"/>
      <c r="S68" s="297"/>
      <c r="T68" s="297"/>
      <c r="U68" s="297"/>
      <c r="V68" s="297"/>
      <c r="W68" s="297"/>
      <c r="X68" s="297"/>
      <c r="Y68" s="297"/>
      <c r="Z68" s="297"/>
      <c r="AA68" s="297"/>
      <c r="AB68" s="297"/>
      <c r="AC68" s="297"/>
      <c r="AD68" s="297"/>
      <c r="AE68" s="297"/>
      <c r="AF68" s="297"/>
      <c r="AG68" s="297"/>
    </row>
    <row r="69" spans="1:33" ht="15">
      <c r="A69" s="982" t="s">
        <v>112</v>
      </c>
      <c r="C69" s="386"/>
      <c r="D69" s="515" t="s">
        <v>471</v>
      </c>
      <c r="E69" s="2"/>
      <c r="G69" s="297"/>
      <c r="H69" s="297"/>
      <c r="I69" s="297"/>
      <c r="J69" s="297"/>
      <c r="K69" s="297"/>
      <c r="L69" s="297"/>
      <c r="M69" s="297"/>
      <c r="N69" s="297"/>
      <c r="O69" s="297"/>
      <c r="P69" s="297"/>
      <c r="Q69" s="297"/>
      <c r="R69" s="297"/>
      <c r="S69" s="297"/>
      <c r="T69" s="297"/>
      <c r="U69" s="297"/>
      <c r="V69" s="297"/>
      <c r="W69" s="297"/>
      <c r="X69" s="297"/>
      <c r="Y69" s="297"/>
      <c r="Z69" s="297"/>
      <c r="AA69" s="297"/>
      <c r="AB69" s="297"/>
      <c r="AC69" s="297"/>
      <c r="AD69" s="297"/>
      <c r="AE69" s="297"/>
      <c r="AF69" s="297"/>
      <c r="AG69" s="297"/>
    </row>
    <row r="70" spans="1:33" ht="15">
      <c r="A70" s="983"/>
      <c r="C70" s="386" t="s">
        <v>472</v>
      </c>
      <c r="D70" s="516">
        <f ca="1">SUMPRODUCT(G35:AF35,G45:AF45)+((AF43-AF44)*AF45)</f>
        <v>123459.55562312491</v>
      </c>
      <c r="E70" s="461">
        <f ca="1">D70/D72</f>
        <v>0.44695399770991229</v>
      </c>
      <c r="G70" s="297"/>
      <c r="H70" s="297"/>
      <c r="I70" s="297"/>
      <c r="J70" s="297"/>
      <c r="K70" s="297"/>
      <c r="L70" s="297"/>
      <c r="M70" s="297"/>
      <c r="N70" s="297"/>
      <c r="O70" s="297"/>
      <c r="P70" s="297"/>
      <c r="Q70" s="297"/>
      <c r="R70" s="297"/>
      <c r="S70" s="297"/>
      <c r="T70" s="297"/>
      <c r="U70" s="297"/>
      <c r="V70" s="297"/>
      <c r="W70" s="297"/>
      <c r="X70" s="297"/>
      <c r="Y70" s="297"/>
      <c r="Z70" s="297"/>
      <c r="AA70" s="297"/>
      <c r="AB70" s="297"/>
      <c r="AC70" s="297"/>
      <c r="AD70" s="297"/>
      <c r="AE70" s="297"/>
      <c r="AF70" s="297"/>
      <c r="AG70" s="297"/>
    </row>
    <row r="71" spans="1:33" ht="15">
      <c r="A71" s="983"/>
      <c r="C71" s="386" t="s">
        <v>473</v>
      </c>
      <c r="D71" s="516">
        <f ca="1">(AF34/(F50-AF5))*AF45</f>
        <v>152764.74543627448</v>
      </c>
      <c r="E71" s="461">
        <f ca="1">D71/D72</f>
        <v>0.55304600229008771</v>
      </c>
      <c r="G71" s="297"/>
      <c r="H71" s="297"/>
      <c r="I71" s="297"/>
      <c r="J71" s="297"/>
      <c r="K71" s="297"/>
      <c r="L71" s="297"/>
      <c r="M71" s="297"/>
      <c r="N71" s="297"/>
      <c r="O71" s="297"/>
      <c r="P71" s="297"/>
      <c r="Q71" s="297"/>
      <c r="R71" s="297"/>
      <c r="S71" s="297"/>
      <c r="T71" s="297"/>
      <c r="U71" s="297"/>
      <c r="V71" s="297"/>
      <c r="W71" s="297"/>
      <c r="X71" s="297"/>
      <c r="Y71" s="297"/>
      <c r="Z71" s="297"/>
      <c r="AA71" s="297"/>
      <c r="AB71" s="297"/>
      <c r="AC71" s="297"/>
      <c r="AD71" s="297"/>
      <c r="AE71" s="297"/>
      <c r="AF71" s="297"/>
      <c r="AG71" s="297"/>
    </row>
    <row r="72" spans="1:33" ht="15">
      <c r="A72" s="983"/>
      <c r="C72" s="386" t="s">
        <v>474</v>
      </c>
      <c r="D72" s="516">
        <f ca="1">D70+D71</f>
        <v>276224.30105939938</v>
      </c>
      <c r="E72" s="2"/>
      <c r="G72" s="297"/>
      <c r="H72" s="297"/>
      <c r="I72" s="297"/>
      <c r="J72" s="297"/>
      <c r="K72" s="297"/>
      <c r="L72" s="297"/>
      <c r="M72" s="297"/>
      <c r="N72" s="297"/>
      <c r="O72" s="297"/>
      <c r="P72" s="297"/>
      <c r="Q72" s="297"/>
      <c r="R72" s="297"/>
      <c r="S72" s="297"/>
      <c r="T72" s="297"/>
      <c r="U72" s="297"/>
      <c r="V72" s="297"/>
      <c r="W72" s="297"/>
      <c r="X72" s="297"/>
      <c r="Y72" s="297"/>
      <c r="Z72" s="297"/>
      <c r="AA72" s="297"/>
      <c r="AB72" s="297"/>
      <c r="AC72" s="297"/>
      <c r="AD72" s="297"/>
      <c r="AE72" s="297"/>
      <c r="AF72" s="297"/>
      <c r="AG72" s="297"/>
    </row>
    <row r="73" spans="1:33" ht="15">
      <c r="A73" s="983"/>
      <c r="C73" s="517" t="s">
        <v>475</v>
      </c>
      <c r="D73" s="514">
        <f>OP!C20</f>
        <v>842.9</v>
      </c>
      <c r="E73" s="387"/>
      <c r="G73" s="297"/>
      <c r="H73" s="297"/>
      <c r="I73" s="297"/>
      <c r="J73" s="297"/>
      <c r="K73" s="297"/>
      <c r="L73" s="297"/>
      <c r="M73" s="297"/>
      <c r="N73" s="297"/>
      <c r="O73" s="297"/>
      <c r="P73" s="297"/>
      <c r="Q73" s="297"/>
      <c r="R73" s="297"/>
      <c r="S73" s="297"/>
      <c r="T73" s="297"/>
      <c r="U73" s="297"/>
      <c r="V73" s="297"/>
      <c r="W73" s="297"/>
      <c r="X73" s="297"/>
      <c r="Y73" s="297"/>
      <c r="Z73" s="297"/>
      <c r="AA73" s="297"/>
      <c r="AB73" s="297"/>
      <c r="AC73" s="297"/>
      <c r="AD73" s="297"/>
      <c r="AE73" s="297"/>
      <c r="AF73" s="297"/>
      <c r="AG73" s="297"/>
    </row>
    <row r="74" spans="1:33" ht="15">
      <c r="A74" s="983"/>
      <c r="C74" s="517" t="s">
        <v>476</v>
      </c>
      <c r="D74" s="518">
        <f ca="1">D75/D73-1</f>
        <v>-0.26081386773532145</v>
      </c>
      <c r="H74" s="297"/>
      <c r="I74" s="297"/>
      <c r="J74" s="297"/>
      <c r="K74" s="297"/>
      <c r="L74" s="297"/>
      <c r="M74" s="297"/>
      <c r="N74" s="297"/>
      <c r="O74" s="297"/>
      <c r="P74" s="297"/>
      <c r="Q74" s="297"/>
      <c r="R74" s="297"/>
      <c r="S74" s="297"/>
      <c r="T74" s="297"/>
      <c r="U74" s="297"/>
      <c r="V74" s="297"/>
      <c r="W74" s="297"/>
      <c r="X74" s="297"/>
      <c r="Y74" s="297"/>
      <c r="Z74" s="297"/>
      <c r="AA74" s="297"/>
      <c r="AB74" s="297"/>
      <c r="AC74" s="297"/>
      <c r="AD74" s="297"/>
      <c r="AE74" s="297"/>
      <c r="AF74" s="297"/>
      <c r="AG74" s="297"/>
    </row>
    <row r="75" spans="1:33" ht="15">
      <c r="A75" s="984"/>
      <c r="C75" s="519" t="s">
        <v>477</v>
      </c>
      <c r="D75" s="520">
        <f ca="1">D72*1000000/OP!C21</f>
        <v>623.05999088589749</v>
      </c>
    </row>
    <row r="76" spans="1:33" ht="15">
      <c r="A76" s="495"/>
      <c r="C76" s="387"/>
      <c r="D76" s="513"/>
    </row>
    <row r="77" spans="1:33" ht="15">
      <c r="A77" s="978" t="s">
        <v>478</v>
      </c>
      <c r="C77" s="549" t="s">
        <v>479</v>
      </c>
      <c r="D77" s="514">
        <f ca="1">(SUMPRODUCT(G35:AF35,G45:AF45)+((AF43-AF44)*AF45)+(AF34/(F50+0.001-AF5))*AF45)*1000000/OP!C21</f>
        <v>618.03769633378931</v>
      </c>
      <c r="E77" s="521">
        <f ca="1">D77/D75-1</f>
        <v>-8.0606917882293239E-3</v>
      </c>
    </row>
    <row r="78" spans="1:33" ht="15">
      <c r="A78" s="979"/>
      <c r="C78" s="549" t="s">
        <v>480</v>
      </c>
      <c r="D78" s="514">
        <f ca="1">(SUMPRODUCT(G35:AF35,G45:AF45)+((AF43-AF44)*AF45)+(AF34/(F50+0.005-AF5))*AF45)*1000000/OP!C21</f>
        <v>599.33187521566117</v>
      </c>
      <c r="E78" s="521">
        <f ca="1">D78/D75-1</f>
        <v>-3.8083195867702146E-2</v>
      </c>
    </row>
    <row r="79" spans="1:33" ht="15">
      <c r="A79" s="547"/>
      <c r="C79" s="548"/>
      <c r="D79" s="513"/>
      <c r="E79" s="521"/>
    </row>
    <row r="80" spans="1:33" ht="15">
      <c r="A80" s="560" t="s">
        <v>481</v>
      </c>
      <c r="J80" s="5"/>
    </row>
    <row r="81" spans="7:12">
      <c r="G81" s="1"/>
      <c r="H81" s="1"/>
      <c r="I81" s="1"/>
      <c r="J81" s="4"/>
    </row>
    <row r="82" spans="7:12">
      <c r="G82" s="1"/>
      <c r="H82" s="1"/>
      <c r="I82" s="1"/>
      <c r="J82" s="4"/>
    </row>
    <row r="83" spans="7:12">
      <c r="G83" s="1"/>
      <c r="H83" s="1"/>
      <c r="I83" s="1"/>
      <c r="K83" s="4"/>
    </row>
    <row r="84" spans="7:12">
      <c r="L84" s="5"/>
    </row>
    <row r="85" spans="7:12">
      <c r="G85" s="1"/>
      <c r="H85" s="1"/>
      <c r="I85" s="1"/>
    </row>
    <row r="86" spans="7:12">
      <c r="G86" s="1"/>
      <c r="H86" s="1"/>
      <c r="I86" s="1"/>
    </row>
    <row r="87" spans="7:12">
      <c r="G87" s="1"/>
      <c r="H87" s="1"/>
      <c r="I87" s="1"/>
    </row>
  </sheetData>
  <mergeCells count="15">
    <mergeCell ref="A33:AF33"/>
    <mergeCell ref="A77:A78"/>
    <mergeCell ref="A1:AF2"/>
    <mergeCell ref="A69:A75"/>
    <mergeCell ref="A5:A17"/>
    <mergeCell ref="A19:A32"/>
    <mergeCell ref="A43:A47"/>
    <mergeCell ref="A52:A67"/>
    <mergeCell ref="G3:J3"/>
    <mergeCell ref="K3:AF3"/>
    <mergeCell ref="A42:AF42"/>
    <mergeCell ref="A48:AF48"/>
    <mergeCell ref="A34:A36"/>
    <mergeCell ref="A38:A41"/>
    <mergeCell ref="A49:A50"/>
  </mergeCells>
  <phoneticPr fontId="0" type="noConversion"/>
  <conditionalFormatting sqref="D74">
    <cfRule type="cellIs" dxfId="1" priority="1" operator="lessThan">
      <formula>0</formula>
    </cfRule>
    <cfRule type="cellIs" dxfId="0" priority="2" operator="greaterThan">
      <formula>0%</formula>
    </cfRule>
  </conditionalFormatting>
  <pageMargins left="0.75" right="0.75" top="1" bottom="1" header="0" footer="0"/>
  <pageSetup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52A46-6F8E-464C-9436-988C35582CC1}">
  <dimension ref="A2:AH152"/>
  <sheetViews>
    <sheetView zoomScale="116" zoomScaleNormal="100" workbookViewId="0">
      <pane xSplit="2" ySplit="2" topLeftCell="H53" activePane="bottomRight" state="frozen"/>
      <selection pane="bottomRight" activeCell="H25" sqref="H25"/>
      <selection pane="bottomLeft" activeCell="A3" sqref="A3"/>
      <selection pane="topRight" activeCell="C1" sqref="C1"/>
    </sheetView>
  </sheetViews>
  <sheetFormatPr defaultColWidth="11.42578125" defaultRowHeight="12.75"/>
  <cols>
    <col min="1" max="1" width="3.85546875" customWidth="1"/>
    <col min="2" max="2" width="46.85546875" bestFit="1" customWidth="1"/>
    <col min="3" max="3" width="10.7109375" customWidth="1"/>
    <col min="4" max="4" width="18.85546875" customWidth="1"/>
    <col min="5" max="5" width="16" customWidth="1"/>
    <col min="6" max="6" width="13.28515625" bestFit="1" customWidth="1"/>
    <col min="7" max="7" width="12.7109375" bestFit="1" customWidth="1"/>
    <col min="8" max="8" width="17" bestFit="1" customWidth="1"/>
    <col min="9" max="9" width="17.85546875" customWidth="1"/>
    <col min="10" max="12" width="12" bestFit="1" customWidth="1"/>
    <col min="13" max="13" width="14.7109375" bestFit="1" customWidth="1"/>
    <col min="14" max="14" width="13.7109375" bestFit="1" customWidth="1"/>
    <col min="15" max="15" width="16.28515625" bestFit="1" customWidth="1"/>
    <col min="16" max="16" width="20.85546875" bestFit="1" customWidth="1"/>
    <col min="17" max="17" width="25.42578125" bestFit="1" customWidth="1"/>
    <col min="18" max="18" width="11.85546875" bestFit="1" customWidth="1"/>
    <col min="19" max="23" width="11.7109375" bestFit="1" customWidth="1"/>
  </cols>
  <sheetData>
    <row r="2" spans="2:10" s="669" customFormat="1" ht="15">
      <c r="B2" s="670" t="s">
        <v>482</v>
      </c>
      <c r="C2" s="670"/>
    </row>
    <row r="4" spans="2:10" s="695" customFormat="1">
      <c r="B4" s="696" t="s">
        <v>483</v>
      </c>
      <c r="C4" s="695" t="s">
        <v>484</v>
      </c>
    </row>
    <row r="5" spans="2:10" s="695" customFormat="1">
      <c r="C5" s="695" t="s">
        <v>485</v>
      </c>
    </row>
    <row r="8" spans="2:10">
      <c r="B8" s="11" t="s">
        <v>486</v>
      </c>
      <c r="C8" s="674">
        <f>AVERAGE(D24:H24)</f>
        <v>0.12023755791541042</v>
      </c>
    </row>
    <row r="9" spans="2:10">
      <c r="B9" s="11" t="s">
        <v>487</v>
      </c>
      <c r="C9" s="675">
        <v>8.8999999999999996E-2</v>
      </c>
    </row>
    <row r="11" spans="2:10" ht="13.5" thickBot="1">
      <c r="B11" s="676" t="s">
        <v>488</v>
      </c>
      <c r="E11" s="1009" t="s">
        <v>489</v>
      </c>
      <c r="F11" s="1009"/>
      <c r="G11" s="1009"/>
      <c r="H11" s="1009"/>
      <c r="I11" s="1009"/>
      <c r="J11" s="1009"/>
    </row>
    <row r="12" spans="2:10" ht="14.25" thickTop="1" thickBot="1">
      <c r="B12" s="11" t="s">
        <v>490</v>
      </c>
      <c r="C12" s="677">
        <v>2</v>
      </c>
      <c r="E12" s="1010" t="s">
        <v>491</v>
      </c>
      <c r="F12" s="1010"/>
      <c r="G12" s="1010" t="s">
        <v>492</v>
      </c>
      <c r="H12" s="1010"/>
      <c r="I12" s="1010" t="s">
        <v>493</v>
      </c>
      <c r="J12" s="1010"/>
    </row>
    <row r="13" spans="2:10" ht="13.5" thickTop="1">
      <c r="B13" s="11" t="s">
        <v>61</v>
      </c>
      <c r="C13" s="677">
        <v>2</v>
      </c>
      <c r="E13" s="11" t="s">
        <v>494</v>
      </c>
      <c r="F13" s="678">
        <f>1+($C$9-0.08)</f>
        <v>1.0089999999999999</v>
      </c>
      <c r="G13" s="11" t="s">
        <v>494</v>
      </c>
      <c r="H13" s="679">
        <f>I23</f>
        <v>241025.14800000002</v>
      </c>
      <c r="I13" s="11" t="s">
        <v>494</v>
      </c>
      <c r="J13" s="678">
        <f>1+($C$9+0.08)</f>
        <v>1.169</v>
      </c>
    </row>
    <row r="14" spans="2:10">
      <c r="B14" s="11"/>
      <c r="C14" s="677"/>
      <c r="E14" s="11" t="s">
        <v>495</v>
      </c>
      <c r="F14" s="678">
        <f>1+($C$9-0.08)</f>
        <v>1.0089999999999999</v>
      </c>
      <c r="G14" s="11" t="s">
        <v>495</v>
      </c>
      <c r="H14" s="678">
        <f>'Inflation Projections'!E24+0.01</f>
        <v>0.03</v>
      </c>
      <c r="I14" s="11" t="s">
        <v>495</v>
      </c>
      <c r="J14" s="678">
        <f>1+($C$9+0.08)</f>
        <v>1.169</v>
      </c>
    </row>
    <row r="15" spans="2:10">
      <c r="B15" s="11"/>
      <c r="E15" s="11" t="s">
        <v>496</v>
      </c>
      <c r="F15" s="678">
        <v>0.9</v>
      </c>
      <c r="G15" s="11" t="s">
        <v>496</v>
      </c>
      <c r="H15" s="678">
        <f>I41</f>
        <v>2.6341649627365852E-2</v>
      </c>
      <c r="I15" s="11" t="s">
        <v>496</v>
      </c>
      <c r="J15" s="678">
        <v>1.1000000000000001</v>
      </c>
    </row>
    <row r="16" spans="2:10">
      <c r="B16" s="11"/>
      <c r="E16" s="11" t="s">
        <v>497</v>
      </c>
      <c r="F16" s="678">
        <v>0.9</v>
      </c>
      <c r="G16" s="11" t="s">
        <v>497</v>
      </c>
      <c r="H16" s="678">
        <f ca="1">AVERAGE(I41:K41)</f>
        <v>2.7012644404791661E-2</v>
      </c>
      <c r="I16" s="11" t="s">
        <v>497</v>
      </c>
      <c r="J16" s="678">
        <v>1.1000000000000001</v>
      </c>
    </row>
    <row r="17" spans="1:34">
      <c r="B17" s="11"/>
    </row>
    <row r="19" spans="1:34" s="669" customFormat="1" ht="15">
      <c r="B19" s="670" t="s">
        <v>498</v>
      </c>
      <c r="C19" s="670"/>
    </row>
    <row r="21" spans="1:34" s="667" customFormat="1" ht="15">
      <c r="B21" s="668"/>
      <c r="C21" s="1006" t="s">
        <v>499</v>
      </c>
      <c r="D21" s="1006"/>
      <c r="E21" s="1006"/>
      <c r="F21" s="1006"/>
      <c r="G21" s="1006"/>
      <c r="H21" s="1006"/>
      <c r="I21" s="1007" t="s">
        <v>500</v>
      </c>
      <c r="J21" s="1008"/>
      <c r="K21" s="1008"/>
      <c r="L21" s="1008"/>
      <c r="M21" s="1008"/>
      <c r="N21"/>
      <c r="O21"/>
      <c r="P21"/>
      <c r="Q21"/>
      <c r="R21"/>
      <c r="S21"/>
      <c r="T21"/>
      <c r="U21"/>
      <c r="V21"/>
      <c r="W21"/>
      <c r="X21"/>
      <c r="Y21"/>
      <c r="Z21"/>
      <c r="AA21"/>
      <c r="AB21"/>
      <c r="AC21"/>
      <c r="AD21"/>
      <c r="AE21"/>
      <c r="AF21"/>
      <c r="AG21"/>
      <c r="AH21"/>
    </row>
    <row r="22" spans="1:34" ht="15">
      <c r="A22" s="11"/>
      <c r="B22" s="666"/>
      <c r="C22" s="666">
        <v>2017</v>
      </c>
      <c r="D22" s="666">
        <v>2018</v>
      </c>
      <c r="E22" s="666">
        <v>2019</v>
      </c>
      <c r="F22" s="6">
        <v>2020</v>
      </c>
      <c r="G22" s="6">
        <v>2021</v>
      </c>
      <c r="H22" s="688">
        <v>2022</v>
      </c>
      <c r="I22" s="6">
        <v>2023</v>
      </c>
      <c r="J22" s="6">
        <f>I22+1</f>
        <v>2024</v>
      </c>
      <c r="K22" s="6">
        <f t="shared" ref="K22:AH22" si="0">J22+1</f>
        <v>2025</v>
      </c>
      <c r="L22" s="6">
        <f t="shared" si="0"/>
        <v>2026</v>
      </c>
      <c r="M22" s="688">
        <f t="shared" si="0"/>
        <v>2027</v>
      </c>
      <c r="N22" s="6">
        <f t="shared" si="0"/>
        <v>2028</v>
      </c>
      <c r="O22" s="6">
        <f t="shared" si="0"/>
        <v>2029</v>
      </c>
      <c r="P22" s="6">
        <f t="shared" si="0"/>
        <v>2030</v>
      </c>
      <c r="Q22" s="6">
        <f t="shared" si="0"/>
        <v>2031</v>
      </c>
      <c r="R22" s="688">
        <f t="shared" si="0"/>
        <v>2032</v>
      </c>
      <c r="S22" s="6">
        <f t="shared" ref="S22" si="1">R22+1</f>
        <v>2033</v>
      </c>
      <c r="T22" s="6">
        <f t="shared" ref="T22" si="2">S22+1</f>
        <v>2034</v>
      </c>
      <c r="U22" s="6">
        <f t="shared" ref="U22" si="3">T22+1</f>
        <v>2035</v>
      </c>
      <c r="V22" s="6">
        <f t="shared" ref="V22" si="4">U22+1</f>
        <v>2036</v>
      </c>
      <c r="W22" s="688">
        <f t="shared" ref="W22" si="5">V22+1</f>
        <v>2037</v>
      </c>
      <c r="X22" s="6">
        <f t="shared" ref="X22" si="6">W22+1</f>
        <v>2038</v>
      </c>
      <c r="Y22" s="6">
        <f t="shared" ref="Y22" si="7">X22+1</f>
        <v>2039</v>
      </c>
      <c r="Z22" s="6">
        <f t="shared" ref="Z22" si="8">Y22+1</f>
        <v>2040</v>
      </c>
      <c r="AA22" s="6">
        <f t="shared" ref="AA22" si="9">Z22+1</f>
        <v>2041</v>
      </c>
      <c r="AB22" s="688">
        <f t="shared" ref="AB22" si="10">AA22+1</f>
        <v>2042</v>
      </c>
      <c r="AC22" s="6">
        <f t="shared" ref="AC22" si="11">AB22+1</f>
        <v>2043</v>
      </c>
      <c r="AD22" s="6">
        <f t="shared" ref="AD22" si="12">AC22+1</f>
        <v>2044</v>
      </c>
      <c r="AE22" s="6">
        <f t="shared" ref="AE22" si="13">AD22+1</f>
        <v>2045</v>
      </c>
      <c r="AF22" s="6">
        <f t="shared" ref="AF22" si="14">AE22+1</f>
        <v>2046</v>
      </c>
      <c r="AG22" s="688">
        <f t="shared" ref="AG22" si="15">AF22+1</f>
        <v>2047</v>
      </c>
      <c r="AH22" s="6">
        <f t="shared" si="0"/>
        <v>2048</v>
      </c>
    </row>
    <row r="23" spans="1:34" s="673" customFormat="1" ht="15.75" thickBot="1">
      <c r="A23" s="11"/>
      <c r="B23" s="712" t="s">
        <v>124</v>
      </c>
      <c r="C23" s="75">
        <f>Inputs!G6</f>
        <v>129025</v>
      </c>
      <c r="D23" s="75">
        <f>Inputs!F6</f>
        <v>141576</v>
      </c>
      <c r="E23" s="75">
        <f>Inputs!E6</f>
        <v>152703</v>
      </c>
      <c r="F23" s="75">
        <f>Inputs!D6</f>
        <v>166761</v>
      </c>
      <c r="G23" s="75">
        <f>Inputs!C6</f>
        <v>195929</v>
      </c>
      <c r="H23" s="689">
        <f>Inputs!B6</f>
        <v>226954</v>
      </c>
      <c r="I23" s="679">
        <f>H23*(1+I24)</f>
        <v>241025.14800000002</v>
      </c>
      <c r="J23" s="679">
        <f ca="1">I23*(1+J24)</f>
        <v>253076.40540000002</v>
      </c>
      <c r="K23" s="679">
        <v>270837</v>
      </c>
      <c r="L23" s="75">
        <f ca="1">K23*(1+L24)</f>
        <v>284403.06077343901</v>
      </c>
      <c r="M23" s="689">
        <f ca="1">L23*(1+M24)</f>
        <v>292935.15259664221</v>
      </c>
      <c r="N23" s="75">
        <f ca="1">M23*(1+N24)</f>
        <v>311637.94112057396</v>
      </c>
      <c r="O23" s="75">
        <f t="shared" ref="O23:R23" ca="1" si="16">N23*(1+O24)</f>
        <v>328897.89318016364</v>
      </c>
      <c r="P23" s="75">
        <f t="shared" ca="1" si="16"/>
        <v>345026.54346754716</v>
      </c>
      <c r="Q23" s="75">
        <f t="shared" ca="1" si="16"/>
        <v>360303.92353917932</v>
      </c>
      <c r="R23" s="689">
        <f t="shared" ca="1" si="16"/>
        <v>371113.04124535469</v>
      </c>
      <c r="S23" s="75">
        <f ca="1">R23*(1+S24)</f>
        <v>382931.57147781929</v>
      </c>
      <c r="T23" s="75">
        <f t="shared" ref="T23" ca="1" si="17">S23*(1+T24)</f>
        <v>394949.73715987115</v>
      </c>
      <c r="U23" s="75">
        <f t="shared" ref="U23" ca="1" si="18">T23*(1+U24)</f>
        <v>407208.37371242006</v>
      </c>
      <c r="V23" s="75">
        <f t="shared" ref="V23" ca="1" si="19">U23*(1+V24)</f>
        <v>419741.78094474389</v>
      </c>
      <c r="W23" s="689">
        <f t="shared" ref="W23" ca="1" si="20">V23*(1+W24)</f>
        <v>432334.03437308624</v>
      </c>
      <c r="X23" s="75">
        <f ca="1">W23*(1+X24)</f>
        <v>459138.74450421758</v>
      </c>
      <c r="Y23" s="75">
        <f t="shared" ref="Y23" ca="1" si="21">X23*(1+Y24)</f>
        <v>483932.23670744535</v>
      </c>
      <c r="Z23" s="75">
        <f t="shared" ref="Z23" ca="1" si="22">Y23*(1+Z24)</f>
        <v>507160.98406940274</v>
      </c>
      <c r="AA23" s="75">
        <f t="shared" ref="AA23" ca="1" si="23">Z23*(1+AA24)</f>
        <v>529222.48687642184</v>
      </c>
      <c r="AB23" s="689">
        <f t="shared" ref="AB23" ca="1" si="24">AA23*(1+AB24)</f>
        <v>545099.16148271447</v>
      </c>
      <c r="AC23" s="75">
        <f ca="1">AB23*(1+AC24)</f>
        <v>577888.96196646907</v>
      </c>
      <c r="AD23" s="75">
        <f t="shared" ref="AD23" ca="1" si="25">AC23*(1+AD24)</f>
        <v>608294.80352543527</v>
      </c>
      <c r="AE23" s="75">
        <f t="shared" ref="AE23" ca="1" si="26">AD23*(1+AE24)</f>
        <v>636861.25667418446</v>
      </c>
      <c r="AF23" s="75">
        <f t="shared" ref="AF23" ca="1" si="27">AE23*(1+AF24)</f>
        <v>664068.69916731655</v>
      </c>
      <c r="AG23" s="689">
        <f t="shared" ref="AG23" ca="1" si="28">AF23*(1+AG24)</f>
        <v>683990.76014233602</v>
      </c>
      <c r="AH23" s="75">
        <f ca="1">AG23*(1+AH24)</f>
        <v>705773.24843846739</v>
      </c>
    </row>
    <row r="24" spans="1:34" s="671" customFormat="1" ht="13.5" thickTop="1">
      <c r="B24" s="671" t="s">
        <v>501</v>
      </c>
      <c r="D24" s="672">
        <f>D23/C23-1</f>
        <v>9.7275721759348954E-2</v>
      </c>
      <c r="E24" s="672">
        <f>E23/D23-1</f>
        <v>7.8593829462620723E-2</v>
      </c>
      <c r="F24" s="672">
        <f t="shared" ref="F24:G24" si="29">F23/E23-1</f>
        <v>9.2061059704131587E-2</v>
      </c>
      <c r="G24" s="672">
        <f t="shared" si="29"/>
        <v>0.17490900150514799</v>
      </c>
      <c r="H24" s="690">
        <f>H23/G23-1</f>
        <v>0.15834817714580285</v>
      </c>
      <c r="I24" s="672">
        <f>I29</f>
        <v>6.2E-2</v>
      </c>
      <c r="J24" s="672">
        <f ca="1">J27</f>
        <v>0.05</v>
      </c>
      <c r="K24" s="672">
        <f ca="1">K27</f>
        <v>7.0178784829539875E-2</v>
      </c>
      <c r="L24" s="672">
        <f ca="1">L27</f>
        <v>5.0089392414769937E-2</v>
      </c>
      <c r="M24" s="690">
        <f ca="1">M27</f>
        <v>0.03</v>
      </c>
      <c r="N24" s="672">
        <f>N29</f>
        <v>6.3846173319064198E-2</v>
      </c>
      <c r="O24" s="672">
        <f ca="1">O27</f>
        <v>5.5384629989298148E-2</v>
      </c>
      <c r="P24" s="672">
        <f ca="1">P27</f>
        <v>4.9038472491973614E-2</v>
      </c>
      <c r="Q24" s="672">
        <f ca="1">Q27</f>
        <v>4.4278854368980214E-2</v>
      </c>
      <c r="R24" s="690">
        <f ca="1">R27</f>
        <v>0.03</v>
      </c>
      <c r="S24" s="672">
        <f>S29</f>
        <v>3.1846173319064197E-2</v>
      </c>
      <c r="T24" s="672">
        <f ca="1">T27</f>
        <v>3.1384629989298148E-2</v>
      </c>
      <c r="U24" s="672">
        <f ca="1">U27</f>
        <v>3.1038472491973612E-2</v>
      </c>
      <c r="V24" s="672">
        <f ca="1">V27</f>
        <v>3.0778854368980209E-2</v>
      </c>
      <c r="W24" s="690">
        <f ca="1">W27</f>
        <v>0.03</v>
      </c>
      <c r="X24" s="672">
        <f>X29</f>
        <v>6.2E-2</v>
      </c>
      <c r="Y24" s="672">
        <f ca="1">Y27</f>
        <v>5.3999999999999999E-2</v>
      </c>
      <c r="Z24" s="672">
        <f ca="1">Z27</f>
        <v>4.8000000000000001E-2</v>
      </c>
      <c r="AA24" s="672">
        <f ca="1">AA27</f>
        <v>4.3499999999999997E-2</v>
      </c>
      <c r="AB24" s="690">
        <f ca="1">AB27</f>
        <v>0.03</v>
      </c>
      <c r="AC24" s="672">
        <f>AC29</f>
        <v>6.0153826680935801E-2</v>
      </c>
      <c r="AD24" s="672">
        <f ca="1">AD27</f>
        <v>5.2615370010701851E-2</v>
      </c>
      <c r="AE24" s="672">
        <f ca="1">AE27</f>
        <v>4.6961527508026388E-2</v>
      </c>
      <c r="AF24" s="672">
        <f ca="1">AF27</f>
        <v>4.2721145631019794E-2</v>
      </c>
      <c r="AG24" s="690">
        <f ca="1">AG27</f>
        <v>0.03</v>
      </c>
      <c r="AH24" s="672">
        <f>AH29</f>
        <v>3.1846173319064197E-2</v>
      </c>
    </row>
    <row r="25" spans="1:34" s="680" customFormat="1">
      <c r="B25" s="680" t="s">
        <v>502</v>
      </c>
      <c r="H25" s="691">
        <f>AVERAGE(D24:H24)</f>
        <v>0.12023755791541042</v>
      </c>
      <c r="I25" s="687"/>
      <c r="J25" s="687"/>
      <c r="K25" s="687"/>
      <c r="L25" s="687"/>
      <c r="M25" s="691">
        <f ca="1">AVERAGE(I24:M24)</f>
        <v>5.2453635448861967E-2</v>
      </c>
      <c r="N25" s="687"/>
      <c r="O25" s="687"/>
      <c r="P25" s="687"/>
      <c r="Q25" s="687"/>
      <c r="R25" s="691">
        <f ca="1">AVERAGE(N24:R24)</f>
        <v>4.8509626033863232E-2</v>
      </c>
      <c r="S25" s="687"/>
      <c r="T25" s="687"/>
      <c r="U25" s="687"/>
      <c r="V25" s="687"/>
      <c r="W25" s="691">
        <f ca="1">AVERAGE(S24:W24)</f>
        <v>3.100962603386323E-2</v>
      </c>
      <c r="X25" s="687"/>
      <c r="Y25" s="687"/>
      <c r="Z25" s="687"/>
      <c r="AA25" s="687"/>
      <c r="AB25" s="691">
        <f ca="1">AVERAGE(X24:AB24)</f>
        <v>4.7499999999999994E-2</v>
      </c>
      <c r="AC25" s="687"/>
      <c r="AD25" s="687"/>
      <c r="AE25" s="687"/>
      <c r="AF25" s="687"/>
      <c r="AG25" s="691">
        <f ca="1">AVERAGE(AC24:AG24)</f>
        <v>4.6490373966136769E-2</v>
      </c>
      <c r="AH25" s="686"/>
    </row>
    <row r="26" spans="1:34" s="680" customFormat="1">
      <c r="B26" s="680" t="s">
        <v>503</v>
      </c>
      <c r="H26" s="691"/>
      <c r="I26" s="687"/>
      <c r="J26" s="687"/>
      <c r="K26" s="687"/>
      <c r="L26" s="687"/>
      <c r="M26" s="691">
        <f>C9</f>
        <v>8.8999999999999996E-2</v>
      </c>
      <c r="N26" s="687"/>
      <c r="O26" s="687"/>
      <c r="P26" s="687"/>
      <c r="Q26" s="687"/>
      <c r="R26" s="691">
        <f>H9</f>
        <v>0</v>
      </c>
      <c r="S26" s="687"/>
      <c r="T26" s="687"/>
      <c r="U26" s="687"/>
      <c r="V26" s="687"/>
      <c r="W26" s="691">
        <f>M9</f>
        <v>0</v>
      </c>
      <c r="X26" s="687"/>
      <c r="Y26" s="687"/>
      <c r="Z26" s="687"/>
      <c r="AA26" s="687"/>
      <c r="AB26" s="691">
        <f>R9</f>
        <v>0</v>
      </c>
      <c r="AC26" s="687"/>
      <c r="AD26" s="687"/>
      <c r="AE26" s="687"/>
      <c r="AF26" s="687"/>
      <c r="AG26" s="691">
        <f>W9</f>
        <v>0</v>
      </c>
      <c r="AH26" s="686"/>
    </row>
    <row r="27" spans="1:34" s="680" customFormat="1">
      <c r="B27" s="680" t="s">
        <v>137</v>
      </c>
      <c r="H27" s="691"/>
      <c r="I27" s="685">
        <f ca="1">OFFSET(I27,$C$12,0)</f>
        <v>6.2E-2</v>
      </c>
      <c r="J27" s="685">
        <f ca="1">OFFSET(J27,$C$12,0)</f>
        <v>0.05</v>
      </c>
      <c r="K27" s="685">
        <f ca="1">OFFSET(K27,$C$12,0)</f>
        <v>7.0178784829539875E-2</v>
      </c>
      <c r="L27" s="685">
        <f ca="1">OFFSET(L27,$C$12,0)</f>
        <v>5.0089392414769937E-2</v>
      </c>
      <c r="M27" s="693">
        <f t="shared" ref="M27" ca="1" si="30">OFFSET(M27,$C$12,0)</f>
        <v>0.03</v>
      </c>
      <c r="N27" s="685">
        <f ca="1">OFFSET(N27,$C$12,0)</f>
        <v>6.3846173319064198E-2</v>
      </c>
      <c r="O27" s="685">
        <f ca="1">OFFSET(O27,$C$12,0)</f>
        <v>5.5384629989298148E-2</v>
      </c>
      <c r="P27" s="685">
        <f t="shared" ref="P27:R27" ca="1" si="31">OFFSET(P27,$C$12,0)</f>
        <v>4.9038472491973614E-2</v>
      </c>
      <c r="Q27" s="685">
        <f t="shared" ca="1" si="31"/>
        <v>4.4278854368980214E-2</v>
      </c>
      <c r="R27" s="693">
        <f t="shared" ca="1" si="31"/>
        <v>0.03</v>
      </c>
      <c r="S27" s="685">
        <f ca="1">OFFSET(S27,$C$12,0)</f>
        <v>3.1846173319064197E-2</v>
      </c>
      <c r="T27" s="685">
        <f ca="1">OFFSET(T27,$C$12,0)</f>
        <v>3.1384629989298148E-2</v>
      </c>
      <c r="U27" s="685">
        <f t="shared" ref="U27:AB27" ca="1" si="32">OFFSET(U27,$C$12,0)</f>
        <v>3.1038472491973612E-2</v>
      </c>
      <c r="V27" s="685">
        <f t="shared" ca="1" si="32"/>
        <v>3.0778854368980209E-2</v>
      </c>
      <c r="W27" s="693">
        <f ca="1">OFFSET(W27,$C$12,0)</f>
        <v>0.03</v>
      </c>
      <c r="X27" s="685">
        <f ca="1">OFFSET(X27,$C$12,0)</f>
        <v>6.2E-2</v>
      </c>
      <c r="Y27" s="685">
        <f ca="1">OFFSET(Y27,$C$12,0)</f>
        <v>5.3999999999999999E-2</v>
      </c>
      <c r="Z27" s="685">
        <f t="shared" ca="1" si="32"/>
        <v>4.8000000000000001E-2</v>
      </c>
      <c r="AA27" s="685">
        <f t="shared" ca="1" si="32"/>
        <v>4.3499999999999997E-2</v>
      </c>
      <c r="AB27" s="693">
        <f t="shared" ca="1" si="32"/>
        <v>0.03</v>
      </c>
      <c r="AC27" s="685">
        <f ca="1">OFFSET(AC27,$C$12,0)</f>
        <v>6.0153826680935801E-2</v>
      </c>
      <c r="AD27" s="685">
        <f ca="1">OFFSET(AD27,$C$12,0)</f>
        <v>5.2615370010701851E-2</v>
      </c>
      <c r="AE27" s="685">
        <f t="shared" ref="AE27:AG27" ca="1" si="33">OFFSET(AE27,$C$12,0)</f>
        <v>4.6961527508026388E-2</v>
      </c>
      <c r="AF27" s="685">
        <f t="shared" ca="1" si="33"/>
        <v>4.2721145631019794E-2</v>
      </c>
      <c r="AG27" s="693">
        <f t="shared" ca="1" si="33"/>
        <v>0.03</v>
      </c>
      <c r="AH27" s="685">
        <f ca="1">OFFSET(AH27,$C$12,0)</f>
        <v>3.1846173319064197E-2</v>
      </c>
    </row>
    <row r="28" spans="1:34" s="682" customFormat="1">
      <c r="B28" s="681" t="str">
        <f>E12</f>
        <v>Conservative</v>
      </c>
      <c r="H28" s="692"/>
      <c r="I28" s="683">
        <f>I24</f>
        <v>6.2E-2</v>
      </c>
      <c r="J28" s="683">
        <f>J29*($F$13)</f>
        <v>5.0449999999999995E-2</v>
      </c>
      <c r="K28" s="683">
        <f ca="1">K29*($F$13)</f>
        <v>7.0810393893005724E-2</v>
      </c>
      <c r="L28" s="683">
        <f t="shared" ref="L28:M28" ca="1" si="34">L29*($F$13)</f>
        <v>5.0540196946502865E-2</v>
      </c>
      <c r="M28" s="694">
        <f t="shared" si="34"/>
        <v>3.0269999999999995E-2</v>
      </c>
      <c r="N28" s="683">
        <f>N24</f>
        <v>6.3846173319064198E-2</v>
      </c>
      <c r="O28" s="683">
        <f>O29*($F$13)</f>
        <v>5.5883091659201828E-2</v>
      </c>
      <c r="P28" s="683">
        <f>P29*($F$13)</f>
        <v>4.9479818744401369E-2</v>
      </c>
      <c r="Q28" s="683">
        <f t="shared" ref="Q28" si="35">Q29*($F$13)</f>
        <v>4.4677364058301028E-2</v>
      </c>
      <c r="R28" s="694">
        <f t="shared" ref="R28" si="36">R29*($F$13)</f>
        <v>3.0269999999999995E-2</v>
      </c>
      <c r="S28" s="683">
        <f>S24</f>
        <v>3.1846173319064197E-2</v>
      </c>
      <c r="T28" s="683">
        <f>T29*($F$13)</f>
        <v>3.1667091659201826E-2</v>
      </c>
      <c r="U28" s="683">
        <f>U29*($F$13)</f>
        <v>3.1317818744401371E-2</v>
      </c>
      <c r="V28" s="683">
        <f t="shared" ref="V28" si="37">V29*($F$13)</f>
        <v>3.1055864058301026E-2</v>
      </c>
      <c r="W28" s="694">
        <f t="shared" ref="W28" si="38">W29*($F$13)</f>
        <v>3.0269999999999995E-2</v>
      </c>
      <c r="X28" s="683">
        <f>X24</f>
        <v>6.2E-2</v>
      </c>
      <c r="Y28" s="683">
        <f>Y29*($F$13)</f>
        <v>5.4485999999999993E-2</v>
      </c>
      <c r="Z28" s="683">
        <f>Z29*($F$13)</f>
        <v>4.8431999999999996E-2</v>
      </c>
      <c r="AA28" s="683">
        <f t="shared" ref="AA28" si="39">AA29*($F$13)</f>
        <v>4.3891499999999993E-2</v>
      </c>
      <c r="AB28" s="694">
        <f t="shared" ref="AB28" si="40">AB29*($F$13)</f>
        <v>3.0269999999999995E-2</v>
      </c>
      <c r="AC28" s="683">
        <f>AC24</f>
        <v>6.0153826680935801E-2</v>
      </c>
      <c r="AD28" s="683">
        <f>AD29*($F$13)</f>
        <v>5.3088908340798165E-2</v>
      </c>
      <c r="AE28" s="683">
        <f>AE29*($F$13)</f>
        <v>4.7384181255598623E-2</v>
      </c>
      <c r="AF28" s="683">
        <f t="shared" ref="AF28" si="41">AF29*($F$13)</f>
        <v>4.3105635941698965E-2</v>
      </c>
      <c r="AG28" s="694">
        <f t="shared" ref="AG28" si="42">AG29*($F$13)</f>
        <v>3.0269999999999995E-2</v>
      </c>
      <c r="AH28" s="683">
        <f>AH24</f>
        <v>3.1846173319064197E-2</v>
      </c>
    </row>
    <row r="29" spans="1:34" s="684" customFormat="1">
      <c r="B29" s="681" t="str">
        <f>G12</f>
        <v>Base</v>
      </c>
      <c r="H29" s="692"/>
      <c r="I29" s="678">
        <v>6.2E-2</v>
      </c>
      <c r="J29" s="678">
        <v>0.05</v>
      </c>
      <c r="K29" s="683">
        <f ca="1">K23/J23-1</f>
        <v>7.0178784829539875E-2</v>
      </c>
      <c r="L29" s="683">
        <f ca="1">K29+($M$29-K29)/($M$22-$K$22)</f>
        <v>5.0089392414769937E-2</v>
      </c>
      <c r="M29" s="694">
        <f>H14</f>
        <v>0.03</v>
      </c>
      <c r="N29" s="678">
        <f>(('Fin. Data'!G6-'Fin. Data'!H6))/(1+'Inflation Projections'!E24)</f>
        <v>6.3846173319064198E-2</v>
      </c>
      <c r="O29" s="683">
        <f>N29+($R$29-N29)/($R$22-$N$22)</f>
        <v>5.5384629989298148E-2</v>
      </c>
      <c r="P29" s="683">
        <f>O29+($R$29-O29)/($R$22-$N$22)</f>
        <v>4.9038472491973614E-2</v>
      </c>
      <c r="Q29" s="683">
        <f>P29+($R$29-P29)/($R$22-$N$22)</f>
        <v>4.4278854368980214E-2</v>
      </c>
      <c r="R29" s="694">
        <v>0.03</v>
      </c>
      <c r="S29" s="678">
        <f>R29+(N29-I29)</f>
        <v>3.1846173319064197E-2</v>
      </c>
      <c r="T29" s="683">
        <f>S29+($R$29-S29)/($R$22-$N$22)</f>
        <v>3.1384629989298148E-2</v>
      </c>
      <c r="U29" s="683">
        <f>T29+($R$29-T29)/($R$22-$N$22)</f>
        <v>3.1038472491973612E-2</v>
      </c>
      <c r="V29" s="683">
        <f>U29+($R$29-U29)/($R$22-$N$22)</f>
        <v>3.0778854368980209E-2</v>
      </c>
      <c r="W29" s="694">
        <v>0.03</v>
      </c>
      <c r="X29" s="678">
        <f>W29+(N29-S29)</f>
        <v>6.2E-2</v>
      </c>
      <c r="Y29" s="683">
        <f>X29+($R$29-X29)/($R$22-$N$22)</f>
        <v>5.3999999999999999E-2</v>
      </c>
      <c r="Z29" s="683">
        <f>Y29+($R$29-Y29)/($R$22-$N$22)</f>
        <v>4.8000000000000001E-2</v>
      </c>
      <c r="AA29" s="683">
        <f>Z29+($R$29-Z29)/($R$22-$N$22)</f>
        <v>4.3499999999999997E-2</v>
      </c>
      <c r="AB29" s="694">
        <v>0.03</v>
      </c>
      <c r="AC29" s="678">
        <f>AB29+(X29-S29)</f>
        <v>6.0153826680935801E-2</v>
      </c>
      <c r="AD29" s="683">
        <f>AC29+($R$29-AC29)/($R$22-$N$22)</f>
        <v>5.2615370010701851E-2</v>
      </c>
      <c r="AE29" s="683">
        <f>AD29+($R$29-AD29)/($R$22-$N$22)</f>
        <v>4.6961527508026388E-2</v>
      </c>
      <c r="AF29" s="683">
        <f>AE29+($R$29-AE29)/($R$22-$N$22)</f>
        <v>4.2721145631019794E-2</v>
      </c>
      <c r="AG29" s="694">
        <v>0.03</v>
      </c>
      <c r="AH29" s="678">
        <f>AG29+(X29-AC29)</f>
        <v>3.1846173319064197E-2</v>
      </c>
    </row>
    <row r="30" spans="1:34" s="684" customFormat="1">
      <c r="B30" s="681" t="str">
        <f>I12</f>
        <v>Optimistic</v>
      </c>
      <c r="H30" s="692"/>
      <c r="I30" s="683">
        <f>I24</f>
        <v>6.2E-2</v>
      </c>
      <c r="J30" s="683">
        <f>J29*($J$13)</f>
        <v>5.8450000000000002E-2</v>
      </c>
      <c r="K30" s="683">
        <f t="shared" ref="K30:M30" ca="1" si="43">K29*($J$13)</f>
        <v>8.2038999465732121E-2</v>
      </c>
      <c r="L30" s="683">
        <f t="shared" ca="1" si="43"/>
        <v>5.8554499732866055E-2</v>
      </c>
      <c r="M30" s="694">
        <f t="shared" si="43"/>
        <v>3.5069999999999997E-2</v>
      </c>
      <c r="N30" s="683">
        <f>N24</f>
        <v>6.3846173319064198E-2</v>
      </c>
      <c r="O30" s="683">
        <f t="shared" ref="O30" si="44">O29*($J$13)</f>
        <v>6.4744632457489543E-2</v>
      </c>
      <c r="P30" s="683">
        <f t="shared" ref="P30" si="45">P29*($J$13)</f>
        <v>5.7325974343117155E-2</v>
      </c>
      <c r="Q30" s="683">
        <f t="shared" ref="Q30" si="46">Q29*($J$13)</f>
        <v>5.1761980757337872E-2</v>
      </c>
      <c r="R30" s="694">
        <f t="shared" ref="R30" si="47">R29*($J$13)</f>
        <v>3.5069999999999997E-2</v>
      </c>
      <c r="S30" s="683">
        <f>S24</f>
        <v>3.1846173319064197E-2</v>
      </c>
      <c r="T30" s="683">
        <f t="shared" ref="T30" si="48">T29*($J$13)</f>
        <v>3.6688632457489538E-2</v>
      </c>
      <c r="U30" s="683">
        <f t="shared" ref="U30" si="49">U29*($J$13)</f>
        <v>3.6283974343117156E-2</v>
      </c>
      <c r="V30" s="683">
        <f t="shared" ref="V30" si="50">V29*($J$13)</f>
        <v>3.5980480757337868E-2</v>
      </c>
      <c r="W30" s="694">
        <f t="shared" ref="W30" si="51">W29*($J$13)</f>
        <v>3.5069999999999997E-2</v>
      </c>
      <c r="X30" s="683">
        <f>X24</f>
        <v>6.2E-2</v>
      </c>
      <c r="Y30" s="683">
        <f t="shared" ref="Y30" si="52">Y29*($J$13)</f>
        <v>6.3126000000000002E-2</v>
      </c>
      <c r="Z30" s="683">
        <f t="shared" ref="Z30" si="53">Z29*($J$13)</f>
        <v>5.6112000000000002E-2</v>
      </c>
      <c r="AA30" s="683">
        <f t="shared" ref="AA30" si="54">AA29*($J$13)</f>
        <v>5.0851500000000001E-2</v>
      </c>
      <c r="AB30" s="694">
        <f t="shared" ref="AB30" si="55">AB29*($J$13)</f>
        <v>3.5069999999999997E-2</v>
      </c>
      <c r="AC30" s="683">
        <f>AC24</f>
        <v>6.0153826680935801E-2</v>
      </c>
      <c r="AD30" s="683">
        <f t="shared" ref="AD30" si="56">AD29*($J$13)</f>
        <v>6.1507367542510467E-2</v>
      </c>
      <c r="AE30" s="683">
        <f t="shared" ref="AE30" si="57">AE29*($J$13)</f>
        <v>5.489802565688285E-2</v>
      </c>
      <c r="AF30" s="683">
        <f t="shared" ref="AF30" si="58">AF29*($J$13)</f>
        <v>4.9941019242662144E-2</v>
      </c>
      <c r="AG30" s="694">
        <f t="shared" ref="AG30" si="59">AG29*($J$13)</f>
        <v>3.5069999999999997E-2</v>
      </c>
      <c r="AH30" s="683">
        <f>AH24</f>
        <v>3.1846173319064197E-2</v>
      </c>
    </row>
    <row r="33" spans="2:34" ht="15">
      <c r="B33" s="668"/>
      <c r="C33" s="1006" t="s">
        <v>499</v>
      </c>
      <c r="D33" s="1006"/>
      <c r="E33" s="1006"/>
      <c r="F33" s="1006"/>
      <c r="G33" s="1006"/>
      <c r="H33" s="1006"/>
      <c r="I33" s="1007" t="s">
        <v>500</v>
      </c>
      <c r="J33" s="1008"/>
      <c r="K33" s="1008"/>
      <c r="L33" s="1008"/>
      <c r="M33" s="1008"/>
    </row>
    <row r="34" spans="2:34" ht="15">
      <c r="B34" s="666"/>
      <c r="C34" s="666">
        <v>2017</v>
      </c>
      <c r="D34" s="666">
        <v>2018</v>
      </c>
      <c r="E34" s="666">
        <v>2019</v>
      </c>
      <c r="F34" s="6">
        <v>2020</v>
      </c>
      <c r="G34" s="6">
        <v>2021</v>
      </c>
      <c r="H34" s="688">
        <v>2022</v>
      </c>
      <c r="I34" s="6">
        <v>2023</v>
      </c>
      <c r="J34" s="6">
        <f>I34+1</f>
        <v>2024</v>
      </c>
      <c r="K34" s="6">
        <f t="shared" ref="K34" si="60">J34+1</f>
        <v>2025</v>
      </c>
      <c r="L34" s="6">
        <f t="shared" ref="L34" si="61">K34+1</f>
        <v>2026</v>
      </c>
      <c r="M34" s="688">
        <f t="shared" ref="M34" si="62">L34+1</f>
        <v>2027</v>
      </c>
      <c r="N34" s="6">
        <f>M34+1</f>
        <v>2028</v>
      </c>
      <c r="O34" s="6">
        <f t="shared" ref="O34" si="63">N34+1</f>
        <v>2029</v>
      </c>
      <c r="P34" s="6">
        <f t="shared" ref="P34" si="64">O34+1</f>
        <v>2030</v>
      </c>
      <c r="Q34" s="6">
        <f t="shared" ref="Q34" si="65">P34+1</f>
        <v>2031</v>
      </c>
      <c r="R34" s="688">
        <f t="shared" ref="R34" si="66">Q34+1</f>
        <v>2032</v>
      </c>
      <c r="S34" s="6">
        <f t="shared" ref="S34" si="67">R34+1</f>
        <v>2033</v>
      </c>
      <c r="T34" s="6">
        <f t="shared" ref="T34" si="68">S34+1</f>
        <v>2034</v>
      </c>
      <c r="U34" s="6">
        <f t="shared" ref="U34" si="69">T34+1</f>
        <v>2035</v>
      </c>
      <c r="V34" s="6">
        <f t="shared" ref="V34" si="70">U34+1</f>
        <v>2036</v>
      </c>
      <c r="W34" s="688">
        <f t="shared" ref="W34" si="71">V34+1</f>
        <v>2037</v>
      </c>
      <c r="X34" s="6">
        <f t="shared" ref="X34" si="72">W34+1</f>
        <v>2038</v>
      </c>
      <c r="Y34" s="6">
        <f t="shared" ref="Y34" si="73">X34+1</f>
        <v>2039</v>
      </c>
      <c r="Z34" s="6">
        <f t="shared" ref="Z34" si="74">Y34+1</f>
        <v>2040</v>
      </c>
      <c r="AA34" s="6">
        <f t="shared" ref="AA34" si="75">Z34+1</f>
        <v>2041</v>
      </c>
      <c r="AB34" s="688">
        <f t="shared" ref="AB34" si="76">AA34+1</f>
        <v>2042</v>
      </c>
      <c r="AC34" s="6">
        <f t="shared" ref="AC34" si="77">AB34+1</f>
        <v>2043</v>
      </c>
      <c r="AD34" s="6">
        <f t="shared" ref="AD34" si="78">AC34+1</f>
        <v>2044</v>
      </c>
      <c r="AE34" s="6">
        <f t="shared" ref="AE34" si="79">AD34+1</f>
        <v>2045</v>
      </c>
      <c r="AF34" s="6">
        <f t="shared" ref="AF34" si="80">AE34+1</f>
        <v>2046</v>
      </c>
      <c r="AG34" s="688">
        <f t="shared" ref="AG34" si="81">AF34+1</f>
        <v>2047</v>
      </c>
      <c r="AH34" s="6">
        <f t="shared" ref="AH34" si="82">AG34+1</f>
        <v>2048</v>
      </c>
    </row>
    <row r="35" spans="2:34" ht="15.75" thickBot="1">
      <c r="B35" s="713" t="s">
        <v>61</v>
      </c>
      <c r="C35" s="75">
        <f>Inputs!G8</f>
        <v>4123</v>
      </c>
      <c r="D35" s="75">
        <f>Inputs!F8</f>
        <v>4526</v>
      </c>
      <c r="E35" s="75">
        <f>Inputs!E8</f>
        <v>4737</v>
      </c>
      <c r="F35" s="75">
        <f>Inputs!D8</f>
        <v>5435</v>
      </c>
      <c r="G35" s="75">
        <f>Inputs!C8</f>
        <v>6708</v>
      </c>
      <c r="H35" s="75">
        <f>Inputs!B8</f>
        <v>7793</v>
      </c>
      <c r="I35" s="679">
        <v>6349</v>
      </c>
      <c r="J35" s="679">
        <v>6865</v>
      </c>
      <c r="K35" s="679">
        <v>7467</v>
      </c>
      <c r="L35" s="75">
        <f ca="1">K35*(1+L36)</f>
        <v>7670.7846324856955</v>
      </c>
      <c r="M35" s="689">
        <f t="shared" ref="M35:AH35" ca="1" si="83">L35*(1+M36)</f>
        <v>7877.9928100687712</v>
      </c>
      <c r="N35" s="75">
        <f t="shared" ca="1" si="83"/>
        <v>8118.0811125509863</v>
      </c>
      <c r="O35" s="75">
        <f t="shared" ca="1" si="83"/>
        <v>8332.6976546795231</v>
      </c>
      <c r="P35" s="75">
        <f t="shared" ca="1" si="83"/>
        <v>8527.7463754099736</v>
      </c>
      <c r="Q35" s="75">
        <f t="shared" ca="1" si="83"/>
        <v>8707.986384094871</v>
      </c>
      <c r="R35" s="689">
        <f t="shared" ca="1" si="83"/>
        <v>8832.6844002840207</v>
      </c>
      <c r="S35" s="75">
        <f t="shared" ca="1" si="83"/>
        <v>8995.6839222802428</v>
      </c>
      <c r="T35" s="75">
        <f t="shared" ca="1" si="83"/>
        <v>9187.6572041901727</v>
      </c>
      <c r="U35" s="75">
        <f t="shared" ca="1" si="83"/>
        <v>9403.6172132525044</v>
      </c>
      <c r="V35" s="75">
        <f t="shared" ca="1" si="83"/>
        <v>9639.9215269044416</v>
      </c>
      <c r="W35" s="689">
        <f t="shared" ca="1" si="83"/>
        <v>9807.5049729928596</v>
      </c>
      <c r="X35" s="75">
        <f t="shared" ca="1" si="83"/>
        <v>10095.904524115247</v>
      </c>
      <c r="Y35" s="75">
        <f t="shared" ca="1" si="83"/>
        <v>10394.2839806089</v>
      </c>
      <c r="Z35" s="75">
        <f t="shared" ca="1" si="83"/>
        <v>10702.639545593765</v>
      </c>
      <c r="AA35" s="75">
        <f t="shared" ca="1" si="83"/>
        <v>11021.036744953504</v>
      </c>
      <c r="AB35" s="689">
        <f t="shared" ca="1" si="83"/>
        <v>11177.851909704501</v>
      </c>
      <c r="AC35" s="75">
        <f t="shared" ca="1" si="83"/>
        <v>11459.316781593638</v>
      </c>
      <c r="AD35" s="75">
        <f t="shared" ca="1" si="83"/>
        <v>11761.675899381715</v>
      </c>
      <c r="AE35" s="75">
        <f t="shared" ca="1" si="83"/>
        <v>12082.641215786392</v>
      </c>
      <c r="AF35" s="75">
        <f t="shared" ca="1" si="83"/>
        <v>12420.554148393656</v>
      </c>
      <c r="AG35" s="689">
        <f t="shared" ca="1" si="83"/>
        <v>12576.532675903547</v>
      </c>
      <c r="AH35" s="75">
        <f t="shared" ca="1" si="83"/>
        <v>12787.611119067931</v>
      </c>
    </row>
    <row r="36" spans="2:34" ht="13.5" thickTop="1">
      <c r="B36" s="671" t="s">
        <v>504</v>
      </c>
      <c r="C36" s="672">
        <f t="shared" ref="C36:H36" si="84">C35/C23</f>
        <v>3.1955047471420264E-2</v>
      </c>
      <c r="D36" s="672">
        <f t="shared" si="84"/>
        <v>3.1968695259083461E-2</v>
      </c>
      <c r="E36" s="672">
        <f t="shared" si="84"/>
        <v>3.1021001552032378E-2</v>
      </c>
      <c r="F36" s="672">
        <f t="shared" si="84"/>
        <v>3.259155318089961E-2</v>
      </c>
      <c r="G36" s="672">
        <f t="shared" si="84"/>
        <v>3.4236891935343926E-2</v>
      </c>
      <c r="H36" s="672">
        <f t="shared" si="84"/>
        <v>3.4337354706240032E-2</v>
      </c>
      <c r="I36" s="672">
        <f>I41</f>
        <v>2.6341649627365852E-2</v>
      </c>
      <c r="J36" s="672">
        <f t="shared" ref="J36:R36" ca="1" si="85">J41</f>
        <v>2.7126195305127405E-2</v>
      </c>
      <c r="K36" s="672">
        <f>K41</f>
        <v>2.7570088281881722E-2</v>
      </c>
      <c r="L36" s="672">
        <f t="shared" ca="1" si="85"/>
        <v>2.729136634333669E-2</v>
      </c>
      <c r="M36" s="672">
        <f ca="1">M41</f>
        <v>2.7012644404791661E-2</v>
      </c>
      <c r="N36" s="672">
        <f ca="1">N41</f>
        <v>3.0475821477694277E-2</v>
      </c>
      <c r="O36" s="672">
        <f t="shared" ca="1" si="85"/>
        <v>2.643685609358213E-2</v>
      </c>
      <c r="P36" s="672">
        <f t="shared" ca="1" si="85"/>
        <v>2.3407632055498017E-2</v>
      </c>
      <c r="Q36" s="672">
        <f t="shared" ca="1" si="85"/>
        <v>2.1135714026934933E-2</v>
      </c>
      <c r="R36" s="672">
        <f t="shared" ca="1" si="85"/>
        <v>1.4319959941245684E-2</v>
      </c>
      <c r="S36" s="672">
        <f ca="1">S41</f>
        <v>1.845413179157411E-2</v>
      </c>
      <c r="T36" s="672">
        <f ca="1">T39</f>
        <v>2.1340598843680583E-2</v>
      </c>
      <c r="U36" s="672">
        <f ca="1">U39</f>
        <v>2.3505449132760436E-2</v>
      </c>
      <c r="V36" s="672">
        <f ca="1">V39</f>
        <v>2.5129086849570326E-2</v>
      </c>
      <c r="W36" s="690">
        <f ca="1">W39</f>
        <v>1.7384316420076922E-2</v>
      </c>
      <c r="X36" s="672">
        <f ca="1">X41</f>
        <v>2.9406006106197088E-2</v>
      </c>
      <c r="Y36" s="672">
        <f ca="1">Y39</f>
        <v>2.9554504579647815E-2</v>
      </c>
      <c r="Z36" s="672">
        <f ca="1">Z39</f>
        <v>2.9665878434735862E-2</v>
      </c>
      <c r="AA36" s="672">
        <f ca="1">AA39</f>
        <v>2.9749408826051895E-2</v>
      </c>
      <c r="AB36" s="690">
        <f ca="1">AB39</f>
        <v>1.4228712632030849E-2</v>
      </c>
      <c r="AC36" s="672">
        <f ca="1">AC41</f>
        <v>2.5180586946653826E-2</v>
      </c>
      <c r="AD36" s="672">
        <f ca="1">AD39</f>
        <v>2.6385440209990368E-2</v>
      </c>
      <c r="AE36" s="672">
        <f ca="1">AE39</f>
        <v>2.7289080157492776E-2</v>
      </c>
      <c r="AF36" s="672">
        <f ca="1">AF39</f>
        <v>2.7966810118119582E-2</v>
      </c>
      <c r="AG36" s="690">
        <f ca="1">AG39</f>
        <v>1.2558097299552597E-2</v>
      </c>
      <c r="AH36" s="672">
        <f ca="1">AH41</f>
        <v>1.6783516459095857E-2</v>
      </c>
    </row>
    <row r="37" spans="2:34">
      <c r="B37" s="680" t="s">
        <v>502</v>
      </c>
      <c r="C37" s="680"/>
      <c r="D37" s="680"/>
      <c r="E37" s="680"/>
      <c r="F37" s="680"/>
      <c r="G37" s="680"/>
      <c r="H37" s="691">
        <f>AVERAGE(D36:H36)</f>
        <v>3.2831099326719883E-2</v>
      </c>
      <c r="I37" s="687"/>
      <c r="J37" s="687"/>
      <c r="K37" s="687"/>
      <c r="L37" s="687"/>
      <c r="M37" s="691">
        <f ca="1">AVERAGE(I36:M36)</f>
        <v>2.7068388792500665E-2</v>
      </c>
      <c r="N37" s="687"/>
      <c r="O37" s="687"/>
      <c r="P37" s="687"/>
      <c r="Q37" s="687"/>
      <c r="R37" s="691">
        <f ca="1">AVERAGE(N36:R36)</f>
        <v>2.3155196718991012E-2</v>
      </c>
      <c r="S37" s="687"/>
      <c r="T37" s="687"/>
      <c r="U37" s="687"/>
      <c r="V37" s="687"/>
      <c r="W37" s="691">
        <f ca="1">AVERAGE(S36:W36)</f>
        <v>2.1162716607532477E-2</v>
      </c>
      <c r="X37" s="687"/>
      <c r="Y37" s="687"/>
      <c r="Z37" s="687"/>
      <c r="AA37" s="687"/>
      <c r="AB37" s="691">
        <f ca="1">AVERAGE(X36:AB36)</f>
        <v>2.6520902115732704E-2</v>
      </c>
      <c r="AC37" s="687"/>
      <c r="AD37" s="687"/>
      <c r="AE37" s="687"/>
      <c r="AF37" s="687"/>
      <c r="AG37" s="691">
        <f ca="1">AVERAGE(AC36:AG36)</f>
        <v>2.387600294636183E-2</v>
      </c>
      <c r="AH37" s="686"/>
    </row>
    <row r="38" spans="2:34">
      <c r="B38" s="680" t="s">
        <v>503</v>
      </c>
      <c r="C38" s="680"/>
      <c r="D38" s="680"/>
      <c r="E38" s="680"/>
      <c r="F38" s="680"/>
      <c r="G38" s="680"/>
      <c r="H38" s="691"/>
      <c r="I38" s="687"/>
      <c r="J38" s="687"/>
      <c r="K38" s="687"/>
      <c r="L38" s="687"/>
      <c r="M38" s="691">
        <v>0.03</v>
      </c>
      <c r="N38" s="687"/>
      <c r="O38" s="687"/>
      <c r="P38" s="687"/>
      <c r="Q38" s="687"/>
      <c r="R38" s="691">
        <f>H20</f>
        <v>0</v>
      </c>
      <c r="S38" s="687"/>
      <c r="T38" s="687"/>
      <c r="U38" s="687"/>
      <c r="V38" s="687"/>
      <c r="W38" s="691">
        <f>M20</f>
        <v>0</v>
      </c>
      <c r="X38" s="687"/>
      <c r="Y38" s="687"/>
      <c r="Z38" s="687"/>
      <c r="AA38" s="687"/>
      <c r="AB38" s="691">
        <f>R20</f>
        <v>0</v>
      </c>
      <c r="AC38" s="687"/>
      <c r="AD38" s="687"/>
      <c r="AE38" s="687"/>
      <c r="AF38" s="687"/>
      <c r="AG38" s="691">
        <f>W20</f>
        <v>0</v>
      </c>
      <c r="AH38" s="686"/>
    </row>
    <row r="39" spans="2:34">
      <c r="B39" s="680" t="s">
        <v>505</v>
      </c>
      <c r="C39" s="680"/>
      <c r="D39" s="680"/>
      <c r="E39" s="680"/>
      <c r="F39" s="680"/>
      <c r="G39" s="680"/>
      <c r="H39" s="691"/>
      <c r="I39" s="685">
        <f ca="1">OFFSET(I39,$C$13,0)</f>
        <v>2.6341649627365852E-2</v>
      </c>
      <c r="J39" s="685">
        <f ca="1">OFFSET(J39,$C$12,0)</f>
        <v>2.7126195305127405E-2</v>
      </c>
      <c r="K39" s="685">
        <f t="shared" ref="K39:M39" ca="1" si="86">OFFSET(K39,$C$12,0)</f>
        <v>2.7570088281881722E-2</v>
      </c>
      <c r="L39" s="685">
        <f t="shared" ca="1" si="86"/>
        <v>2.729136634333669E-2</v>
      </c>
      <c r="M39" s="693">
        <f t="shared" ca="1" si="86"/>
        <v>2.7012644404791661E-2</v>
      </c>
      <c r="N39" s="685">
        <f ca="1">OFFSET(N39,$C$12,0)</f>
        <v>3.0475821477694277E-2</v>
      </c>
      <c r="O39" s="685">
        <f ca="1">OFFSET(O39,$C$12,0)</f>
        <v>2.643685609358213E-2</v>
      </c>
      <c r="P39" s="685">
        <f t="shared" ref="P39:R39" ca="1" si="87">OFFSET(P39,$C$12,0)</f>
        <v>2.3407632055498017E-2</v>
      </c>
      <c r="Q39" s="685">
        <f t="shared" ca="1" si="87"/>
        <v>2.1135714026934933E-2</v>
      </c>
      <c r="R39" s="693">
        <f t="shared" ca="1" si="87"/>
        <v>1.4319959941245684E-2</v>
      </c>
      <c r="S39" s="685">
        <f ca="1">OFFSET(S39,$C$12,0)</f>
        <v>1.845413179157411E-2</v>
      </c>
      <c r="T39" s="685">
        <f ca="1">OFFSET(T39,$C$12,0)</f>
        <v>2.1340598843680583E-2</v>
      </c>
      <c r="U39" s="685">
        <f t="shared" ref="U39:AB39" ca="1" si="88">OFFSET(U39,$C$12,0)</f>
        <v>2.3505449132760436E-2</v>
      </c>
      <c r="V39" s="685">
        <f t="shared" ca="1" si="88"/>
        <v>2.5129086849570326E-2</v>
      </c>
      <c r="W39" s="693">
        <f t="shared" ca="1" si="88"/>
        <v>1.7384316420076922E-2</v>
      </c>
      <c r="X39" s="685">
        <f ca="1">OFFSET(X39,$C$12,0)</f>
        <v>2.9406006106197088E-2</v>
      </c>
      <c r="Y39" s="685">
        <f ca="1">OFFSET(Y39,$C$12,0)</f>
        <v>2.9554504579647815E-2</v>
      </c>
      <c r="Z39" s="685">
        <f t="shared" ca="1" si="88"/>
        <v>2.9665878434735862E-2</v>
      </c>
      <c r="AA39" s="685">
        <f t="shared" ca="1" si="88"/>
        <v>2.9749408826051895E-2</v>
      </c>
      <c r="AB39" s="693">
        <f t="shared" ca="1" si="88"/>
        <v>1.4228712632030849E-2</v>
      </c>
      <c r="AC39" s="685">
        <f ca="1">OFFSET(AC39,$C$12,0)</f>
        <v>2.5180586946653826E-2</v>
      </c>
      <c r="AD39" s="685">
        <f ca="1">OFFSET(AD39,$C$12,0)</f>
        <v>2.6385440209990368E-2</v>
      </c>
      <c r="AE39" s="685">
        <f t="shared" ref="AE39:AG39" ca="1" si="89">OFFSET(AE39,$C$12,0)</f>
        <v>2.7289080157492776E-2</v>
      </c>
      <c r="AF39" s="685">
        <f t="shared" ca="1" si="89"/>
        <v>2.7966810118119582E-2</v>
      </c>
      <c r="AG39" s="693">
        <f t="shared" ca="1" si="89"/>
        <v>1.2558097299552597E-2</v>
      </c>
      <c r="AH39" s="685">
        <f ca="1">OFFSET(AH39,$C$12,0)</f>
        <v>1.6783516459095857E-2</v>
      </c>
    </row>
    <row r="40" spans="2:34">
      <c r="B40" s="681" t="str">
        <f>B28</f>
        <v>Conservative</v>
      </c>
      <c r="C40" s="682"/>
      <c r="D40" s="682"/>
      <c r="E40" s="682"/>
      <c r="F40" s="682"/>
      <c r="G40" s="682"/>
      <c r="H40" s="692"/>
      <c r="I40" s="683">
        <f>I41*$F$15</f>
        <v>2.3707484664629266E-2</v>
      </c>
      <c r="J40" s="683">
        <f t="shared" ref="J40:M40" ca="1" si="90">J41*$F$15</f>
        <v>2.4413575774614664E-2</v>
      </c>
      <c r="K40" s="683">
        <f t="shared" si="90"/>
        <v>2.481307945369355E-2</v>
      </c>
      <c r="L40" s="683">
        <f t="shared" ca="1" si="90"/>
        <v>2.4562229709003021E-2</v>
      </c>
      <c r="M40" s="683">
        <f t="shared" ca="1" si="90"/>
        <v>2.4311379964312495E-2</v>
      </c>
      <c r="N40" s="683">
        <f ca="1">N41*$F$15</f>
        <v>2.7428239329924848E-2</v>
      </c>
      <c r="O40" s="683">
        <f t="shared" ref="O40" ca="1" si="91">O41*$F$15</f>
        <v>2.3793170484223917E-2</v>
      </c>
      <c r="P40" s="683">
        <f t="shared" ref="P40" ca="1" si="92">P41*$F$15</f>
        <v>2.1066868849948215E-2</v>
      </c>
      <c r="Q40" s="683">
        <f t="shared" ref="Q40" ca="1" si="93">Q41*$F$15</f>
        <v>1.9022142624241442E-2</v>
      </c>
      <c r="R40" s="683">
        <f t="shared" ref="R40" ca="1" si="94">R41*$F$15</f>
        <v>1.2887963947121116E-2</v>
      </c>
      <c r="S40" s="683">
        <f ca="1">S36</f>
        <v>1.845413179157411E-2</v>
      </c>
      <c r="T40" s="683">
        <f ca="1">T41*($F$13)</f>
        <v>2.1532664233273706E-2</v>
      </c>
      <c r="U40" s="683">
        <f ca="1">U41*($F$13)</f>
        <v>2.3716998174955279E-2</v>
      </c>
      <c r="V40" s="683">
        <f t="shared" ref="V40" ca="1" si="95">V41*($F$13)</f>
        <v>2.5355248631216454E-2</v>
      </c>
      <c r="W40" s="694">
        <f t="shared" ref="W40" ca="1" si="96">W41*($F$13)</f>
        <v>1.7540775267857613E-2</v>
      </c>
      <c r="X40" s="683">
        <f ca="1">X36</f>
        <v>2.9406006106197088E-2</v>
      </c>
      <c r="Y40" s="683">
        <f ca="1">Y41*($F$13)</f>
        <v>2.9820495120864644E-2</v>
      </c>
      <c r="Z40" s="683">
        <f ca="1">Z41*($F$13)</f>
        <v>2.9932871340648481E-2</v>
      </c>
      <c r="AA40" s="683">
        <f t="shared" ref="AA40" ca="1" si="97">AA41*($F$13)</f>
        <v>3.0017153505486359E-2</v>
      </c>
      <c r="AB40" s="694">
        <f t="shared" ref="AB40" ca="1" si="98">AB41*($F$13)</f>
        <v>1.4356771045719125E-2</v>
      </c>
      <c r="AC40" s="683">
        <f ca="1">AC36</f>
        <v>2.5180586946653826E-2</v>
      </c>
      <c r="AD40" s="683">
        <f ca="1">AD41*($F$13)</f>
        <v>2.6622909171880278E-2</v>
      </c>
      <c r="AE40" s="683">
        <f ca="1">AE41*($F$13)</f>
        <v>2.7534681878910207E-2</v>
      </c>
      <c r="AF40" s="683">
        <f t="shared" ref="AF40" ca="1" si="99">AF41*($F$13)</f>
        <v>2.8218511409182655E-2</v>
      </c>
      <c r="AG40" s="694">
        <f t="shared" ref="AG40" ca="1" si="100">AG41*($F$13)</f>
        <v>1.2671120175248568E-2</v>
      </c>
      <c r="AH40" s="683">
        <f ca="1">AH36</f>
        <v>1.6783516459095857E-2</v>
      </c>
    </row>
    <row r="41" spans="2:34">
      <c r="B41" s="681" t="str">
        <f>B29</f>
        <v>Base</v>
      </c>
      <c r="C41" s="684"/>
      <c r="D41" s="684"/>
      <c r="E41" s="684"/>
      <c r="F41" s="684"/>
      <c r="G41" s="684"/>
      <c r="H41" s="692"/>
      <c r="I41" s="683">
        <f>I35/I23</f>
        <v>2.6341649627365852E-2</v>
      </c>
      <c r="J41" s="683">
        <f ca="1">J35/J23</f>
        <v>2.7126195305127405E-2</v>
      </c>
      <c r="K41" s="683">
        <f>K35/K23</f>
        <v>2.7570088281881722E-2</v>
      </c>
      <c r="L41" s="683">
        <f ca="1">K41+($M$41-K41)/($M$34-$K$34)</f>
        <v>2.729136634333669E-2</v>
      </c>
      <c r="M41" s="709">
        <f ca="1">H16</f>
        <v>2.7012644404791661E-2</v>
      </c>
      <c r="N41" s="678">
        <f ca="1">M41*(N29/M29-1)</f>
        <v>3.0475821477694277E-2</v>
      </c>
      <c r="O41" s="683">
        <f ca="1">N41+($R$41-N41)/($R$34-$N$34)</f>
        <v>2.643685609358213E-2</v>
      </c>
      <c r="P41" s="683">
        <f ca="1">O41+($R$41-O41)/($R$34-$N$34)</f>
        <v>2.3407632055498017E-2</v>
      </c>
      <c r="Q41" s="683">
        <f t="shared" ref="Q41" ca="1" si="101">P41+($R$41-P41)/($R$34-$N$34)</f>
        <v>2.1135714026934933E-2</v>
      </c>
      <c r="R41" s="709">
        <f ca="1">N41*(1+(R27/N27-1))</f>
        <v>1.4319959941245684E-2</v>
      </c>
      <c r="S41" s="678">
        <f ca="1">R41+(N41-I41)</f>
        <v>1.845413179157411E-2</v>
      </c>
      <c r="T41" s="683">
        <f ca="1">S41+($R$29-S41)/($R$22-$N$22)</f>
        <v>2.1340598843680583E-2</v>
      </c>
      <c r="U41" s="683">
        <f ca="1">T41+($R$29-T41)/($R$22-$N$22)</f>
        <v>2.3505449132760436E-2</v>
      </c>
      <c r="V41" s="683">
        <f ca="1">U41+($R$29-U41)/($R$22-$N$22)</f>
        <v>2.5129086849570326E-2</v>
      </c>
      <c r="W41" s="709">
        <f ca="1">S41*(1+(W27/S27-1))</f>
        <v>1.7384316420076922E-2</v>
      </c>
      <c r="X41" s="678">
        <f ca="1">W41+(N41-S41)</f>
        <v>2.9406006106197088E-2</v>
      </c>
      <c r="Y41" s="683">
        <f ca="1">X41+($R$29-X41)/($R$22-$N$22)</f>
        <v>2.9554504579647815E-2</v>
      </c>
      <c r="Z41" s="683">
        <f ca="1">Y41+($R$29-Y41)/($R$22-$N$22)</f>
        <v>2.9665878434735862E-2</v>
      </c>
      <c r="AA41" s="683">
        <f ca="1">Z41+($R$29-Z41)/($R$22-$N$22)</f>
        <v>2.9749408826051895E-2</v>
      </c>
      <c r="AB41" s="709">
        <f ca="1">X41*(1+(AB27/X27-1))</f>
        <v>1.4228712632030849E-2</v>
      </c>
      <c r="AC41" s="678">
        <f ca="1">AB41+(X41-S41)</f>
        <v>2.5180586946653826E-2</v>
      </c>
      <c r="AD41" s="683">
        <f ca="1">AC41+($R$29-AC41)/($R$22-$N$22)</f>
        <v>2.6385440209990368E-2</v>
      </c>
      <c r="AE41" s="683">
        <f ca="1">AD41+($R$29-AD41)/($R$22-$N$22)</f>
        <v>2.7289080157492776E-2</v>
      </c>
      <c r="AF41" s="683">
        <f ca="1">AE41+($R$29-AE41)/($R$22-$N$22)</f>
        <v>2.7966810118119582E-2</v>
      </c>
      <c r="AG41" s="709">
        <f ca="1">AC41*(1+(AG27/AC27-1))</f>
        <v>1.2558097299552597E-2</v>
      </c>
      <c r="AH41" s="678">
        <f ca="1">AG41+(X41-AC41)</f>
        <v>1.6783516459095857E-2</v>
      </c>
    </row>
    <row r="42" spans="2:34">
      <c r="B42" s="681" t="str">
        <f>B30</f>
        <v>Optimistic</v>
      </c>
      <c r="C42" s="684"/>
      <c r="D42" s="684"/>
      <c r="E42" s="684"/>
      <c r="F42" s="684"/>
      <c r="G42" s="684"/>
      <c r="H42" s="692"/>
      <c r="I42" s="683">
        <f>I41*$J$15</f>
        <v>2.8975814590102438E-2</v>
      </c>
      <c r="J42" s="683">
        <f t="shared" ref="J42:M42" ca="1" si="102">J41*$J$15</f>
        <v>2.9838814835640149E-2</v>
      </c>
      <c r="K42" s="683">
        <f t="shared" si="102"/>
        <v>3.0327097110069898E-2</v>
      </c>
      <c r="L42" s="683">
        <f t="shared" ca="1" si="102"/>
        <v>3.0020502977670362E-2</v>
      </c>
      <c r="M42" s="683">
        <f t="shared" ca="1" si="102"/>
        <v>2.971390884527083E-2</v>
      </c>
      <c r="N42" s="683">
        <f ca="1">N36</f>
        <v>3.0475821477694277E-2</v>
      </c>
      <c r="O42" s="683">
        <f t="shared" ref="O42" ca="1" si="103">O41*($J$13)</f>
        <v>3.0904684773397511E-2</v>
      </c>
      <c r="P42" s="683">
        <f t="shared" ref="P42" ca="1" si="104">P41*($J$13)</f>
        <v>2.7363521872877182E-2</v>
      </c>
      <c r="Q42" s="683">
        <f t="shared" ref="Q42" ca="1" si="105">Q41*($J$13)</f>
        <v>2.4707649697486938E-2</v>
      </c>
      <c r="R42" s="694">
        <f t="shared" ref="R42" ca="1" si="106">R41*($J$13)</f>
        <v>1.6740033171316206E-2</v>
      </c>
      <c r="S42" s="683">
        <f ca="1">S36</f>
        <v>1.845413179157411E-2</v>
      </c>
      <c r="T42" s="683">
        <f t="shared" ref="T42" ca="1" si="107">T41*($J$13)</f>
        <v>2.4947160048262602E-2</v>
      </c>
      <c r="U42" s="683">
        <f t="shared" ref="U42" ca="1" si="108">U41*($J$13)</f>
        <v>2.747787003619695E-2</v>
      </c>
      <c r="V42" s="683">
        <f t="shared" ref="V42" ca="1" si="109">V41*($J$13)</f>
        <v>2.9375902527147713E-2</v>
      </c>
      <c r="W42" s="694">
        <f t="shared" ref="W42" ca="1" si="110">W41*($J$13)</f>
        <v>2.0322265895069924E-2</v>
      </c>
      <c r="X42" s="683">
        <f ca="1">X36</f>
        <v>2.9406006106197088E-2</v>
      </c>
      <c r="Y42" s="683">
        <f t="shared" ref="Y42" ca="1" si="111">Y41*($J$13)</f>
        <v>3.4549215853608296E-2</v>
      </c>
      <c r="Z42" s="683">
        <f t="shared" ref="Z42" ca="1" si="112">Z41*($J$13)</f>
        <v>3.4679411890206222E-2</v>
      </c>
      <c r="AA42" s="683">
        <f t="shared" ref="AA42" ca="1" si="113">AA41*($J$13)</f>
        <v>3.4777058917654667E-2</v>
      </c>
      <c r="AB42" s="694">
        <f t="shared" ref="AB42" ca="1" si="114">AB41*($J$13)</f>
        <v>1.6633365066844062E-2</v>
      </c>
      <c r="AC42" s="683">
        <f ca="1">AC36</f>
        <v>2.5180586946653826E-2</v>
      </c>
      <c r="AD42" s="683">
        <f t="shared" ref="AD42" ca="1" si="115">AD41*($J$13)</f>
        <v>3.0844579605478741E-2</v>
      </c>
      <c r="AE42" s="683">
        <f t="shared" ref="AE42" ca="1" si="116">AE41*($J$13)</f>
        <v>3.1900934704109055E-2</v>
      </c>
      <c r="AF42" s="683">
        <f t="shared" ref="AF42" ca="1" si="117">AF41*($J$13)</f>
        <v>3.2693201028081792E-2</v>
      </c>
      <c r="AG42" s="694">
        <f t="shared" ref="AG42" ca="1" si="118">AG41*($J$13)</f>
        <v>1.4680415743176986E-2</v>
      </c>
      <c r="AH42" s="683">
        <f ca="1">AH36</f>
        <v>1.6783516459095857E-2</v>
      </c>
    </row>
    <row r="45" spans="2:34" ht="15">
      <c r="B45" s="668"/>
      <c r="C45" s="1006" t="s">
        <v>499</v>
      </c>
      <c r="D45" s="1006"/>
      <c r="E45" s="1006"/>
      <c r="F45" s="1006"/>
      <c r="G45" s="1006"/>
      <c r="H45" s="1006"/>
      <c r="I45" s="1007" t="s">
        <v>500</v>
      </c>
      <c r="J45" s="1008"/>
      <c r="K45" s="1008"/>
      <c r="L45" s="1008"/>
      <c r="M45" s="1008"/>
    </row>
    <row r="46" spans="2:34" ht="15">
      <c r="B46" s="666"/>
      <c r="C46" s="666">
        <v>2017</v>
      </c>
      <c r="D46" s="666">
        <v>2018</v>
      </c>
      <c r="E46" s="666">
        <v>2019</v>
      </c>
      <c r="F46" s="6">
        <v>2020</v>
      </c>
      <c r="G46" s="6">
        <v>2021</v>
      </c>
      <c r="H46" s="688">
        <v>2022</v>
      </c>
      <c r="I46" s="6">
        <v>2023</v>
      </c>
      <c r="J46" s="6">
        <f>I46+1</f>
        <v>2024</v>
      </c>
      <c r="K46" s="6">
        <f t="shared" ref="K46" si="119">J46+1</f>
        <v>2025</v>
      </c>
      <c r="L46" s="6">
        <f t="shared" ref="L46" si="120">K46+1</f>
        <v>2026</v>
      </c>
      <c r="M46" s="688">
        <f t="shared" ref="M46" si="121">L46+1</f>
        <v>2027</v>
      </c>
      <c r="N46" s="6">
        <f>M46+1</f>
        <v>2028</v>
      </c>
      <c r="O46" s="6">
        <f t="shared" ref="O46" si="122">N46+1</f>
        <v>2029</v>
      </c>
      <c r="P46" s="6">
        <f t="shared" ref="P46" si="123">O46+1</f>
        <v>2030</v>
      </c>
      <c r="Q46" s="6">
        <f t="shared" ref="Q46" si="124">P46+1</f>
        <v>2031</v>
      </c>
      <c r="R46" s="688">
        <f t="shared" ref="R46" si="125">Q46+1</f>
        <v>2032</v>
      </c>
      <c r="S46" s="6">
        <f t="shared" ref="S46" si="126">R46+1</f>
        <v>2033</v>
      </c>
      <c r="T46" s="6">
        <f t="shared" ref="T46" si="127">S46+1</f>
        <v>2034</v>
      </c>
      <c r="U46" s="6">
        <f t="shared" ref="U46" si="128">T46+1</f>
        <v>2035</v>
      </c>
      <c r="V46" s="6">
        <f t="shared" ref="V46" si="129">U46+1</f>
        <v>2036</v>
      </c>
      <c r="W46" s="688">
        <f t="shared" ref="W46" si="130">V46+1</f>
        <v>2037</v>
      </c>
      <c r="X46" s="6">
        <f t="shared" ref="X46" si="131">W46+1</f>
        <v>2038</v>
      </c>
      <c r="Y46" s="6">
        <f t="shared" ref="Y46" si="132">X46+1</f>
        <v>2039</v>
      </c>
      <c r="Z46" s="6">
        <f t="shared" ref="Z46" si="133">Y46+1</f>
        <v>2040</v>
      </c>
      <c r="AA46" s="6">
        <f t="shared" ref="AA46" si="134">Z46+1</f>
        <v>2041</v>
      </c>
      <c r="AB46" s="688">
        <f t="shared" ref="AB46" si="135">AA46+1</f>
        <v>2042</v>
      </c>
      <c r="AC46" s="6">
        <f t="shared" ref="AC46" si="136">AB46+1</f>
        <v>2043</v>
      </c>
      <c r="AD46" s="6">
        <f t="shared" ref="AD46" si="137">AC46+1</f>
        <v>2044</v>
      </c>
      <c r="AE46" s="6">
        <f t="shared" ref="AE46" si="138">AD46+1</f>
        <v>2045</v>
      </c>
      <c r="AF46" s="6">
        <f t="shared" ref="AF46" si="139">AE46+1</f>
        <v>2046</v>
      </c>
      <c r="AG46" s="688">
        <f t="shared" ref="AG46" si="140">AF46+1</f>
        <v>2047</v>
      </c>
      <c r="AH46" s="6">
        <f t="shared" ref="AH46" si="141">AG46+1</f>
        <v>2048</v>
      </c>
    </row>
    <row r="47" spans="2:34" ht="15.75" thickBot="1">
      <c r="B47" s="713" t="s">
        <v>280</v>
      </c>
      <c r="C47" s="75">
        <f>Inputs!G11</f>
        <v>1325</v>
      </c>
      <c r="D47" s="75">
        <f>Inputs!F11</f>
        <v>1263</v>
      </c>
      <c r="E47" s="75">
        <f>Inputs!E11</f>
        <v>1061</v>
      </c>
      <c r="F47" s="75">
        <f>Inputs!D11</f>
        <v>1308</v>
      </c>
      <c r="G47" s="75">
        <f>Inputs!C11</f>
        <v>1601</v>
      </c>
      <c r="H47" s="75">
        <f>Inputs!B11</f>
        <v>1925</v>
      </c>
      <c r="I47" s="75">
        <f>I48*I35</f>
        <v>1561.0730054174996</v>
      </c>
      <c r="J47" s="75">
        <f>J48*J35</f>
        <v>1687.9455319248914</v>
      </c>
      <c r="K47" s="75">
        <f>K48*K35</f>
        <v>1835.9634795168483</v>
      </c>
      <c r="L47" s="75">
        <f ca="1">L48*L35</f>
        <v>1886.0694314293298</v>
      </c>
      <c r="M47" s="75">
        <f ca="1">M48*M35</f>
        <v>1937.0171543032777</v>
      </c>
      <c r="N47" s="75">
        <f t="shared" ref="N47:AH47" ca="1" si="142">M47*(1+N48)</f>
        <v>2343.790756706966</v>
      </c>
      <c r="O47" s="75">
        <f t="shared" ca="1" si="142"/>
        <v>2835.9868156154289</v>
      </c>
      <c r="P47" s="75">
        <f t="shared" ca="1" si="142"/>
        <v>3431.544046894669</v>
      </c>
      <c r="Q47" s="75">
        <f t="shared" ca="1" si="142"/>
        <v>4152.1682967425495</v>
      </c>
      <c r="R47" s="689">
        <f t="shared" ca="1" si="142"/>
        <v>5024.1236390584845</v>
      </c>
      <c r="S47" s="75">
        <f t="shared" ca="1" si="142"/>
        <v>6079.1896032607665</v>
      </c>
      <c r="T47" s="75">
        <f t="shared" ca="1" si="142"/>
        <v>7355.8194199455274</v>
      </c>
      <c r="U47" s="75">
        <f t="shared" ca="1" si="142"/>
        <v>8900.5414981340873</v>
      </c>
      <c r="V47" s="75">
        <f t="shared" ca="1" si="142"/>
        <v>10769.655212742246</v>
      </c>
      <c r="W47" s="689">
        <f t="shared" ca="1" si="142"/>
        <v>13031.282807418116</v>
      </c>
      <c r="X47" s="75">
        <f t="shared" ca="1" si="142"/>
        <v>15767.85219697592</v>
      </c>
      <c r="Y47" s="75">
        <f t="shared" ca="1" si="142"/>
        <v>19079.101158340862</v>
      </c>
      <c r="Z47" s="75">
        <f t="shared" ca="1" si="142"/>
        <v>23085.712401592442</v>
      </c>
      <c r="AA47" s="75">
        <f t="shared" ca="1" si="142"/>
        <v>27933.712005926853</v>
      </c>
      <c r="AB47" s="689">
        <f t="shared" ca="1" si="142"/>
        <v>33799.791527171488</v>
      </c>
      <c r="AC47" s="75">
        <f t="shared" ca="1" si="142"/>
        <v>40897.747747877496</v>
      </c>
      <c r="AD47" s="75">
        <f t="shared" ca="1" si="142"/>
        <v>49486.274774931771</v>
      </c>
      <c r="AE47" s="75">
        <f t="shared" ca="1" si="142"/>
        <v>59878.392477667439</v>
      </c>
      <c r="AF47" s="75">
        <f t="shared" ca="1" si="142"/>
        <v>72452.854897977595</v>
      </c>
      <c r="AG47" s="689">
        <f t="shared" ca="1" si="142"/>
        <v>87667.954426552882</v>
      </c>
      <c r="AH47" s="75">
        <f t="shared" ca="1" si="142"/>
        <v>106078.22485612899</v>
      </c>
    </row>
    <row r="48" spans="2:34" ht="13.5" thickTop="1">
      <c r="B48" s="671" t="s">
        <v>506</v>
      </c>
      <c r="C48" s="672">
        <f>C47/C35</f>
        <v>0.32136793596895463</v>
      </c>
      <c r="D48" s="672">
        <f t="shared" ref="D48:H48" si="143">D47/D35</f>
        <v>0.27905435262925321</v>
      </c>
      <c r="E48" s="672">
        <f t="shared" si="143"/>
        <v>0.22398142284146083</v>
      </c>
      <c r="F48" s="672">
        <f t="shared" si="143"/>
        <v>0.24066237350505978</v>
      </c>
      <c r="G48" s="672">
        <f t="shared" si="143"/>
        <v>0.23867024448419796</v>
      </c>
      <c r="H48" s="672">
        <f t="shared" si="143"/>
        <v>0.24701655331707942</v>
      </c>
      <c r="I48" s="672">
        <f>$H$49</f>
        <v>0.24587698935541025</v>
      </c>
      <c r="J48" s="672">
        <f t="shared" ref="J48:M48" si="144">$H$49</f>
        <v>0.24587698935541025</v>
      </c>
      <c r="K48" s="672">
        <f t="shared" si="144"/>
        <v>0.24587698935541025</v>
      </c>
      <c r="L48" s="672">
        <f t="shared" si="144"/>
        <v>0.24587698935541025</v>
      </c>
      <c r="M48" s="672">
        <f t="shared" si="144"/>
        <v>0.24587698935541025</v>
      </c>
      <c r="N48" s="736">
        <v>0.21</v>
      </c>
      <c r="O48" s="672">
        <v>0.21</v>
      </c>
      <c r="P48" s="672">
        <v>0.21</v>
      </c>
      <c r="Q48" s="672">
        <v>0.21</v>
      </c>
      <c r="R48" s="672">
        <v>0.21</v>
      </c>
      <c r="S48" s="672">
        <v>0.21</v>
      </c>
      <c r="T48" s="672">
        <v>0.21</v>
      </c>
      <c r="U48" s="672">
        <v>0.21</v>
      </c>
      <c r="V48" s="672">
        <v>0.21</v>
      </c>
      <c r="W48" s="672">
        <v>0.21</v>
      </c>
      <c r="X48" s="672">
        <v>0.21</v>
      </c>
      <c r="Y48" s="672">
        <v>0.21</v>
      </c>
      <c r="Z48" s="672">
        <v>0.21</v>
      </c>
      <c r="AA48" s="672">
        <v>0.21</v>
      </c>
      <c r="AB48" s="672">
        <v>0.21</v>
      </c>
      <c r="AC48" s="672">
        <v>0.21</v>
      </c>
      <c r="AD48" s="672">
        <v>0.21</v>
      </c>
      <c r="AE48" s="672">
        <v>0.21</v>
      </c>
      <c r="AF48" s="672">
        <v>0.21</v>
      </c>
      <c r="AG48" s="672">
        <v>0.21</v>
      </c>
      <c r="AH48" s="672">
        <v>0.21</v>
      </c>
    </row>
    <row r="49" spans="2:34">
      <c r="B49" s="680" t="s">
        <v>503</v>
      </c>
      <c r="C49" s="680"/>
      <c r="D49" s="680"/>
      <c r="E49" s="680"/>
      <c r="F49" s="680"/>
      <c r="G49" s="680"/>
      <c r="H49" s="691">
        <f>AVERAGE(D48:H48)</f>
        <v>0.24587698935541025</v>
      </c>
      <c r="I49" s="687"/>
      <c r="J49" s="687"/>
      <c r="K49" s="687"/>
      <c r="L49" s="687"/>
      <c r="M49" s="691"/>
      <c r="N49" s="687"/>
      <c r="O49" s="687"/>
      <c r="P49" s="687"/>
      <c r="Q49" s="687"/>
      <c r="R49" s="691">
        <v>0.21</v>
      </c>
      <c r="S49" s="687"/>
      <c r="T49" s="687"/>
      <c r="U49" s="687"/>
      <c r="V49" s="687"/>
      <c r="W49" s="691">
        <f>AVERAGE(S48:W48)</f>
        <v>0.21000000000000002</v>
      </c>
      <c r="X49" s="687"/>
      <c r="Y49" s="687"/>
      <c r="Z49" s="687"/>
      <c r="AA49" s="687"/>
      <c r="AB49" s="691">
        <f>AVERAGE(X48:AB48)</f>
        <v>0.21000000000000002</v>
      </c>
      <c r="AC49" s="687"/>
      <c r="AD49" s="687"/>
      <c r="AE49" s="687"/>
      <c r="AF49" s="687"/>
      <c r="AG49" s="691">
        <f>AVERAGE(AC48:AG48)</f>
        <v>0.21000000000000002</v>
      </c>
      <c r="AH49" s="686"/>
    </row>
    <row r="52" spans="2:34" ht="15.75" thickBot="1">
      <c r="B52" s="719" t="s">
        <v>507</v>
      </c>
      <c r="C52" s="718">
        <f>C35-C47</f>
        <v>2798</v>
      </c>
      <c r="D52" s="718">
        <f t="shared" ref="D52:AH52" si="145">D35-D47</f>
        <v>3263</v>
      </c>
      <c r="E52" s="718">
        <f t="shared" si="145"/>
        <v>3676</v>
      </c>
      <c r="F52" s="718">
        <f t="shared" si="145"/>
        <v>4127</v>
      </c>
      <c r="G52" s="718">
        <f t="shared" si="145"/>
        <v>5107</v>
      </c>
      <c r="H52" s="718">
        <f t="shared" si="145"/>
        <v>5868</v>
      </c>
      <c r="I52" s="718">
        <f t="shared" si="145"/>
        <v>4787.9269945824999</v>
      </c>
      <c r="J52" s="718">
        <f t="shared" si="145"/>
        <v>5177.0544680751082</v>
      </c>
      <c r="K52" s="718">
        <f t="shared" si="145"/>
        <v>5631.0365204831514</v>
      </c>
      <c r="L52" s="718">
        <f t="shared" ca="1" si="145"/>
        <v>5784.7152010563659</v>
      </c>
      <c r="M52" s="718">
        <f t="shared" ca="1" si="145"/>
        <v>5940.9756557654937</v>
      </c>
      <c r="N52" s="718">
        <f t="shared" ca="1" si="145"/>
        <v>5774.2903558440203</v>
      </c>
      <c r="O52" s="718">
        <f t="shared" ca="1" si="145"/>
        <v>5496.7108390640942</v>
      </c>
      <c r="P52" s="718">
        <f t="shared" ca="1" si="145"/>
        <v>5096.2023285153045</v>
      </c>
      <c r="Q52" s="718">
        <f t="shared" ca="1" si="145"/>
        <v>4555.8180873523215</v>
      </c>
      <c r="R52" s="718">
        <f t="shared" ca="1" si="145"/>
        <v>3808.5607612255362</v>
      </c>
      <c r="S52" s="718">
        <f t="shared" ca="1" si="145"/>
        <v>2916.4943190194763</v>
      </c>
      <c r="T52" s="718">
        <f t="shared" ca="1" si="145"/>
        <v>1831.8377842446453</v>
      </c>
      <c r="U52" s="718">
        <f t="shared" ca="1" si="145"/>
        <v>503.07571511841707</v>
      </c>
      <c r="V52" s="718">
        <f t="shared" ca="1" si="145"/>
        <v>-1129.7336858378039</v>
      </c>
      <c r="W52" s="718">
        <f t="shared" ca="1" si="145"/>
        <v>-3223.7778344252565</v>
      </c>
      <c r="X52" s="718">
        <f t="shared" ca="1" si="145"/>
        <v>-5671.9476728606733</v>
      </c>
      <c r="Y52" s="718">
        <f t="shared" ca="1" si="145"/>
        <v>-8684.8171777319621</v>
      </c>
      <c r="Z52" s="718">
        <f t="shared" ca="1" si="145"/>
        <v>-12383.072855998676</v>
      </c>
      <c r="AA52" s="718">
        <f t="shared" ca="1" si="145"/>
        <v>-16912.675260973348</v>
      </c>
      <c r="AB52" s="718">
        <f t="shared" ca="1" si="145"/>
        <v>-22621.939617466989</v>
      </c>
      <c r="AC52" s="718">
        <f t="shared" ca="1" si="145"/>
        <v>-29438.430966283857</v>
      </c>
      <c r="AD52" s="718">
        <f t="shared" ca="1" si="145"/>
        <v>-37724.598875550058</v>
      </c>
      <c r="AE52" s="718">
        <f t="shared" ca="1" si="145"/>
        <v>-47795.751261881043</v>
      </c>
      <c r="AF52" s="718">
        <f t="shared" ca="1" si="145"/>
        <v>-60032.300749583941</v>
      </c>
      <c r="AG52" s="718">
        <f t="shared" ca="1" si="145"/>
        <v>-75091.42175064933</v>
      </c>
      <c r="AH52" s="718">
        <f t="shared" ca="1" si="145"/>
        <v>-93290.613737061052</v>
      </c>
    </row>
    <row r="53" spans="2:34" ht="13.5" thickTop="1"/>
    <row r="55" spans="2:34" ht="15">
      <c r="B55" s="668"/>
      <c r="C55" s="1006" t="s">
        <v>499</v>
      </c>
      <c r="D55" s="1006"/>
      <c r="E55" s="1006"/>
      <c r="F55" s="1006"/>
      <c r="G55" s="1006"/>
      <c r="H55" s="1006"/>
      <c r="I55" s="1007" t="s">
        <v>500</v>
      </c>
      <c r="J55" s="1008"/>
      <c r="K55" s="1008"/>
      <c r="L55" s="1008"/>
      <c r="M55" s="1008"/>
    </row>
    <row r="56" spans="2:34" ht="15">
      <c r="B56" s="666"/>
      <c r="C56" s="666">
        <v>2017</v>
      </c>
      <c r="D56" s="666">
        <v>2018</v>
      </c>
      <c r="E56" s="666">
        <v>2019</v>
      </c>
      <c r="F56" s="6">
        <v>2020</v>
      </c>
      <c r="G56" s="6">
        <v>2021</v>
      </c>
      <c r="H56" s="688">
        <v>2022</v>
      </c>
      <c r="I56" s="6">
        <v>2023</v>
      </c>
      <c r="J56" s="6">
        <f>I56+1</f>
        <v>2024</v>
      </c>
      <c r="K56" s="6">
        <f t="shared" ref="K56" si="146">J56+1</f>
        <v>2025</v>
      </c>
      <c r="L56" s="6">
        <f t="shared" ref="L56" si="147">K56+1</f>
        <v>2026</v>
      </c>
      <c r="M56" s="688">
        <f t="shared" ref="M56" si="148">L56+1</f>
        <v>2027</v>
      </c>
      <c r="N56" s="6">
        <f>M56+1</f>
        <v>2028</v>
      </c>
      <c r="O56" s="6">
        <f t="shared" ref="O56" si="149">N56+1</f>
        <v>2029</v>
      </c>
      <c r="P56" s="6">
        <f t="shared" ref="P56" si="150">O56+1</f>
        <v>2030</v>
      </c>
      <c r="Q56" s="6">
        <f t="shared" ref="Q56" si="151">P56+1</f>
        <v>2031</v>
      </c>
      <c r="R56" s="688">
        <f t="shared" ref="R56" si="152">Q56+1</f>
        <v>2032</v>
      </c>
      <c r="S56" s="6">
        <f t="shared" ref="S56" si="153">R56+1</f>
        <v>2033</v>
      </c>
      <c r="T56" s="6">
        <f t="shared" ref="T56" si="154">S56+1</f>
        <v>2034</v>
      </c>
      <c r="U56" s="6">
        <f t="shared" ref="U56" si="155">T56+1</f>
        <v>2035</v>
      </c>
      <c r="V56" s="6">
        <f t="shared" ref="V56" si="156">U56+1</f>
        <v>2036</v>
      </c>
      <c r="W56" s="688">
        <f t="shared" ref="W56" si="157">V56+1</f>
        <v>2037</v>
      </c>
      <c r="X56" s="6">
        <f t="shared" ref="X56" si="158">W56+1</f>
        <v>2038</v>
      </c>
      <c r="Y56" s="6">
        <f t="shared" ref="Y56" si="159">X56+1</f>
        <v>2039</v>
      </c>
      <c r="Z56" s="6">
        <f t="shared" ref="Z56" si="160">Y56+1</f>
        <v>2040</v>
      </c>
      <c r="AA56" s="6">
        <f t="shared" ref="AA56" si="161">Z56+1</f>
        <v>2041</v>
      </c>
      <c r="AB56" s="688">
        <f t="shared" ref="AB56" si="162">AA56+1</f>
        <v>2042</v>
      </c>
      <c r="AC56" s="6">
        <f t="shared" ref="AC56" si="163">AB56+1</f>
        <v>2043</v>
      </c>
      <c r="AD56" s="6">
        <f t="shared" ref="AD56" si="164">AC56+1</f>
        <v>2044</v>
      </c>
      <c r="AE56" s="6">
        <f t="shared" ref="AE56" si="165">AD56+1</f>
        <v>2045</v>
      </c>
      <c r="AF56" s="6">
        <f t="shared" ref="AF56" si="166">AE56+1</f>
        <v>2046</v>
      </c>
      <c r="AG56" s="688">
        <f t="shared" ref="AG56" si="167">AF56+1</f>
        <v>2047</v>
      </c>
      <c r="AH56" s="6">
        <f t="shared" ref="AH56" si="168">AG56+1</f>
        <v>2048</v>
      </c>
    </row>
    <row r="57" spans="2:34" ht="15.75" thickBot="1">
      <c r="B57" s="713" t="s">
        <v>508</v>
      </c>
      <c r="C57" s="75">
        <f>Inputs!G61</f>
        <v>1370</v>
      </c>
      <c r="D57" s="75">
        <f>Inputs!F61</f>
        <v>1437</v>
      </c>
      <c r="E57" s="75">
        <f>Inputs!E61</f>
        <v>1492</v>
      </c>
      <c r="F57" s="75">
        <f>Inputs!D61</f>
        <v>1645</v>
      </c>
      <c r="G57" s="75">
        <f>Inputs!C61</f>
        <v>1781</v>
      </c>
      <c r="H57" s="75">
        <f>Inputs!B61</f>
        <v>1900</v>
      </c>
      <c r="I57" s="75">
        <f>I58*I$23</f>
        <v>2277.5339060655378</v>
      </c>
      <c r="J57" s="75">
        <f t="shared" ref="J57:L57" ca="1" si="169">J58*J$23</f>
        <v>2391.4106013688147</v>
      </c>
      <c r="K57" s="75">
        <f t="shared" si="169"/>
        <v>2559.2368914013568</v>
      </c>
      <c r="L57" s="75">
        <f t="shared" ca="1" si="169"/>
        <v>2687.4275123371153</v>
      </c>
      <c r="M57" s="75">
        <f ca="1">M58*M$23</f>
        <v>2768.0503377072291</v>
      </c>
      <c r="N57" s="75">
        <f t="shared" ref="N57:AH57" ca="1" si="170">M57*(1+N58)</f>
        <v>2793.2233958430056</v>
      </c>
      <c r="O57" s="75">
        <f t="shared" ca="1" si="170"/>
        <v>2818.6253814831975</v>
      </c>
      <c r="P57" s="75">
        <f t="shared" ca="1" si="170"/>
        <v>2844.258376528303</v>
      </c>
      <c r="Q57" s="75">
        <f t="shared" ca="1" si="170"/>
        <v>2870.1244818119308</v>
      </c>
      <c r="R57" s="689">
        <f t="shared" ca="1" si="170"/>
        <v>2896.2258172729803</v>
      </c>
      <c r="S57" s="75">
        <f t="shared" ca="1" si="170"/>
        <v>2921.5744137543311</v>
      </c>
      <c r="T57" s="75">
        <f t="shared" ca="1" si="170"/>
        <v>2947.1448684001048</v>
      </c>
      <c r="U57" s="75">
        <f t="shared" ca="1" si="170"/>
        <v>2972.9391229763933</v>
      </c>
      <c r="V57" s="75">
        <f t="shared" ca="1" si="170"/>
        <v>2998.9591362441802</v>
      </c>
      <c r="W57" s="689">
        <f t="shared" ca="1" si="170"/>
        <v>3025.2068841080854</v>
      </c>
      <c r="X57" s="75">
        <f t="shared" ca="1" si="170"/>
        <v>3050.6890348048173</v>
      </c>
      <c r="Y57" s="75">
        <f t="shared" ca="1" si="170"/>
        <v>3076.3858286743989</v>
      </c>
      <c r="Z57" s="75">
        <f t="shared" ca="1" si="170"/>
        <v>3102.2990737153855</v>
      </c>
      <c r="AA57" s="75">
        <f t="shared" ca="1" si="170"/>
        <v>3128.4305931556023</v>
      </c>
      <c r="AB57" s="689">
        <f t="shared" ca="1" si="170"/>
        <v>3154.7822255804244</v>
      </c>
      <c r="AC57" s="75">
        <f t="shared" ca="1" si="170"/>
        <v>3180.3568866729624</v>
      </c>
      <c r="AD57" s="75">
        <f t="shared" ca="1" si="170"/>
        <v>3206.1388721521712</v>
      </c>
      <c r="AE57" s="75">
        <f t="shared" ca="1" si="170"/>
        <v>3232.1298627207257</v>
      </c>
      <c r="AF57" s="75">
        <f t="shared" ca="1" si="170"/>
        <v>3258.33155270614</v>
      </c>
      <c r="AG57" s="689">
        <f t="shared" ca="1" si="170"/>
        <v>3284.7456501712199</v>
      </c>
      <c r="AH57" s="75">
        <f t="shared" ca="1" si="170"/>
        <v>3310.3728851176834</v>
      </c>
    </row>
    <row r="58" spans="2:34" ht="13.5" thickTop="1">
      <c r="B58" s="671" t="s">
        <v>504</v>
      </c>
      <c r="C58" s="672">
        <f>C57/C$23</f>
        <v>1.0618097267971324E-2</v>
      </c>
      <c r="D58" s="672">
        <f>D57/D$23</f>
        <v>1.0150025428038651E-2</v>
      </c>
      <c r="E58" s="672">
        <f>E57/E$23</f>
        <v>9.7706004466185988E-3</v>
      </c>
      <c r="F58" s="672">
        <f>F57/F$23</f>
        <v>9.8644167401250888E-3</v>
      </c>
      <c r="G58" s="672">
        <f t="shared" ref="G58" si="171">G57/G$23</f>
        <v>9.0900275099653448E-3</v>
      </c>
      <c r="H58" s="672">
        <f>H57/H$23</f>
        <v>8.3717405289177541E-3</v>
      </c>
      <c r="I58" s="672">
        <f>$H$59</f>
        <v>9.4493621307330869E-3</v>
      </c>
      <c r="J58" s="672">
        <f>$H$59</f>
        <v>9.4493621307330869E-3</v>
      </c>
      <c r="K58" s="672">
        <f t="shared" ref="K58:M58" si="172">$H$59</f>
        <v>9.4493621307330869E-3</v>
      </c>
      <c r="L58" s="672">
        <f t="shared" si="172"/>
        <v>9.4493621307330869E-3</v>
      </c>
      <c r="M58" s="672">
        <f t="shared" si="172"/>
        <v>9.4493621307330869E-3</v>
      </c>
      <c r="N58" s="736">
        <f>$H$59*(1-(-$H$60))</f>
        <v>9.0941475279049146E-3</v>
      </c>
      <c r="O58" s="672">
        <f>N58</f>
        <v>9.0941475279049146E-3</v>
      </c>
      <c r="P58" s="672">
        <f t="shared" ref="P58:AG58" si="173">O58</f>
        <v>9.0941475279049146E-3</v>
      </c>
      <c r="Q58" s="672">
        <f t="shared" si="173"/>
        <v>9.0941475279049146E-3</v>
      </c>
      <c r="R58" s="672">
        <f t="shared" si="173"/>
        <v>9.0941475279049146E-3</v>
      </c>
      <c r="S58" s="736">
        <f>$N$58*(1-(-$H$60))</f>
        <v>8.7522859337049123E-3</v>
      </c>
      <c r="T58" s="672">
        <f t="shared" si="173"/>
        <v>8.7522859337049123E-3</v>
      </c>
      <c r="U58" s="672">
        <f t="shared" si="173"/>
        <v>8.7522859337049123E-3</v>
      </c>
      <c r="V58" s="672">
        <f t="shared" si="173"/>
        <v>8.7522859337049123E-3</v>
      </c>
      <c r="W58" s="672">
        <f t="shared" si="173"/>
        <v>8.7522859337049123E-3</v>
      </c>
      <c r="X58" s="736">
        <f>S58*(1-(-$H$60))</f>
        <v>8.4232753900547672E-3</v>
      </c>
      <c r="Y58" s="672">
        <f t="shared" si="173"/>
        <v>8.4232753900547672E-3</v>
      </c>
      <c r="Z58" s="672">
        <f t="shared" si="173"/>
        <v>8.4232753900547672E-3</v>
      </c>
      <c r="AA58" s="672">
        <f t="shared" si="173"/>
        <v>8.4232753900547672E-3</v>
      </c>
      <c r="AB58" s="672">
        <f t="shared" si="173"/>
        <v>8.4232753900547672E-3</v>
      </c>
      <c r="AC58" s="736">
        <f>X58*(1-(-$H$60))</f>
        <v>8.1066328081751699E-3</v>
      </c>
      <c r="AD58" s="672">
        <f t="shared" si="173"/>
        <v>8.1066328081751699E-3</v>
      </c>
      <c r="AE58" s="672">
        <f t="shared" si="173"/>
        <v>8.1066328081751699E-3</v>
      </c>
      <c r="AF58" s="672">
        <f t="shared" si="173"/>
        <v>8.1066328081751699E-3</v>
      </c>
      <c r="AG58" s="672">
        <f t="shared" si="173"/>
        <v>8.1066328081751699E-3</v>
      </c>
      <c r="AH58" s="736">
        <f>AC58*(1-(-$H$60))</f>
        <v>7.8018932592627431E-3</v>
      </c>
    </row>
    <row r="59" spans="2:34">
      <c r="B59" s="680" t="s">
        <v>503</v>
      </c>
      <c r="C59" s="680"/>
      <c r="D59" s="680"/>
      <c r="E59" s="680"/>
      <c r="F59" s="680"/>
      <c r="G59" s="680"/>
      <c r="H59" s="691">
        <f>AVERAGE(D58:H58)</f>
        <v>9.4493621307330869E-3</v>
      </c>
      <c r="I59" s="687"/>
      <c r="J59" s="687"/>
      <c r="K59" s="687"/>
      <c r="L59" s="687"/>
      <c r="M59" s="691"/>
      <c r="N59" s="687"/>
      <c r="O59" s="687"/>
      <c r="P59" s="687"/>
      <c r="Q59" s="687"/>
      <c r="R59" s="691">
        <f>AVERAGE(N58:R58)</f>
        <v>9.0941475279049146E-3</v>
      </c>
      <c r="S59" s="687"/>
      <c r="T59" s="687"/>
      <c r="U59" s="687"/>
      <c r="V59" s="687"/>
      <c r="W59" s="691">
        <f>AVERAGE(S58:W58)</f>
        <v>8.7522859337049123E-3</v>
      </c>
      <c r="X59" s="687"/>
      <c r="Y59" s="687"/>
      <c r="Z59" s="687"/>
      <c r="AA59" s="687"/>
      <c r="AB59" s="691">
        <f>AVERAGE(X58:AB58)</f>
        <v>8.4232753900547672E-3</v>
      </c>
      <c r="AC59" s="687"/>
      <c r="AD59" s="687"/>
      <c r="AE59" s="687"/>
      <c r="AF59" s="687"/>
      <c r="AG59" s="691">
        <f>AVERAGE(AC58:AG58)</f>
        <v>8.1066328081751699E-3</v>
      </c>
      <c r="AH59" s="686"/>
    </row>
    <row r="60" spans="2:34">
      <c r="B60" s="680" t="s">
        <v>509</v>
      </c>
      <c r="C60" s="680"/>
      <c r="D60" s="738">
        <f>D58/C58-1</f>
        <v>-4.4082459231615356E-2</v>
      </c>
      <c r="E60" s="738">
        <f>E58/D58-1</f>
        <v>-3.7381677918945977E-2</v>
      </c>
      <c r="F60" s="738">
        <f>F58/E58-1</f>
        <v>9.6018964258186568E-3</v>
      </c>
      <c r="G60" s="738">
        <f>G58/F58-1</f>
        <v>-7.8503296298279124E-2</v>
      </c>
      <c r="H60" s="691">
        <f>AVERAGE(D60:G60)</f>
        <v>-3.759138425575545E-2</v>
      </c>
      <c r="I60" s="687"/>
      <c r="J60" s="687"/>
      <c r="K60" s="687"/>
      <c r="L60" s="687"/>
      <c r="M60" s="691"/>
      <c r="N60" s="687"/>
      <c r="O60" s="687"/>
      <c r="P60" s="687"/>
      <c r="Q60" s="687"/>
      <c r="R60" s="691">
        <f>AVERAGE(N59:R59)</f>
        <v>9.0941475279049146E-3</v>
      </c>
      <c r="S60" s="687"/>
      <c r="T60" s="687"/>
      <c r="U60" s="687"/>
      <c r="V60" s="687"/>
      <c r="W60" s="691">
        <f>AVERAGE(S59:W59)</f>
        <v>8.7522859337049123E-3</v>
      </c>
      <c r="X60" s="687"/>
      <c r="Y60" s="687"/>
      <c r="Z60" s="687"/>
      <c r="AA60" s="687"/>
      <c r="AB60" s="691">
        <f>AVERAGE(X59:AB59)</f>
        <v>8.4232753900547672E-3</v>
      </c>
      <c r="AC60" s="687"/>
      <c r="AD60" s="687"/>
      <c r="AE60" s="687"/>
      <c r="AF60" s="687"/>
      <c r="AG60" s="691">
        <f>AVERAGE(AC59:AG59)</f>
        <v>8.1066328081751699E-3</v>
      </c>
      <c r="AH60" s="686"/>
    </row>
    <row r="63" spans="2:34" ht="15">
      <c r="B63" s="668"/>
      <c r="C63" s="1006" t="s">
        <v>499</v>
      </c>
      <c r="D63" s="1006"/>
      <c r="E63" s="1006"/>
      <c r="F63" s="1006"/>
      <c r="G63" s="1006"/>
      <c r="H63" s="1006"/>
      <c r="I63" s="1007" t="s">
        <v>500</v>
      </c>
      <c r="J63" s="1008"/>
      <c r="K63" s="1008"/>
      <c r="L63" s="1008"/>
      <c r="M63" s="1008"/>
    </row>
    <row r="64" spans="2:34" ht="15">
      <c r="B64" s="666"/>
      <c r="C64" s="666">
        <v>2017</v>
      </c>
      <c r="D64" s="666">
        <v>2018</v>
      </c>
      <c r="E64" s="666">
        <v>2019</v>
      </c>
      <c r="F64" s="6">
        <v>2020</v>
      </c>
      <c r="G64" s="6">
        <v>2021</v>
      </c>
      <c r="H64" s="688">
        <v>2022</v>
      </c>
      <c r="I64" s="6">
        <v>2023</v>
      </c>
      <c r="J64" s="6">
        <f>I64+1</f>
        <v>2024</v>
      </c>
      <c r="K64" s="6">
        <f t="shared" ref="K64" si="174">J64+1</f>
        <v>2025</v>
      </c>
      <c r="L64" s="6">
        <f t="shared" ref="L64" si="175">K64+1</f>
        <v>2026</v>
      </c>
      <c r="M64" s="688">
        <f t="shared" ref="M64" si="176">L64+1</f>
        <v>2027</v>
      </c>
      <c r="N64" s="6">
        <f>M64+1</f>
        <v>2028</v>
      </c>
      <c r="O64" s="6">
        <f t="shared" ref="O64" si="177">N64+1</f>
        <v>2029</v>
      </c>
      <c r="P64" s="6">
        <f t="shared" ref="P64" si="178">O64+1</f>
        <v>2030</v>
      </c>
      <c r="Q64" s="6">
        <f t="shared" ref="Q64" si="179">P64+1</f>
        <v>2031</v>
      </c>
      <c r="R64" s="688">
        <f t="shared" ref="R64" si="180">Q64+1</f>
        <v>2032</v>
      </c>
      <c r="S64" s="6">
        <f t="shared" ref="S64" si="181">R64+1</f>
        <v>2033</v>
      </c>
      <c r="T64" s="6">
        <f t="shared" ref="T64" si="182">S64+1</f>
        <v>2034</v>
      </c>
      <c r="U64" s="6">
        <f t="shared" ref="U64" si="183">T64+1</f>
        <v>2035</v>
      </c>
      <c r="V64" s="6">
        <f t="shared" ref="V64" si="184">U64+1</f>
        <v>2036</v>
      </c>
      <c r="W64" s="688">
        <f t="shared" ref="W64" si="185">V64+1</f>
        <v>2037</v>
      </c>
      <c r="X64" s="6">
        <f t="shared" ref="X64" si="186">W64+1</f>
        <v>2038</v>
      </c>
      <c r="Y64" s="6">
        <f t="shared" ref="Y64" si="187">X64+1</f>
        <v>2039</v>
      </c>
      <c r="Z64" s="6">
        <f t="shared" ref="Z64" si="188">Y64+1</f>
        <v>2040</v>
      </c>
      <c r="AA64" s="6">
        <f t="shared" ref="AA64" si="189">Z64+1</f>
        <v>2041</v>
      </c>
      <c r="AB64" s="688">
        <f t="shared" ref="AB64" si="190">AA64+1</f>
        <v>2042</v>
      </c>
      <c r="AC64" s="6">
        <f t="shared" ref="AC64" si="191">AB64+1</f>
        <v>2043</v>
      </c>
      <c r="AD64" s="6">
        <f t="shared" ref="AD64" si="192">AC64+1</f>
        <v>2044</v>
      </c>
      <c r="AE64" s="6">
        <f t="shared" ref="AE64" si="193">AD64+1</f>
        <v>2045</v>
      </c>
      <c r="AF64" s="6">
        <f t="shared" ref="AF64" si="194">AE64+1</f>
        <v>2046</v>
      </c>
      <c r="AG64" s="688">
        <f t="shared" ref="AG64" si="195">AF64+1</f>
        <v>2047</v>
      </c>
      <c r="AH64" s="6">
        <f t="shared" ref="AH64" si="196">AG64+1</f>
        <v>2048</v>
      </c>
    </row>
    <row r="65" spans="2:34" ht="15.75" thickBot="1">
      <c r="B65" s="713" t="s">
        <v>510</v>
      </c>
      <c r="C65" s="75">
        <f>Inputs!G65</f>
        <v>-2502</v>
      </c>
      <c r="D65" s="75">
        <f>Inputs!F65</f>
        <v>-2969</v>
      </c>
      <c r="E65" s="75">
        <f>Inputs!E65</f>
        <v>-2998</v>
      </c>
      <c r="F65" s="75">
        <f>Inputs!D65</f>
        <v>-2810</v>
      </c>
      <c r="G65" s="75">
        <f>Inputs!C65</f>
        <v>-3588</v>
      </c>
      <c r="H65" s="75">
        <f>Inputs!B65</f>
        <v>-3891</v>
      </c>
      <c r="I65" s="75">
        <f>I66*I$23</f>
        <v>-4478.8070466708132</v>
      </c>
      <c r="J65" s="75">
        <f ca="1">J66*J$23</f>
        <v>-4702.7473990043536</v>
      </c>
      <c r="K65" s="75">
        <f t="shared" ref="K65:M65" si="197">K66*K$23</f>
        <v>-5032.7804968267583</v>
      </c>
      <c r="L65" s="75">
        <f t="shared" ca="1" si="197"/>
        <v>-5284.8694140697144</v>
      </c>
      <c r="M65" s="75">
        <f t="shared" ca="1" si="197"/>
        <v>-5443.4154964918062</v>
      </c>
      <c r="N65" s="75">
        <f ca="1">M65*(1+N66)</f>
        <v>-5342.2641938748502</v>
      </c>
      <c r="O65" s="75">
        <f t="shared" ref="O65:AH65" ca="1" si="198">N65*(1+O66)</f>
        <v>-5242.9925173911006</v>
      </c>
      <c r="P65" s="75">
        <f t="shared" ca="1" si="198"/>
        <v>-5145.5655392214467</v>
      </c>
      <c r="Q65" s="75">
        <f t="shared" ca="1" si="198"/>
        <v>-5049.9489805867788</v>
      </c>
      <c r="R65" s="689">
        <f t="shared" ca="1" si="198"/>
        <v>-4956.1091996873183</v>
      </c>
      <c r="S65" s="75">
        <f t="shared" ca="1" si="198"/>
        <v>-4864.0131798660605</v>
      </c>
      <c r="T65" s="75">
        <f t="shared" ca="1" si="198"/>
        <v>-4773.6285179921724</v>
      </c>
      <c r="U65" s="75">
        <f t="shared" ca="1" si="198"/>
        <v>-4684.9234130602499</v>
      </c>
      <c r="V65" s="75">
        <f t="shared" ca="1" si="198"/>
        <v>-4597.8666550014295</v>
      </c>
      <c r="W65" s="689">
        <f t="shared" ca="1" si="198"/>
        <v>-4512.4276137024153</v>
      </c>
      <c r="X65" s="75">
        <f t="shared" ca="1" si="198"/>
        <v>-4428.576228228555</v>
      </c>
      <c r="Y65" s="75">
        <f t="shared" ca="1" si="198"/>
        <v>-4346.2829962471815</v>
      </c>
      <c r="Z65" s="75">
        <f t="shared" ca="1" si="198"/>
        <v>-4265.5189636474906</v>
      </c>
      <c r="AA65" s="75">
        <f t="shared" ca="1" si="198"/>
        <v>-4186.255714353304</v>
      </c>
      <c r="AB65" s="689">
        <f t="shared" ca="1" si="198"/>
        <v>-4108.4653603251363</v>
      </c>
      <c r="AC65" s="75">
        <f t="shared" ca="1" si="198"/>
        <v>-4032.120531748049</v>
      </c>
      <c r="AD65" s="75">
        <f t="shared" ca="1" si="198"/>
        <v>-3957.1943674018321</v>
      </c>
      <c r="AE65" s="75">
        <f t="shared" ca="1" si="198"/>
        <v>-3883.6605052101354</v>
      </c>
      <c r="AF65" s="75">
        <f t="shared" ca="1" si="198"/>
        <v>-3811.4930729652137</v>
      </c>
      <c r="AG65" s="689">
        <f t="shared" ca="1" si="198"/>
        <v>-3740.6666792250321</v>
      </c>
      <c r="AH65" s="75">
        <f t="shared" ca="1" si="198"/>
        <v>-3671.156404379522</v>
      </c>
    </row>
    <row r="66" spans="2:34" ht="13.5" thickTop="1">
      <c r="B66" s="671" t="s">
        <v>504</v>
      </c>
      <c r="C66" s="672">
        <f>C65/C$23</f>
        <v>-1.9391590776981205E-2</v>
      </c>
      <c r="D66" s="672">
        <f t="shared" ref="D66:G66" si="199">D65/D$23</f>
        <v>-2.0971068542690853E-2</v>
      </c>
      <c r="E66" s="672">
        <f t="shared" si="199"/>
        <v>-1.9632882130671957E-2</v>
      </c>
      <c r="F66" s="672">
        <f t="shared" si="199"/>
        <v>-1.685046263814681E-2</v>
      </c>
      <c r="G66" s="672">
        <f t="shared" si="199"/>
        <v>-1.8312756151463029E-2</v>
      </c>
      <c r="H66" s="672">
        <f>H65/H$23</f>
        <v>-1.7144443367378411E-2</v>
      </c>
      <c r="I66" s="672">
        <f>$H$67</f>
        <v>-1.8582322566070213E-2</v>
      </c>
      <c r="J66" s="672">
        <f t="shared" ref="J66:M66" si="200">$H$67</f>
        <v>-1.8582322566070213E-2</v>
      </c>
      <c r="K66" s="672">
        <f t="shared" si="200"/>
        <v>-1.8582322566070213E-2</v>
      </c>
      <c r="L66" s="672">
        <f t="shared" si="200"/>
        <v>-1.8582322566070213E-2</v>
      </c>
      <c r="M66" s="672">
        <f t="shared" si="200"/>
        <v>-1.8582322566070213E-2</v>
      </c>
      <c r="N66" s="736">
        <f>H67</f>
        <v>-1.8582322566070213E-2</v>
      </c>
      <c r="O66" s="672">
        <f>N66</f>
        <v>-1.8582322566070213E-2</v>
      </c>
      <c r="P66" s="672">
        <f t="shared" ref="P66:AH66" si="201">O66</f>
        <v>-1.8582322566070213E-2</v>
      </c>
      <c r="Q66" s="672">
        <f t="shared" si="201"/>
        <v>-1.8582322566070213E-2</v>
      </c>
      <c r="R66" s="672">
        <f t="shared" si="201"/>
        <v>-1.8582322566070213E-2</v>
      </c>
      <c r="S66" s="672">
        <f t="shared" si="201"/>
        <v>-1.8582322566070213E-2</v>
      </c>
      <c r="T66" s="672">
        <f t="shared" si="201"/>
        <v>-1.8582322566070213E-2</v>
      </c>
      <c r="U66" s="672">
        <f t="shared" si="201"/>
        <v>-1.8582322566070213E-2</v>
      </c>
      <c r="V66" s="672">
        <f t="shared" si="201"/>
        <v>-1.8582322566070213E-2</v>
      </c>
      <c r="W66" s="672">
        <f t="shared" si="201"/>
        <v>-1.8582322566070213E-2</v>
      </c>
      <c r="X66" s="672">
        <f t="shared" si="201"/>
        <v>-1.8582322566070213E-2</v>
      </c>
      <c r="Y66" s="672">
        <f t="shared" si="201"/>
        <v>-1.8582322566070213E-2</v>
      </c>
      <c r="Z66" s="672">
        <f t="shared" si="201"/>
        <v>-1.8582322566070213E-2</v>
      </c>
      <c r="AA66" s="672">
        <f t="shared" si="201"/>
        <v>-1.8582322566070213E-2</v>
      </c>
      <c r="AB66" s="672">
        <f t="shared" si="201"/>
        <v>-1.8582322566070213E-2</v>
      </c>
      <c r="AC66" s="672">
        <f t="shared" si="201"/>
        <v>-1.8582322566070213E-2</v>
      </c>
      <c r="AD66" s="672">
        <f t="shared" si="201"/>
        <v>-1.8582322566070213E-2</v>
      </c>
      <c r="AE66" s="672">
        <f t="shared" si="201"/>
        <v>-1.8582322566070213E-2</v>
      </c>
      <c r="AF66" s="672">
        <f t="shared" si="201"/>
        <v>-1.8582322566070213E-2</v>
      </c>
      <c r="AG66" s="672">
        <f t="shared" si="201"/>
        <v>-1.8582322566070213E-2</v>
      </c>
      <c r="AH66" s="672">
        <f t="shared" si="201"/>
        <v>-1.8582322566070213E-2</v>
      </c>
    </row>
    <row r="67" spans="2:34">
      <c r="B67" s="680" t="s">
        <v>503</v>
      </c>
      <c r="C67" s="680"/>
      <c r="D67" s="680"/>
      <c r="E67" s="680"/>
      <c r="F67" s="680"/>
      <c r="G67" s="680"/>
      <c r="H67" s="691">
        <f>AVERAGE(D66:H66)</f>
        <v>-1.8582322566070213E-2</v>
      </c>
      <c r="I67" s="687"/>
      <c r="J67" s="687"/>
      <c r="K67" s="687"/>
      <c r="L67" s="687"/>
      <c r="M67" s="691"/>
      <c r="N67" s="687"/>
      <c r="O67" s="687"/>
      <c r="P67" s="687"/>
      <c r="Q67" s="687"/>
      <c r="R67" s="691">
        <f>AVERAGE(N66:R66)</f>
        <v>-1.8582322566070213E-2</v>
      </c>
      <c r="S67" s="687"/>
      <c r="T67" s="687"/>
      <c r="U67" s="687"/>
      <c r="V67" s="687"/>
      <c r="W67" s="691">
        <f>AVERAGE(S66:W66)</f>
        <v>-1.8582322566070213E-2</v>
      </c>
      <c r="X67" s="687"/>
      <c r="Y67" s="687"/>
      <c r="Z67" s="687"/>
      <c r="AA67" s="687"/>
      <c r="AB67" s="691">
        <f>AVERAGE(X66:AB66)</f>
        <v>-1.8582322566070213E-2</v>
      </c>
      <c r="AC67" s="687"/>
      <c r="AD67" s="687"/>
      <c r="AE67" s="687"/>
      <c r="AF67" s="687"/>
      <c r="AG67" s="691">
        <f>AVERAGE(AC66:AG66)</f>
        <v>-1.8582322566070213E-2</v>
      </c>
      <c r="AH67" s="686"/>
    </row>
    <row r="70" spans="2:34" ht="15">
      <c r="B70" s="668"/>
      <c r="C70" s="1006" t="s">
        <v>499</v>
      </c>
      <c r="D70" s="1006"/>
      <c r="E70" s="1006"/>
      <c r="F70" s="1006"/>
      <c r="G70" s="1006"/>
      <c r="H70" s="1006"/>
      <c r="I70" s="1007" t="s">
        <v>500</v>
      </c>
      <c r="J70" s="1008"/>
      <c r="K70" s="1008"/>
      <c r="L70" s="1008"/>
      <c r="M70" s="1008"/>
    </row>
    <row r="71" spans="2:34" ht="15">
      <c r="B71" s="666"/>
      <c r="C71" s="666">
        <v>2017</v>
      </c>
      <c r="D71" s="666">
        <v>2018</v>
      </c>
      <c r="E71" s="666">
        <v>2019</v>
      </c>
      <c r="F71" s="6">
        <v>2020</v>
      </c>
      <c r="G71" s="6">
        <v>2021</v>
      </c>
      <c r="H71" s="688">
        <v>2022</v>
      </c>
      <c r="I71" s="6">
        <v>2023</v>
      </c>
      <c r="J71" s="6">
        <f>I71+1</f>
        <v>2024</v>
      </c>
      <c r="K71" s="6">
        <f t="shared" ref="K71" si="202">J71+1</f>
        <v>2025</v>
      </c>
      <c r="L71" s="6">
        <f t="shared" ref="L71" si="203">K71+1</f>
        <v>2026</v>
      </c>
      <c r="M71" s="688">
        <f t="shared" ref="M71" si="204">L71+1</f>
        <v>2027</v>
      </c>
      <c r="N71" s="6">
        <f>M71+1</f>
        <v>2028</v>
      </c>
      <c r="O71" s="6">
        <f t="shared" ref="O71" si="205">N71+1</f>
        <v>2029</v>
      </c>
      <c r="P71" s="6">
        <f t="shared" ref="P71" si="206">O71+1</f>
        <v>2030</v>
      </c>
      <c r="Q71" s="6">
        <f t="shared" ref="Q71" si="207">P71+1</f>
        <v>2031</v>
      </c>
      <c r="R71" s="688">
        <f t="shared" ref="R71" si="208">Q71+1</f>
        <v>2032</v>
      </c>
      <c r="S71" s="6">
        <f t="shared" ref="S71" si="209">R71+1</f>
        <v>2033</v>
      </c>
      <c r="T71" s="6">
        <f t="shared" ref="T71" si="210">S71+1</f>
        <v>2034</v>
      </c>
      <c r="U71" s="6">
        <f t="shared" ref="U71" si="211">T71+1</f>
        <v>2035</v>
      </c>
      <c r="V71" s="6">
        <f t="shared" ref="V71" si="212">U71+1</f>
        <v>2036</v>
      </c>
      <c r="W71" s="688">
        <f t="shared" ref="W71" si="213">V71+1</f>
        <v>2037</v>
      </c>
      <c r="X71" s="6">
        <f t="shared" ref="X71" si="214">W71+1</f>
        <v>2038</v>
      </c>
      <c r="Y71" s="6">
        <f t="shared" ref="Y71" si="215">X71+1</f>
        <v>2039</v>
      </c>
      <c r="Z71" s="6">
        <f t="shared" ref="Z71" si="216">Y71+1</f>
        <v>2040</v>
      </c>
      <c r="AA71" s="6">
        <f t="shared" ref="AA71" si="217">Z71+1</f>
        <v>2041</v>
      </c>
      <c r="AB71" s="688">
        <f t="shared" ref="AB71" si="218">AA71+1</f>
        <v>2042</v>
      </c>
      <c r="AC71" s="6">
        <f t="shared" ref="AC71" si="219">AB71+1</f>
        <v>2043</v>
      </c>
      <c r="AD71" s="6">
        <f t="shared" ref="AD71" si="220">AC71+1</f>
        <v>2044</v>
      </c>
      <c r="AE71" s="6">
        <f t="shared" ref="AE71" si="221">AD71+1</f>
        <v>2045</v>
      </c>
      <c r="AF71" s="6">
        <f t="shared" ref="AF71" si="222">AE71+1</f>
        <v>2046</v>
      </c>
      <c r="AG71" s="688">
        <f t="shared" ref="AG71" si="223">AF71+1</f>
        <v>2047</v>
      </c>
      <c r="AH71" s="6">
        <f t="shared" ref="AH71" si="224">AG71+1</f>
        <v>2048</v>
      </c>
    </row>
    <row r="72" spans="2:34" ht="15.75" thickBot="1">
      <c r="B72" s="713" t="s">
        <v>511</v>
      </c>
      <c r="C72" s="75">
        <f>Inputs!G22</f>
        <v>-1885</v>
      </c>
      <c r="D72" s="75">
        <f>Inputs!F22</f>
        <v>-935</v>
      </c>
      <c r="E72" s="75">
        <f>Inputs!E22</f>
        <v>-681</v>
      </c>
      <c r="F72" s="75">
        <f>Inputs!D22</f>
        <v>-2447</v>
      </c>
      <c r="G72" s="75">
        <f>Inputs!C22</f>
        <v>-1378</v>
      </c>
      <c r="H72" s="75">
        <f>Inputs!B22</f>
        <v>1034</v>
      </c>
      <c r="I72" s="75">
        <f>I73*I$23</f>
        <v>-1360.0918649627201</v>
      </c>
      <c r="J72" s="75">
        <f t="shared" ref="J72:M72" ca="1" si="225">J73*J$23</f>
        <v>-1428.0964582108561</v>
      </c>
      <c r="K72" s="75">
        <f t="shared" si="225"/>
        <v>-1528.3185322674638</v>
      </c>
      <c r="L72" s="75">
        <f t="shared" ca="1" si="225"/>
        <v>-1604.8710789649738</v>
      </c>
      <c r="M72" s="75">
        <f t="shared" ca="1" si="225"/>
        <v>-1653.0172113339231</v>
      </c>
      <c r="N72" s="75">
        <f t="shared" ref="N72:AH72" ca="1" si="226">M72*(1+N73)</f>
        <v>-1643.6893246779687</v>
      </c>
      <c r="O72" s="75">
        <f t="shared" ca="1" si="226"/>
        <v>-1634.4140747815529</v>
      </c>
      <c r="P72" s="75">
        <f t="shared" ca="1" si="226"/>
        <v>-1625.1911646182907</v>
      </c>
      <c r="Q72" s="75">
        <f t="shared" ca="1" si="226"/>
        <v>-1616.0202988379008</v>
      </c>
      <c r="R72" s="689">
        <f ca="1">Q72*(1+R73)</f>
        <v>-1606.9011837567473</v>
      </c>
      <c r="S72" s="75">
        <f t="shared" ca="1" si="226"/>
        <v>-1597.8335273484354</v>
      </c>
      <c r="T72" s="75">
        <f t="shared" ca="1" si="226"/>
        <v>-1588.8170392344593</v>
      </c>
      <c r="U72" s="75">
        <f t="shared" ca="1" si="226"/>
        <v>-1579.8514306749037</v>
      </c>
      <c r="V72" s="75">
        <f t="shared" ca="1" si="226"/>
        <v>-1570.9364145591967</v>
      </c>
      <c r="W72" s="689">
        <f t="shared" ca="1" si="226"/>
        <v>-1562.0717053969161</v>
      </c>
      <c r="X72" s="75">
        <f t="shared" ca="1" si="226"/>
        <v>-1553.2570193086462</v>
      </c>
      <c r="Y72" s="75">
        <f t="shared" ca="1" si="226"/>
        <v>-1544.492074016888</v>
      </c>
      <c r="Z72" s="75">
        <f t="shared" ca="1" si="226"/>
        <v>-1535.7765888370188</v>
      </c>
      <c r="AA72" s="75">
        <f t="shared" ca="1" si="226"/>
        <v>-1527.1102846683043</v>
      </c>
      <c r="AB72" s="689">
        <f t="shared" ca="1" si="226"/>
        <v>-1518.4928839849604</v>
      </c>
      <c r="AC72" s="75">
        <f t="shared" ca="1" si="226"/>
        <v>-1509.9241108272658</v>
      </c>
      <c r="AD72" s="75">
        <f t="shared" ca="1" si="226"/>
        <v>-1501.4036907927255</v>
      </c>
      <c r="AE72" s="75">
        <f t="shared" ca="1" si="226"/>
        <v>-1492.9313510272825</v>
      </c>
      <c r="AF72" s="75">
        <f t="shared" ca="1" si="226"/>
        <v>-1484.5068202165805</v>
      </c>
      <c r="AG72" s="689">
        <f t="shared" ca="1" si="226"/>
        <v>-1476.1298285772755</v>
      </c>
      <c r="AH72" s="75">
        <f t="shared" ca="1" si="226"/>
        <v>-1467.8001078483962</v>
      </c>
    </row>
    <row r="73" spans="2:34" ht="13.5" thickTop="1">
      <c r="B73" s="671" t="s">
        <v>504</v>
      </c>
      <c r="C73" s="672">
        <f>C72/C$23</f>
        <v>-1.4609571788413099E-2</v>
      </c>
      <c r="D73" s="672">
        <f>D72/D$23</f>
        <v>-6.6042267050912583E-3</v>
      </c>
      <c r="E73" s="672">
        <f t="shared" ref="E73:G73" si="227">E72/E$23</f>
        <v>-4.4596373352193477E-3</v>
      </c>
      <c r="F73" s="672">
        <f t="shared" si="227"/>
        <v>-1.4673694688806136E-2</v>
      </c>
      <c r="G73" s="672">
        <f t="shared" si="227"/>
        <v>-7.0331599712140621E-3</v>
      </c>
      <c r="H73" s="672">
        <f>H72/H$23</f>
        <v>4.5559893194215568E-3</v>
      </c>
      <c r="I73" s="672">
        <f>$H$74</f>
        <v>-5.6429458761818501E-3</v>
      </c>
      <c r="J73" s="672">
        <f t="shared" ref="J73:M73" si="228">$H$74</f>
        <v>-5.6429458761818501E-3</v>
      </c>
      <c r="K73" s="672">
        <f t="shared" si="228"/>
        <v>-5.6429458761818501E-3</v>
      </c>
      <c r="L73" s="672">
        <f t="shared" si="228"/>
        <v>-5.6429458761818501E-3</v>
      </c>
      <c r="M73" s="672">
        <f t="shared" si="228"/>
        <v>-5.6429458761818501E-3</v>
      </c>
      <c r="N73" s="736">
        <f>H74</f>
        <v>-5.6429458761818501E-3</v>
      </c>
      <c r="O73" s="672">
        <f>N73</f>
        <v>-5.6429458761818501E-3</v>
      </c>
      <c r="P73" s="672">
        <f t="shared" ref="P73:AH73" si="229">O73</f>
        <v>-5.6429458761818501E-3</v>
      </c>
      <c r="Q73" s="672">
        <f t="shared" si="229"/>
        <v>-5.6429458761818501E-3</v>
      </c>
      <c r="R73" s="672">
        <f t="shared" si="229"/>
        <v>-5.6429458761818501E-3</v>
      </c>
      <c r="S73" s="672">
        <f t="shared" si="229"/>
        <v>-5.6429458761818501E-3</v>
      </c>
      <c r="T73" s="672">
        <f t="shared" si="229"/>
        <v>-5.6429458761818501E-3</v>
      </c>
      <c r="U73" s="672">
        <f t="shared" si="229"/>
        <v>-5.6429458761818501E-3</v>
      </c>
      <c r="V73" s="672">
        <f t="shared" si="229"/>
        <v>-5.6429458761818501E-3</v>
      </c>
      <c r="W73" s="672">
        <f t="shared" si="229"/>
        <v>-5.6429458761818501E-3</v>
      </c>
      <c r="X73" s="672">
        <f t="shared" si="229"/>
        <v>-5.6429458761818501E-3</v>
      </c>
      <c r="Y73" s="672">
        <f t="shared" si="229"/>
        <v>-5.6429458761818501E-3</v>
      </c>
      <c r="Z73" s="672">
        <f t="shared" si="229"/>
        <v>-5.6429458761818501E-3</v>
      </c>
      <c r="AA73" s="672">
        <f t="shared" si="229"/>
        <v>-5.6429458761818501E-3</v>
      </c>
      <c r="AB73" s="672">
        <f t="shared" si="229"/>
        <v>-5.6429458761818501E-3</v>
      </c>
      <c r="AC73" s="672">
        <f t="shared" si="229"/>
        <v>-5.6429458761818501E-3</v>
      </c>
      <c r="AD73" s="672">
        <f t="shared" si="229"/>
        <v>-5.6429458761818501E-3</v>
      </c>
      <c r="AE73" s="672">
        <f t="shared" si="229"/>
        <v>-5.6429458761818501E-3</v>
      </c>
      <c r="AF73" s="672">
        <f t="shared" si="229"/>
        <v>-5.6429458761818501E-3</v>
      </c>
      <c r="AG73" s="672">
        <f t="shared" si="229"/>
        <v>-5.6429458761818501E-3</v>
      </c>
      <c r="AH73" s="672">
        <f t="shared" si="229"/>
        <v>-5.6429458761818501E-3</v>
      </c>
    </row>
    <row r="74" spans="2:34">
      <c r="B74" s="680" t="s">
        <v>503</v>
      </c>
      <c r="C74" s="680"/>
      <c r="D74" s="680"/>
      <c r="E74" s="680"/>
      <c r="F74" s="680"/>
      <c r="G74" s="680"/>
      <c r="H74" s="691">
        <f>AVERAGE(D73:H73)</f>
        <v>-5.6429458761818501E-3</v>
      </c>
      <c r="I74" s="687"/>
      <c r="J74" s="687"/>
      <c r="K74" s="687"/>
      <c r="L74" s="687"/>
      <c r="M74" s="691"/>
      <c r="N74" s="687"/>
      <c r="O74" s="687"/>
      <c r="P74" s="687"/>
      <c r="Q74" s="687"/>
      <c r="R74" s="691">
        <f>AVERAGE(N73:R73)</f>
        <v>-5.6429458761818501E-3</v>
      </c>
      <c r="S74" s="687"/>
      <c r="T74" s="687"/>
      <c r="U74" s="687"/>
      <c r="V74" s="687"/>
      <c r="W74" s="691">
        <f>AVERAGE(S73:W73)</f>
        <v>-5.6429458761818501E-3</v>
      </c>
      <c r="X74" s="687"/>
      <c r="Y74" s="687"/>
      <c r="Z74" s="687"/>
      <c r="AA74" s="687"/>
      <c r="AB74" s="691">
        <f>AVERAGE(X73:AB73)</f>
        <v>-5.6429458761818501E-3</v>
      </c>
      <c r="AC74" s="687"/>
      <c r="AD74" s="687"/>
      <c r="AE74" s="687"/>
      <c r="AF74" s="687"/>
      <c r="AG74" s="691">
        <f>AVERAGE(AC73:AG73)</f>
        <v>-5.6429458761818501E-3</v>
      </c>
      <c r="AH74" s="686"/>
    </row>
    <row r="77" spans="2:34" ht="15.75" thickBot="1">
      <c r="B77" s="719" t="s">
        <v>512</v>
      </c>
      <c r="C77" s="718">
        <f t="shared" ref="C77:AH77" si="230">C57-C72</f>
        <v>3255</v>
      </c>
      <c r="D77" s="718">
        <f t="shared" si="230"/>
        <v>2372</v>
      </c>
      <c r="E77" s="718">
        <f t="shared" si="230"/>
        <v>2173</v>
      </c>
      <c r="F77" s="718">
        <f t="shared" si="230"/>
        <v>4092</v>
      </c>
      <c r="G77" s="718">
        <f t="shared" si="230"/>
        <v>3159</v>
      </c>
      <c r="H77" s="718">
        <f t="shared" si="230"/>
        <v>866</v>
      </c>
      <c r="I77" s="718">
        <f t="shared" si="230"/>
        <v>3637.625771028258</v>
      </c>
      <c r="J77" s="718">
        <f t="shared" ca="1" si="230"/>
        <v>3819.5070595796706</v>
      </c>
      <c r="K77" s="718">
        <f t="shared" si="230"/>
        <v>4087.5554236688204</v>
      </c>
      <c r="L77" s="718">
        <f t="shared" ca="1" si="230"/>
        <v>4292.2985913020893</v>
      </c>
      <c r="M77" s="718">
        <f t="shared" ca="1" si="230"/>
        <v>4421.0675490411522</v>
      </c>
      <c r="N77" s="718">
        <f t="shared" ca="1" si="230"/>
        <v>4436.9127205209743</v>
      </c>
      <c r="O77" s="718">
        <f t="shared" ca="1" si="230"/>
        <v>4453.0394562647507</v>
      </c>
      <c r="P77" s="718">
        <f t="shared" ca="1" si="230"/>
        <v>4469.4495411465941</v>
      </c>
      <c r="Q77" s="718">
        <f t="shared" ca="1" si="230"/>
        <v>4486.1447806498318</v>
      </c>
      <c r="R77" s="718">
        <f t="shared" ca="1" si="230"/>
        <v>4503.1270010297276</v>
      </c>
      <c r="S77" s="718">
        <f t="shared" ca="1" si="230"/>
        <v>4519.4079411027669</v>
      </c>
      <c r="T77" s="718">
        <f t="shared" ca="1" si="230"/>
        <v>4535.9619076345643</v>
      </c>
      <c r="U77" s="718">
        <f t="shared" ca="1" si="230"/>
        <v>4552.7905536512972</v>
      </c>
      <c r="V77" s="718">
        <f t="shared" ca="1" si="230"/>
        <v>4569.8955508033769</v>
      </c>
      <c r="W77" s="718">
        <f t="shared" ca="1" si="230"/>
        <v>4587.2785895050019</v>
      </c>
      <c r="X77" s="718">
        <f t="shared" ca="1" si="230"/>
        <v>4603.9460541134631</v>
      </c>
      <c r="Y77" s="718">
        <f t="shared" ca="1" si="230"/>
        <v>4620.8779026912871</v>
      </c>
      <c r="Z77" s="718">
        <f t="shared" ca="1" si="230"/>
        <v>4638.0756625524045</v>
      </c>
      <c r="AA77" s="718">
        <f t="shared" ca="1" si="230"/>
        <v>4655.5408778239071</v>
      </c>
      <c r="AB77" s="718">
        <f t="shared" ca="1" si="230"/>
        <v>4673.2751095653848</v>
      </c>
      <c r="AC77" s="718">
        <f t="shared" ca="1" si="230"/>
        <v>4690.2809975002283</v>
      </c>
      <c r="AD77" s="718">
        <f t="shared" ca="1" si="230"/>
        <v>4707.5425629448964</v>
      </c>
      <c r="AE77" s="718">
        <f t="shared" ca="1" si="230"/>
        <v>4725.0612137480084</v>
      </c>
      <c r="AF77" s="718">
        <f t="shared" ca="1" si="230"/>
        <v>4742.8383729227207</v>
      </c>
      <c r="AG77" s="718">
        <f t="shared" ca="1" si="230"/>
        <v>4760.8754787484959</v>
      </c>
      <c r="AH77" s="718">
        <f t="shared" ca="1" si="230"/>
        <v>4778.1729929660796</v>
      </c>
    </row>
    <row r="78" spans="2:34" ht="13.5" thickTop="1"/>
    <row r="80" spans="2:34" ht="15">
      <c r="B80" s="668"/>
      <c r="C80" s="1006" t="s">
        <v>499</v>
      </c>
      <c r="D80" s="1006"/>
      <c r="E80" s="1006"/>
      <c r="F80" s="1006"/>
      <c r="G80" s="1006"/>
      <c r="H80" s="1006"/>
      <c r="I80" s="1007" t="s">
        <v>500</v>
      </c>
      <c r="J80" s="1008"/>
      <c r="K80" s="1008"/>
      <c r="L80" s="1008"/>
      <c r="M80" s="1008"/>
    </row>
    <row r="81" spans="2:34" ht="15">
      <c r="B81" s="666"/>
      <c r="C81" s="666">
        <v>2017</v>
      </c>
      <c r="D81" s="666">
        <v>2018</v>
      </c>
      <c r="E81" s="666">
        <v>2019</v>
      </c>
      <c r="F81" s="6">
        <v>2020</v>
      </c>
      <c r="G81" s="6">
        <v>2021</v>
      </c>
      <c r="H81" s="688">
        <v>2022</v>
      </c>
      <c r="I81" s="6">
        <v>2023</v>
      </c>
      <c r="J81" s="6">
        <f>I81+1</f>
        <v>2024</v>
      </c>
      <c r="K81" s="6">
        <f t="shared" ref="K81" si="231">J81+1</f>
        <v>2025</v>
      </c>
      <c r="L81" s="6">
        <f t="shared" ref="L81" si="232">K81+1</f>
        <v>2026</v>
      </c>
      <c r="M81" s="688">
        <f t="shared" ref="M81" si="233">L81+1</f>
        <v>2027</v>
      </c>
      <c r="N81" s="6">
        <f>M81+1</f>
        <v>2028</v>
      </c>
      <c r="O81" s="6">
        <f t="shared" ref="O81" si="234">N81+1</f>
        <v>2029</v>
      </c>
      <c r="P81" s="6">
        <f t="shared" ref="P81" si="235">O81+1</f>
        <v>2030</v>
      </c>
      <c r="Q81" s="6">
        <f t="shared" ref="Q81" si="236">P81+1</f>
        <v>2031</v>
      </c>
      <c r="R81" s="688">
        <f t="shared" ref="R81" si="237">Q81+1</f>
        <v>2032</v>
      </c>
      <c r="S81" s="6">
        <f t="shared" ref="S81" si="238">R81+1</f>
        <v>2033</v>
      </c>
      <c r="T81" s="6">
        <f t="shared" ref="T81" si="239">S81+1</f>
        <v>2034</v>
      </c>
      <c r="U81" s="6">
        <f t="shared" ref="U81" si="240">T81+1</f>
        <v>2035</v>
      </c>
      <c r="V81" s="6">
        <f t="shared" ref="V81" si="241">U81+1</f>
        <v>2036</v>
      </c>
      <c r="W81" s="688">
        <f t="shared" ref="W81" si="242">V81+1</f>
        <v>2037</v>
      </c>
      <c r="X81" s="6">
        <f t="shared" ref="X81" si="243">W81+1</f>
        <v>2038</v>
      </c>
      <c r="Y81" s="6">
        <f t="shared" ref="Y81" si="244">X81+1</f>
        <v>2039</v>
      </c>
      <c r="Z81" s="6">
        <f t="shared" ref="Z81" si="245">Y81+1</f>
        <v>2040</v>
      </c>
      <c r="AA81" s="6">
        <f t="shared" ref="AA81" si="246">Z81+1</f>
        <v>2041</v>
      </c>
      <c r="AB81" s="688">
        <f t="shared" ref="AB81" si="247">AA81+1</f>
        <v>2042</v>
      </c>
      <c r="AC81" s="6">
        <f t="shared" ref="AC81" si="248">AB81+1</f>
        <v>2043</v>
      </c>
      <c r="AD81" s="6">
        <f t="shared" ref="AD81" si="249">AC81+1</f>
        <v>2044</v>
      </c>
      <c r="AE81" s="6">
        <f t="shared" ref="AE81" si="250">AD81+1</f>
        <v>2045</v>
      </c>
      <c r="AF81" s="6">
        <f t="shared" ref="AF81" si="251">AE81+1</f>
        <v>2046</v>
      </c>
      <c r="AG81" s="688">
        <f t="shared" ref="AG81" si="252">AF81+1</f>
        <v>2047</v>
      </c>
      <c r="AH81" s="6">
        <f t="shared" ref="AH81" si="253">AG81+1</f>
        <v>2048</v>
      </c>
    </row>
    <row r="82" spans="2:34" ht="15.75" thickBot="1">
      <c r="B82" s="713" t="s">
        <v>513</v>
      </c>
      <c r="C82" s="75">
        <v>514</v>
      </c>
      <c r="D82" s="75">
        <v>544</v>
      </c>
      <c r="E82" s="75">
        <v>595</v>
      </c>
      <c r="F82" s="75">
        <v>619</v>
      </c>
      <c r="G82" s="75">
        <v>665</v>
      </c>
      <c r="H82" s="75">
        <v>724</v>
      </c>
      <c r="I82" s="75">
        <f>I83*I$23</f>
        <v>869.37632163221031</v>
      </c>
      <c r="J82" s="75">
        <f t="shared" ref="J82" ca="1" si="254">J83*J$23</f>
        <v>912.84513771382092</v>
      </c>
      <c r="K82" s="75">
        <f t="shared" ref="K82" si="255">K83*K$23</f>
        <v>976.90750021613076</v>
      </c>
      <c r="L82" s="75">
        <f t="shared" ref="L82" ca="1" si="256">L83*L$23</f>
        <v>1025.8402033473883</v>
      </c>
      <c r="M82" s="75">
        <f t="shared" ref="M82" ca="1" si="257">M83*M$23</f>
        <v>1056.61540944781</v>
      </c>
      <c r="N82" s="75">
        <f t="shared" ref="N82:AH82" ca="1" si="258">M82*(1+N83)</f>
        <v>1060.4266151484103</v>
      </c>
      <c r="O82" s="75">
        <f t="shared" ca="1" si="258"/>
        <v>1064.2515678460377</v>
      </c>
      <c r="P82" s="75">
        <f t="shared" ca="1" si="258"/>
        <v>1068.0903171260311</v>
      </c>
      <c r="Q82" s="75">
        <f t="shared" ca="1" si="258"/>
        <v>1071.9429127525837</v>
      </c>
      <c r="R82" s="689">
        <f t="shared" ca="1" si="258"/>
        <v>1075.809404669388</v>
      </c>
      <c r="S82" s="75">
        <f t="shared" ca="1" si="258"/>
        <v>1079.6898430002827</v>
      </c>
      <c r="T82" s="75">
        <f t="shared" ca="1" si="258"/>
        <v>1083.5842780499036</v>
      </c>
      <c r="U82" s="75">
        <f t="shared" ca="1" si="258"/>
        <v>1087.4927603043341</v>
      </c>
      <c r="V82" s="75">
        <f t="shared" ca="1" si="258"/>
        <v>1091.4153404317615</v>
      </c>
      <c r="W82" s="689">
        <f t="shared" ca="1" si="258"/>
        <v>1095.3520692831323</v>
      </c>
      <c r="X82" s="75">
        <f t="shared" ca="1" si="258"/>
        <v>1099.3029978928125</v>
      </c>
      <c r="Y82" s="75">
        <f t="shared" ca="1" si="258"/>
        <v>1103.2681774792486</v>
      </c>
      <c r="Z82" s="75">
        <f t="shared" ca="1" si="258"/>
        <v>1107.2476594456316</v>
      </c>
      <c r="AA82" s="75">
        <f t="shared" ca="1" si="258"/>
        <v>1111.2414953805637</v>
      </c>
      <c r="AB82" s="689">
        <f t="shared" ca="1" si="258"/>
        <v>1115.2497370587269</v>
      </c>
      <c r="AC82" s="75">
        <f t="shared" ca="1" si="258"/>
        <v>1119.272436441554</v>
      </c>
      <c r="AD82" s="75">
        <f t="shared" ca="1" si="258"/>
        <v>1123.3096456779026</v>
      </c>
      <c r="AE82" s="75">
        <f t="shared" ca="1" si="258"/>
        <v>1127.3614171047309</v>
      </c>
      <c r="AF82" s="75">
        <f t="shared" ca="1" si="258"/>
        <v>1131.427803247776</v>
      </c>
      <c r="AG82" s="689">
        <f t="shared" ca="1" si="258"/>
        <v>1135.5088568222352</v>
      </c>
      <c r="AH82" s="75">
        <f t="shared" ca="1" si="258"/>
        <v>1139.6046307334493</v>
      </c>
    </row>
    <row r="83" spans="2:34" ht="13.5" thickTop="1">
      <c r="B83" s="671" t="s">
        <v>504</v>
      </c>
      <c r="C83" s="672">
        <f>C82/C$23</f>
        <v>3.9837240844797523E-3</v>
      </c>
      <c r="D83" s="672">
        <f>D82/D$23</f>
        <v>3.8424591738712775E-3</v>
      </c>
      <c r="E83" s="672">
        <f t="shared" ref="E83" si="259">E82/E$23</f>
        <v>3.8964525909772566E-3</v>
      </c>
      <c r="F83" s="672">
        <f t="shared" ref="F83" si="260">F82/F$23</f>
        <v>3.7118990651291367E-3</v>
      </c>
      <c r="G83" s="672">
        <f t="shared" ref="G83" si="261">G82/G$23</f>
        <v>3.3940866334233317E-3</v>
      </c>
      <c r="H83" s="672">
        <f t="shared" ref="H83" si="262">H82/H$23</f>
        <v>3.1900737594402389E-3</v>
      </c>
      <c r="I83" s="672">
        <f>$H$84</f>
        <v>3.6069942445682486E-3</v>
      </c>
      <c r="J83" s="672">
        <f t="shared" ref="J83:M83" si="263">$H$84</f>
        <v>3.6069942445682486E-3</v>
      </c>
      <c r="K83" s="672">
        <f t="shared" si="263"/>
        <v>3.6069942445682486E-3</v>
      </c>
      <c r="L83" s="672">
        <f t="shared" si="263"/>
        <v>3.6069942445682486E-3</v>
      </c>
      <c r="M83" s="672">
        <f t="shared" si="263"/>
        <v>3.6069942445682486E-3</v>
      </c>
      <c r="N83" s="736">
        <f>$H$84</f>
        <v>3.6069942445682486E-3</v>
      </c>
      <c r="O83" s="672">
        <f>N83</f>
        <v>3.6069942445682486E-3</v>
      </c>
      <c r="P83" s="672">
        <f t="shared" ref="P83:AH83" si="264">O83</f>
        <v>3.6069942445682486E-3</v>
      </c>
      <c r="Q83" s="672">
        <f t="shared" si="264"/>
        <v>3.6069942445682486E-3</v>
      </c>
      <c r="R83" s="672">
        <f t="shared" si="264"/>
        <v>3.6069942445682486E-3</v>
      </c>
      <c r="S83" s="672">
        <f t="shared" si="264"/>
        <v>3.6069942445682486E-3</v>
      </c>
      <c r="T83" s="672">
        <f t="shared" si="264"/>
        <v>3.6069942445682486E-3</v>
      </c>
      <c r="U83" s="672">
        <f t="shared" si="264"/>
        <v>3.6069942445682486E-3</v>
      </c>
      <c r="V83" s="672">
        <f t="shared" si="264"/>
        <v>3.6069942445682486E-3</v>
      </c>
      <c r="W83" s="672">
        <f t="shared" si="264"/>
        <v>3.6069942445682486E-3</v>
      </c>
      <c r="X83" s="672">
        <f t="shared" si="264"/>
        <v>3.6069942445682486E-3</v>
      </c>
      <c r="Y83" s="672">
        <f t="shared" si="264"/>
        <v>3.6069942445682486E-3</v>
      </c>
      <c r="Z83" s="672">
        <f t="shared" si="264"/>
        <v>3.6069942445682486E-3</v>
      </c>
      <c r="AA83" s="672">
        <f t="shared" si="264"/>
        <v>3.6069942445682486E-3</v>
      </c>
      <c r="AB83" s="672">
        <f t="shared" si="264"/>
        <v>3.6069942445682486E-3</v>
      </c>
      <c r="AC83" s="672">
        <f t="shared" si="264"/>
        <v>3.6069942445682486E-3</v>
      </c>
      <c r="AD83" s="672">
        <f t="shared" si="264"/>
        <v>3.6069942445682486E-3</v>
      </c>
      <c r="AE83" s="672">
        <f t="shared" si="264"/>
        <v>3.6069942445682486E-3</v>
      </c>
      <c r="AF83" s="672">
        <f t="shared" si="264"/>
        <v>3.6069942445682486E-3</v>
      </c>
      <c r="AG83" s="672">
        <f t="shared" si="264"/>
        <v>3.6069942445682486E-3</v>
      </c>
      <c r="AH83" s="672">
        <f t="shared" si="264"/>
        <v>3.6069942445682486E-3</v>
      </c>
    </row>
    <row r="84" spans="2:34">
      <c r="B84" s="680" t="s">
        <v>503</v>
      </c>
      <c r="C84" s="680"/>
      <c r="D84" s="680"/>
      <c r="E84" s="680"/>
      <c r="F84" s="680"/>
      <c r="G84" s="680"/>
      <c r="H84" s="691">
        <f>AVERAGE(D83:H83)</f>
        <v>3.6069942445682486E-3</v>
      </c>
      <c r="I84" s="687"/>
      <c r="J84" s="687"/>
      <c r="K84" s="687"/>
      <c r="L84" s="687"/>
      <c r="M84" s="691"/>
      <c r="N84" s="687"/>
      <c r="O84" s="687"/>
      <c r="P84" s="687"/>
      <c r="Q84" s="687"/>
      <c r="R84" s="691">
        <f>AVERAGE(N83:R83)</f>
        <v>3.6069942445682486E-3</v>
      </c>
      <c r="S84" s="687"/>
      <c r="T84" s="687"/>
      <c r="U84" s="687"/>
      <c r="V84" s="687"/>
      <c r="W84" s="691">
        <f>AVERAGE(S83:W83)</f>
        <v>3.6069942445682486E-3</v>
      </c>
      <c r="X84" s="687"/>
      <c r="Y84" s="687"/>
      <c r="Z84" s="687"/>
      <c r="AA84" s="687"/>
      <c r="AB84" s="691">
        <f>AVERAGE(X83:AB83)</f>
        <v>3.6069942445682486E-3</v>
      </c>
      <c r="AC84" s="687"/>
      <c r="AD84" s="687"/>
      <c r="AE84" s="687"/>
      <c r="AF84" s="687"/>
      <c r="AG84" s="691">
        <f>AVERAGE(AC83:AG83)</f>
        <v>3.6069942445682486E-3</v>
      </c>
      <c r="AH84" s="686"/>
    </row>
    <row r="87" spans="2:34" ht="15.75" thickBot="1">
      <c r="B87" s="713" t="s">
        <v>514</v>
      </c>
      <c r="D87" s="666"/>
      <c r="E87" s="666"/>
      <c r="F87" s="6"/>
      <c r="G87" s="6"/>
      <c r="H87" s="688"/>
    </row>
    <row r="88" spans="2:34" ht="13.5" thickTop="1">
      <c r="C88" s="75"/>
      <c r="D88" s="75"/>
      <c r="E88" s="75"/>
      <c r="F88" s="75"/>
      <c r="G88" s="75"/>
      <c r="H88" s="75"/>
    </row>
    <row r="89" spans="2:34">
      <c r="C89" s="11" t="s">
        <v>515</v>
      </c>
      <c r="D89" s="672" t="s">
        <v>516</v>
      </c>
      <c r="E89" s="672"/>
      <c r="F89" s="672"/>
      <c r="G89" s="672"/>
      <c r="H89" s="672"/>
    </row>
    <row r="90" spans="2:34">
      <c r="B90" s="671" t="s">
        <v>517</v>
      </c>
      <c r="C90" s="672">
        <v>2.75E-2</v>
      </c>
      <c r="D90" s="75">
        <v>1000</v>
      </c>
      <c r="E90">
        <f>C90*D90</f>
        <v>27.5</v>
      </c>
    </row>
    <row r="91" spans="2:34">
      <c r="B91" s="671" t="s">
        <v>518</v>
      </c>
      <c r="C91" s="672">
        <v>0.03</v>
      </c>
      <c r="D91" s="75">
        <v>1000</v>
      </c>
      <c r="E91">
        <f t="shared" ref="E91:E95" si="265">C91*D91</f>
        <v>30</v>
      </c>
    </row>
    <row r="92" spans="2:34">
      <c r="B92" s="671" t="s">
        <v>519</v>
      </c>
      <c r="C92" s="672">
        <v>1.38E-2</v>
      </c>
      <c r="D92" s="75">
        <v>1250</v>
      </c>
      <c r="E92">
        <f t="shared" si="265"/>
        <v>17.25</v>
      </c>
      <c r="F92" s="721">
        <f>SUM(E90:E92)/(SUM(D90:D92))</f>
        <v>2.3E-2</v>
      </c>
    </row>
    <row r="93" spans="2:34">
      <c r="B93" s="671" t="s">
        <v>520</v>
      </c>
      <c r="C93" s="672">
        <v>1.6E-2</v>
      </c>
      <c r="D93" s="75">
        <v>1750</v>
      </c>
      <c r="E93">
        <f t="shared" si="265"/>
        <v>28</v>
      </c>
    </row>
    <row r="94" spans="2:34">
      <c r="B94" s="671" t="s">
        <v>521</v>
      </c>
      <c r="C94" s="672">
        <v>1.7500000000000002E-2</v>
      </c>
      <c r="D94" s="75">
        <v>1000</v>
      </c>
      <c r="E94">
        <f t="shared" si="265"/>
        <v>17.5</v>
      </c>
    </row>
    <row r="95" spans="2:34">
      <c r="B95" s="671" t="s">
        <v>522</v>
      </c>
      <c r="C95" s="672">
        <v>3.9699999999999999E-2</v>
      </c>
      <c r="D95" s="75">
        <v>1620</v>
      </c>
      <c r="E95">
        <f t="shared" si="265"/>
        <v>64.313999999999993</v>
      </c>
    </row>
    <row r="96" spans="2:34">
      <c r="D96" s="370">
        <f>SUM(D90:D95)</f>
        <v>7620</v>
      </c>
      <c r="E96" s="370">
        <f>SUM(E90:E95)</f>
        <v>184.56399999999999</v>
      </c>
      <c r="F96" s="721">
        <f>SUM(E93:E95)/SUM(D93:D95)</f>
        <v>2.5129061784897024E-2</v>
      </c>
    </row>
    <row r="97" spans="2:34">
      <c r="D97" s="370"/>
      <c r="E97" s="370"/>
      <c r="F97" s="370"/>
    </row>
    <row r="98" spans="2:34">
      <c r="D98" s="370"/>
      <c r="E98" s="370"/>
      <c r="F98" s="370"/>
    </row>
    <row r="99" spans="2:34" ht="15">
      <c r="B99" s="668"/>
      <c r="C99" s="1006" t="s">
        <v>499</v>
      </c>
      <c r="D99" s="1006"/>
      <c r="E99" s="1006"/>
      <c r="F99" s="1006"/>
      <c r="G99" s="1006"/>
      <c r="H99" s="1006"/>
      <c r="I99" s="1007" t="s">
        <v>500</v>
      </c>
      <c r="J99" s="1007"/>
      <c r="K99" s="1007"/>
      <c r="L99" s="1007"/>
      <c r="M99" s="1007"/>
    </row>
    <row r="100" spans="2:34" ht="15">
      <c r="B100" s="666"/>
      <c r="C100" s="666">
        <v>2017</v>
      </c>
      <c r="D100" s="666">
        <v>2018</v>
      </c>
      <c r="E100" s="666">
        <v>2019</v>
      </c>
      <c r="F100" s="6">
        <v>2020</v>
      </c>
      <c r="G100" s="6">
        <v>2021</v>
      </c>
      <c r="H100" s="688">
        <v>2022</v>
      </c>
      <c r="I100" s="6">
        <v>2023</v>
      </c>
      <c r="J100" s="6">
        <f>I100+1</f>
        <v>2024</v>
      </c>
      <c r="K100" s="6">
        <f t="shared" ref="K100" si="266">J100+1</f>
        <v>2025</v>
      </c>
      <c r="L100" s="6">
        <f t="shared" ref="L100" si="267">K100+1</f>
        <v>2026</v>
      </c>
      <c r="M100" s="688">
        <f t="shared" ref="M100" si="268">L100+1</f>
        <v>2027</v>
      </c>
      <c r="N100" s="6">
        <f>M100+1</f>
        <v>2028</v>
      </c>
      <c r="O100" s="6">
        <f t="shared" ref="O100" si="269">N100+1</f>
        <v>2029</v>
      </c>
      <c r="P100" s="6">
        <f t="shared" ref="P100" si="270">O100+1</f>
        <v>2030</v>
      </c>
      <c r="Q100" s="6">
        <f t="shared" ref="Q100" si="271">P100+1</f>
        <v>2031</v>
      </c>
      <c r="R100" s="688">
        <f t="shared" ref="R100" si="272">Q100+1</f>
        <v>2032</v>
      </c>
      <c r="S100" s="6">
        <f t="shared" ref="S100" si="273">R100+1</f>
        <v>2033</v>
      </c>
      <c r="T100" s="6">
        <f t="shared" ref="T100" si="274">S100+1</f>
        <v>2034</v>
      </c>
      <c r="U100" s="6">
        <f t="shared" ref="U100" si="275">T100+1</f>
        <v>2035</v>
      </c>
      <c r="V100" s="6">
        <f t="shared" ref="V100" si="276">U100+1</f>
        <v>2036</v>
      </c>
      <c r="W100" s="688">
        <f t="shared" ref="W100" si="277">V100+1</f>
        <v>2037</v>
      </c>
      <c r="X100" s="6">
        <f t="shared" ref="X100" si="278">W100+1</f>
        <v>2038</v>
      </c>
      <c r="Y100" s="6">
        <f t="shared" ref="Y100" si="279">X100+1</f>
        <v>2039</v>
      </c>
      <c r="Z100" s="6">
        <f t="shared" ref="Z100" si="280">Y100+1</f>
        <v>2040</v>
      </c>
      <c r="AA100" s="6">
        <f t="shared" ref="AA100" si="281">Z100+1</f>
        <v>2041</v>
      </c>
      <c r="AB100" s="688">
        <f t="shared" ref="AB100" si="282">AA100+1</f>
        <v>2042</v>
      </c>
      <c r="AC100" s="6">
        <f t="shared" ref="AC100" si="283">AB100+1</f>
        <v>2043</v>
      </c>
      <c r="AD100" s="6">
        <f t="shared" ref="AD100" si="284">AC100+1</f>
        <v>2044</v>
      </c>
      <c r="AE100" s="6">
        <f t="shared" ref="AE100" si="285">AD100+1</f>
        <v>2045</v>
      </c>
      <c r="AF100" s="6">
        <f t="shared" ref="AF100" si="286">AE100+1</f>
        <v>2046</v>
      </c>
      <c r="AG100" s="688">
        <f t="shared" ref="AG100" si="287">AF100+1</f>
        <v>2047</v>
      </c>
      <c r="AH100" s="6">
        <f t="shared" ref="AH100" si="288">AG100+1</f>
        <v>2048</v>
      </c>
    </row>
    <row r="101" spans="2:34" ht="15.75" thickBot="1">
      <c r="B101" s="713" t="s">
        <v>135</v>
      </c>
      <c r="C101" s="75">
        <f>'Fin. Data'!G27</f>
        <v>-804</v>
      </c>
      <c r="D101" s="75">
        <f>'Fin. Data'!F27</f>
        <v>-689</v>
      </c>
      <c r="E101" s="75">
        <f>'Fin. Data'!E27</f>
        <v>-1038</v>
      </c>
      <c r="F101" s="75">
        <f>'Fin. Data'!D27</f>
        <v>-1479</v>
      </c>
      <c r="G101" s="75">
        <f>'Fin. Data'!C27</f>
        <v>-1318</v>
      </c>
      <c r="H101" s="75">
        <f>'Fin. Data'!B27</f>
        <v>-1498</v>
      </c>
      <c r="I101" s="75">
        <f>-I102*I77</f>
        <v>-1179.4033388726502</v>
      </c>
      <c r="J101" s="75">
        <f ca="1">-J102*J77</f>
        <v>-1238.3735058162827</v>
      </c>
      <c r="K101" s="75">
        <f>-K102*K77</f>
        <v>-1325.2810536195664</v>
      </c>
      <c r="L101" s="75">
        <f ca="1">-L102*L77</f>
        <v>-1391.6635763741767</v>
      </c>
      <c r="M101" s="75">
        <f ca="1">-M102*M77</f>
        <v>-1433.4134836654021</v>
      </c>
      <c r="N101" s="75">
        <f t="shared" ref="N101:AH101" ca="1" si="289">M101*(1+N102)</f>
        <v>-1898.1596546664318</v>
      </c>
      <c r="O101" s="75">
        <f t="shared" ca="1" si="289"/>
        <v>-2513.5874021430855</v>
      </c>
      <c r="P101" s="75">
        <f t="shared" ca="1" si="289"/>
        <v>-3328.5512167956831</v>
      </c>
      <c r="Q101" s="75">
        <f t="shared" ca="1" si="289"/>
        <v>-4407.7453576453509</v>
      </c>
      <c r="R101" s="689">
        <f t="shared" ca="1" si="289"/>
        <v>-5836.8394753280154</v>
      </c>
      <c r="S101" s="75">
        <f t="shared" ca="1" si="289"/>
        <v>-7729.2793245540752</v>
      </c>
      <c r="T101" s="75">
        <f t="shared" ca="1" si="289"/>
        <v>-10235.292426578473</v>
      </c>
      <c r="U101" s="75">
        <f t="shared" ca="1" si="289"/>
        <v>-13553.81357803609</v>
      </c>
      <c r="V101" s="75">
        <f t="shared" ca="1" si="289"/>
        <v>-17948.276888613138</v>
      </c>
      <c r="W101" s="689">
        <f t="shared" ca="1" si="289"/>
        <v>-23767.52796661984</v>
      </c>
      <c r="X101" s="75">
        <f t="shared" ca="1" si="289"/>
        <v>-31473.516324145905</v>
      </c>
      <c r="Y101" s="75">
        <f t="shared" ca="1" si="289"/>
        <v>-41677.966307539253</v>
      </c>
      <c r="Z101" s="75">
        <f t="shared" ca="1" si="289"/>
        <v>-55190.937601075799</v>
      </c>
      <c r="AA101" s="75">
        <f t="shared" ca="1" si="289"/>
        <v>-73085.130181479981</v>
      </c>
      <c r="AB101" s="689">
        <f t="shared" ca="1" si="289"/>
        <v>-96781.038442437304</v>
      </c>
      <c r="AC101" s="75">
        <f t="shared" ca="1" si="289"/>
        <v>-128159.71427755694</v>
      </c>
      <c r="AD101" s="75">
        <f t="shared" ca="1" si="289"/>
        <v>-169712.09059173422</v>
      </c>
      <c r="AE101" s="75">
        <f t="shared" ca="1" si="289"/>
        <v>-224736.71898674624</v>
      </c>
      <c r="AF101" s="75">
        <f t="shared" ca="1" si="289"/>
        <v>-297601.61862850602</v>
      </c>
      <c r="AG101" s="689">
        <f t="shared" ca="1" si="289"/>
        <v>-394091.02264027414</v>
      </c>
      <c r="AH101" s="75">
        <f t="shared" ca="1" si="289"/>
        <v>-521864.54778502596</v>
      </c>
    </row>
    <row r="102" spans="2:34" ht="13.5" thickTop="1">
      <c r="B102" s="671" t="s">
        <v>523</v>
      </c>
      <c r="C102" s="672">
        <f>-C101/'Fin. Data'!H23</f>
        <v>0.34212765957446811</v>
      </c>
      <c r="D102" s="672">
        <f>-D101/'Fin. Data'!G23</f>
        <v>0.25718551698394926</v>
      </c>
      <c r="E102" s="672">
        <f>-E101/'Fin. Data'!F23</f>
        <v>0.33120612635609442</v>
      </c>
      <c r="F102" s="672">
        <f>-F101/'Fin. Data'!E23</f>
        <v>0.40420880021863898</v>
      </c>
      <c r="G102" s="672">
        <f>-G101/'Fin. Data'!D23</f>
        <v>0.32933533233383311</v>
      </c>
      <c r="H102" s="672">
        <f>-H101/'Fin. Data'!C23</f>
        <v>0.29918114639504695</v>
      </c>
      <c r="I102" s="672">
        <f>$H$103</f>
        <v>0.32422338445751253</v>
      </c>
      <c r="J102" s="672">
        <f t="shared" ref="J102:M102" si="290">$H$103</f>
        <v>0.32422338445751253</v>
      </c>
      <c r="K102" s="672">
        <f t="shared" si="290"/>
        <v>0.32422338445751253</v>
      </c>
      <c r="L102" s="672">
        <f t="shared" si="290"/>
        <v>0.32422338445751253</v>
      </c>
      <c r="M102" s="672">
        <f t="shared" si="290"/>
        <v>0.32422338445751253</v>
      </c>
      <c r="N102" s="736">
        <f>$H$103</f>
        <v>0.32422338445751253</v>
      </c>
      <c r="O102" s="672">
        <f t="shared" ref="O102:AH102" si="291">$H$103</f>
        <v>0.32422338445751253</v>
      </c>
      <c r="P102" s="672">
        <f t="shared" si="291"/>
        <v>0.32422338445751253</v>
      </c>
      <c r="Q102" s="672">
        <f t="shared" si="291"/>
        <v>0.32422338445751253</v>
      </c>
      <c r="R102" s="672">
        <f t="shared" si="291"/>
        <v>0.32422338445751253</v>
      </c>
      <c r="S102" s="672">
        <f t="shared" si="291"/>
        <v>0.32422338445751253</v>
      </c>
      <c r="T102" s="672">
        <f t="shared" si="291"/>
        <v>0.32422338445751253</v>
      </c>
      <c r="U102" s="672">
        <f t="shared" si="291"/>
        <v>0.32422338445751253</v>
      </c>
      <c r="V102" s="672">
        <f t="shared" si="291"/>
        <v>0.32422338445751253</v>
      </c>
      <c r="W102" s="672">
        <f t="shared" si="291"/>
        <v>0.32422338445751253</v>
      </c>
      <c r="X102" s="672">
        <f t="shared" si="291"/>
        <v>0.32422338445751253</v>
      </c>
      <c r="Y102" s="672">
        <f t="shared" si="291"/>
        <v>0.32422338445751253</v>
      </c>
      <c r="Z102" s="672">
        <f t="shared" si="291"/>
        <v>0.32422338445751253</v>
      </c>
      <c r="AA102" s="672">
        <f t="shared" si="291"/>
        <v>0.32422338445751253</v>
      </c>
      <c r="AB102" s="672">
        <f t="shared" si="291"/>
        <v>0.32422338445751253</v>
      </c>
      <c r="AC102" s="672">
        <f t="shared" si="291"/>
        <v>0.32422338445751253</v>
      </c>
      <c r="AD102" s="672">
        <f t="shared" si="291"/>
        <v>0.32422338445751253</v>
      </c>
      <c r="AE102" s="672">
        <f t="shared" si="291"/>
        <v>0.32422338445751253</v>
      </c>
      <c r="AF102" s="672">
        <f t="shared" si="291"/>
        <v>0.32422338445751253</v>
      </c>
      <c r="AG102" s="672">
        <f t="shared" si="291"/>
        <v>0.32422338445751253</v>
      </c>
      <c r="AH102" s="672">
        <f t="shared" si="291"/>
        <v>0.32422338445751253</v>
      </c>
    </row>
    <row r="103" spans="2:34">
      <c r="B103" s="680" t="s">
        <v>503</v>
      </c>
      <c r="C103" s="680"/>
      <c r="D103" s="680"/>
      <c r="E103" s="680"/>
      <c r="F103" s="680"/>
      <c r="G103" s="680"/>
      <c r="H103" s="691">
        <f>AVERAGE(D102:H102)</f>
        <v>0.32422338445751253</v>
      </c>
      <c r="I103" s="687"/>
      <c r="J103" s="687"/>
      <c r="K103" s="687"/>
      <c r="L103" s="687"/>
      <c r="M103" s="691"/>
      <c r="N103" s="687"/>
      <c r="O103" s="687"/>
      <c r="P103" s="687"/>
      <c r="Q103" s="687"/>
      <c r="R103" s="691">
        <f>AVERAGE(N102:R102)</f>
        <v>0.32422338445751253</v>
      </c>
      <c r="S103" s="687"/>
      <c r="T103" s="687"/>
      <c r="U103" s="687"/>
      <c r="V103" s="687"/>
      <c r="W103" s="691">
        <f>AVERAGE(S102:W102)</f>
        <v>0.32422338445751253</v>
      </c>
      <c r="X103" s="687"/>
      <c r="Y103" s="687"/>
      <c r="Z103" s="687"/>
      <c r="AA103" s="687"/>
      <c r="AB103" s="691">
        <f>AVERAGE(X102:AB102)</f>
        <v>0.32422338445751253</v>
      </c>
      <c r="AC103" s="687"/>
      <c r="AD103" s="687"/>
      <c r="AE103" s="687"/>
      <c r="AF103" s="687"/>
      <c r="AG103" s="691">
        <f>AVERAGE(AC102:AG102)</f>
        <v>0.32422338445751253</v>
      </c>
      <c r="AH103" s="686"/>
    </row>
    <row r="106" spans="2:34" ht="15">
      <c r="B106" s="668"/>
      <c r="C106" s="1006" t="s">
        <v>499</v>
      </c>
      <c r="D106" s="1006"/>
      <c r="E106" s="1006"/>
      <c r="F106" s="1006"/>
      <c r="G106" s="1006"/>
      <c r="H106" s="1006"/>
      <c r="I106" s="1007" t="s">
        <v>500</v>
      </c>
      <c r="J106" s="1008"/>
      <c r="K106" s="1008"/>
      <c r="L106" s="1008"/>
      <c r="M106" s="1008"/>
    </row>
    <row r="107" spans="2:34" ht="15">
      <c r="B107" s="666"/>
      <c r="C107" s="666">
        <v>2017</v>
      </c>
      <c r="D107" s="666">
        <v>2018</v>
      </c>
      <c r="E107" s="666">
        <v>2019</v>
      </c>
      <c r="F107" s="6">
        <v>2020</v>
      </c>
      <c r="G107" s="6">
        <v>2021</v>
      </c>
      <c r="H107" s="688">
        <v>2022</v>
      </c>
      <c r="I107" s="6">
        <v>2023</v>
      </c>
      <c r="J107" s="6">
        <f>I107+1</f>
        <v>2024</v>
      </c>
      <c r="K107" s="6">
        <f t="shared" ref="K107" si="292">J107+1</f>
        <v>2025</v>
      </c>
      <c r="L107" s="6">
        <f t="shared" ref="L107" si="293">K107+1</f>
        <v>2026</v>
      </c>
      <c r="M107" s="688">
        <f t="shared" ref="M107" si="294">L107+1</f>
        <v>2027</v>
      </c>
      <c r="N107" s="6">
        <f>M107+1</f>
        <v>2028</v>
      </c>
      <c r="O107" s="6">
        <f t="shared" ref="O107" si="295">N107+1</f>
        <v>2029</v>
      </c>
      <c r="P107" s="6">
        <f t="shared" ref="P107" si="296">O107+1</f>
        <v>2030</v>
      </c>
      <c r="Q107" s="6">
        <f t="shared" ref="Q107" si="297">P107+1</f>
        <v>2031</v>
      </c>
      <c r="R107" s="688">
        <f t="shared" ref="R107" si="298">Q107+1</f>
        <v>2032</v>
      </c>
      <c r="S107" s="6">
        <f t="shared" ref="S107" si="299">R107+1</f>
        <v>2033</v>
      </c>
      <c r="T107" s="6">
        <f t="shared" ref="T107" si="300">S107+1</f>
        <v>2034</v>
      </c>
      <c r="U107" s="6">
        <f t="shared" ref="U107" si="301">T107+1</f>
        <v>2035</v>
      </c>
      <c r="V107" s="6">
        <f t="shared" ref="V107" si="302">U107+1</f>
        <v>2036</v>
      </c>
      <c r="W107" s="688">
        <f t="shared" ref="W107" si="303">V107+1</f>
        <v>2037</v>
      </c>
      <c r="X107" s="6">
        <f t="shared" ref="X107" si="304">W107+1</f>
        <v>2038</v>
      </c>
      <c r="Y107" s="6">
        <f t="shared" ref="Y107" si="305">X107+1</f>
        <v>2039</v>
      </c>
      <c r="Z107" s="6">
        <f t="shared" ref="Z107" si="306">Y107+1</f>
        <v>2040</v>
      </c>
      <c r="AA107" s="6">
        <f t="shared" ref="AA107" si="307">Z107+1</f>
        <v>2041</v>
      </c>
      <c r="AB107" s="688">
        <f t="shared" ref="AB107" si="308">AA107+1</f>
        <v>2042</v>
      </c>
      <c r="AC107" s="6">
        <f t="shared" ref="AC107" si="309">AB107+1</f>
        <v>2043</v>
      </c>
      <c r="AD107" s="6">
        <f t="shared" ref="AD107" si="310">AC107+1</f>
        <v>2044</v>
      </c>
      <c r="AE107" s="6">
        <f t="shared" ref="AE107" si="311">AD107+1</f>
        <v>2045</v>
      </c>
      <c r="AF107" s="6">
        <f t="shared" ref="AF107" si="312">AE107+1</f>
        <v>2046</v>
      </c>
      <c r="AG107" s="688">
        <f t="shared" ref="AG107" si="313">AF107+1</f>
        <v>2047</v>
      </c>
      <c r="AH107" s="6">
        <f t="shared" ref="AH107" si="314">AG107+1</f>
        <v>2048</v>
      </c>
    </row>
    <row r="108" spans="2:34" ht="15.75" thickBot="1">
      <c r="B108" s="713" t="s">
        <v>468</v>
      </c>
      <c r="C108" s="75">
        <f>'Fin. Data'!G28</f>
        <v>-671</v>
      </c>
      <c r="D108" s="75">
        <f>'Fin. Data'!F28</f>
        <v>-545</v>
      </c>
      <c r="E108" s="75">
        <f>'Fin. Data'!E28</f>
        <v>-519</v>
      </c>
      <c r="F108" s="75">
        <f>'Fin. Data'!D28</f>
        <v>-526</v>
      </c>
      <c r="G108" s="75">
        <f>'Fin. Data'!C28</f>
        <v>-808</v>
      </c>
      <c r="H108" s="75">
        <f>'Fin. Data'!B28</f>
        <v>-802</v>
      </c>
      <c r="I108" s="75">
        <f>-I109*H77</f>
        <v>-151.52698330583937</v>
      </c>
      <c r="J108" s="75">
        <f>-J109*I77</f>
        <v>-636.48782849825625</v>
      </c>
      <c r="K108" s="75">
        <f ca="1">-K109*J77</f>
        <v>-668.3122199231691</v>
      </c>
      <c r="L108" s="75">
        <f>-L109*K77</f>
        <v>-715.21355940410922</v>
      </c>
      <c r="M108" s="75">
        <f ca="1">-M109*L77</f>
        <v>-751.03817204146605</v>
      </c>
      <c r="N108" s="75">
        <f t="shared" ref="N108:AH108" ca="1" si="315">M108*(1+N109)</f>
        <v>-863.69389784768589</v>
      </c>
      <c r="O108" s="75">
        <f t="shared" ca="1" si="315"/>
        <v>-993.24798252483868</v>
      </c>
      <c r="P108" s="75">
        <f t="shared" ca="1" si="315"/>
        <v>-1142.2351799035644</v>
      </c>
      <c r="Q108" s="75">
        <f t="shared" ca="1" si="315"/>
        <v>-1313.570456889099</v>
      </c>
      <c r="R108" s="689">
        <f t="shared" ca="1" si="315"/>
        <v>-1510.6060254224637</v>
      </c>
      <c r="S108" s="75">
        <f t="shared" ca="1" si="315"/>
        <v>-1737.1969292358331</v>
      </c>
      <c r="T108" s="75">
        <f t="shared" ca="1" si="315"/>
        <v>-1997.7764686212079</v>
      </c>
      <c r="U108" s="75">
        <f t="shared" ca="1" si="315"/>
        <v>-2297.4429389143888</v>
      </c>
      <c r="V108" s="75">
        <f t="shared" ca="1" si="315"/>
        <v>-2642.0593797515471</v>
      </c>
      <c r="W108" s="689">
        <f t="shared" ca="1" si="315"/>
        <v>-3038.3682867142788</v>
      </c>
      <c r="X108" s="75">
        <f t="shared" ca="1" si="315"/>
        <v>-3494.1235297214203</v>
      </c>
      <c r="Y108" s="75">
        <f t="shared" ca="1" si="315"/>
        <v>-4018.2420591796331</v>
      </c>
      <c r="Z108" s="75">
        <f t="shared" ca="1" si="315"/>
        <v>-4620.9783680565779</v>
      </c>
      <c r="AA108" s="75">
        <f t="shared" ca="1" si="315"/>
        <v>-5314.1251232650638</v>
      </c>
      <c r="AB108" s="689">
        <f t="shared" ca="1" si="315"/>
        <v>-6111.2438917548234</v>
      </c>
      <c r="AC108" s="75">
        <f t="shared" ca="1" si="315"/>
        <v>-7027.9304755180465</v>
      </c>
      <c r="AD108" s="75">
        <f t="shared" ca="1" si="315"/>
        <v>-8082.1200468457528</v>
      </c>
      <c r="AE108" s="75">
        <f t="shared" ca="1" si="315"/>
        <v>-9294.4380538726145</v>
      </c>
      <c r="AF108" s="75">
        <f t="shared" ca="1" si="315"/>
        <v>-10688.603761953505</v>
      </c>
      <c r="AG108" s="689">
        <f t="shared" ca="1" si="315"/>
        <v>-12291.894326246531</v>
      </c>
      <c r="AH108" s="75">
        <f t="shared" ca="1" si="315"/>
        <v>-14135.678475183509</v>
      </c>
    </row>
    <row r="109" spans="2:34" ht="13.5" thickTop="1">
      <c r="B109" s="671" t="s">
        <v>524</v>
      </c>
      <c r="C109" s="672">
        <f>-C108/'Fin. Data'!H23</f>
        <v>0.28553191489361701</v>
      </c>
      <c r="D109" s="672">
        <f>-D108/'Fin. Data'!G23</f>
        <v>0.20343411720791341</v>
      </c>
      <c r="E109" s="672">
        <f>-E108/'Fin. Data'!F23</f>
        <v>0.16560306317804721</v>
      </c>
      <c r="F109" s="672">
        <f>-F108/'Fin. Data'!E23</f>
        <v>0.14375512435091556</v>
      </c>
      <c r="G109" s="672">
        <f>-G108/'Fin. Data'!D23</f>
        <v>0.20189905047476261</v>
      </c>
      <c r="H109" s="672">
        <f>-H108/'Fin. Data'!C23</f>
        <v>0.16017575394447772</v>
      </c>
      <c r="I109" s="672">
        <f>$H$110</f>
        <v>0.1749734218312233</v>
      </c>
      <c r="J109" s="672">
        <f t="shared" ref="J109:M109" si="316">$H$110</f>
        <v>0.1749734218312233</v>
      </c>
      <c r="K109" s="672">
        <f t="shared" si="316"/>
        <v>0.1749734218312233</v>
      </c>
      <c r="L109" s="672">
        <f t="shared" si="316"/>
        <v>0.1749734218312233</v>
      </c>
      <c r="M109" s="672">
        <f t="shared" si="316"/>
        <v>0.1749734218312233</v>
      </c>
      <c r="N109" s="736">
        <v>0.15</v>
      </c>
      <c r="O109" s="672">
        <v>0.15</v>
      </c>
      <c r="P109" s="672">
        <v>0.15</v>
      </c>
      <c r="Q109" s="672">
        <v>0.15</v>
      </c>
      <c r="R109" s="672">
        <v>0.15</v>
      </c>
      <c r="S109" s="672">
        <v>0.15</v>
      </c>
      <c r="T109" s="672">
        <v>0.15</v>
      </c>
      <c r="U109" s="672">
        <v>0.15</v>
      </c>
      <c r="V109" s="672">
        <v>0.15</v>
      </c>
      <c r="W109" s="672">
        <v>0.15</v>
      </c>
      <c r="X109" s="672">
        <v>0.15</v>
      </c>
      <c r="Y109" s="672">
        <v>0.15</v>
      </c>
      <c r="Z109" s="672">
        <v>0.15</v>
      </c>
      <c r="AA109" s="672">
        <v>0.15</v>
      </c>
      <c r="AB109" s="672">
        <v>0.15</v>
      </c>
      <c r="AC109" s="672">
        <v>0.15</v>
      </c>
      <c r="AD109" s="672">
        <v>0.15</v>
      </c>
      <c r="AE109" s="672">
        <v>0.15</v>
      </c>
      <c r="AF109" s="672">
        <v>0.15</v>
      </c>
      <c r="AG109" s="672">
        <v>0.15</v>
      </c>
      <c r="AH109" s="672">
        <v>0.15</v>
      </c>
    </row>
    <row r="110" spans="2:34">
      <c r="B110" s="680" t="s">
        <v>503</v>
      </c>
      <c r="C110" s="680"/>
      <c r="D110" s="680"/>
      <c r="E110" s="680"/>
      <c r="F110" s="680"/>
      <c r="G110" s="680"/>
      <c r="H110" s="691">
        <f>AVERAGE(D109:H109)</f>
        <v>0.1749734218312233</v>
      </c>
      <c r="I110" s="687"/>
      <c r="J110" s="687"/>
      <c r="K110" s="687"/>
      <c r="L110" s="687"/>
      <c r="M110" s="691"/>
      <c r="N110" s="687"/>
      <c r="O110" s="687"/>
      <c r="P110" s="687"/>
      <c r="Q110" s="687"/>
      <c r="R110" s="691">
        <f>AVERAGE(N109:R109)</f>
        <v>0.15</v>
      </c>
      <c r="S110" s="687"/>
      <c r="T110" s="687"/>
      <c r="U110" s="687"/>
      <c r="V110" s="687"/>
      <c r="W110" s="691">
        <f>AVERAGE(S109:W109)</f>
        <v>0.15</v>
      </c>
      <c r="X110" s="687"/>
      <c r="Y110" s="687"/>
      <c r="Z110" s="687"/>
      <c r="AA110" s="687"/>
      <c r="AB110" s="691">
        <f>AVERAGE(X109:AB109)</f>
        <v>0.15</v>
      </c>
      <c r="AC110" s="687"/>
      <c r="AD110" s="687"/>
      <c r="AE110" s="687"/>
      <c r="AF110" s="687"/>
      <c r="AG110" s="691">
        <f>AVERAGE(AC109:AG109)</f>
        <v>0.15</v>
      </c>
      <c r="AH110" s="686"/>
    </row>
    <row r="114" spans="2:34" ht="25.5">
      <c r="B114" s="723" t="s">
        <v>36</v>
      </c>
      <c r="C114" s="724" t="s">
        <v>180</v>
      </c>
      <c r="D114" s="731" t="s">
        <v>525</v>
      </c>
      <c r="E114" s="731" t="s">
        <v>526</v>
      </c>
    </row>
    <row r="115" spans="2:34">
      <c r="B115" s="723" t="s">
        <v>527</v>
      </c>
      <c r="C115" s="725">
        <f>Segments!B5</f>
        <v>0.86788071591600058</v>
      </c>
      <c r="D115" s="730">
        <v>0</v>
      </c>
      <c r="E115" s="728">
        <v>0.05</v>
      </c>
      <c r="H115" s="11" t="s">
        <v>528</v>
      </c>
      <c r="I115" s="784" t="s">
        <v>529</v>
      </c>
    </row>
    <row r="116" spans="2:34">
      <c r="B116" s="723" t="s">
        <v>530</v>
      </c>
      <c r="C116" s="725">
        <f>Segments!B6</f>
        <v>0.13211928408399939</v>
      </c>
      <c r="D116" s="728">
        <f>0.32*0+(1-0.32)*(AVERAGE(0.0075,0.0289,0.0107,0.0091,0.0091,0.0243,0))</f>
        <v>8.7039999999999999E-3</v>
      </c>
      <c r="E116" s="728">
        <f>0.32*0.05+(1-0.32)*(AVERAGE(0.0591,0.0743,0.062,0.0607,0.05))</f>
        <v>5.7629599999999996E-2</v>
      </c>
    </row>
    <row r="117" spans="2:34">
      <c r="B117" s="726" t="s">
        <v>444</v>
      </c>
      <c r="C117" s="727">
        <v>1</v>
      </c>
      <c r="D117" s="729">
        <f>D115*$C$115+D116*$C$116</f>
        <v>1.1499662486671308E-3</v>
      </c>
      <c r="E117" s="729">
        <f>E115*$C$115+E116*$C$116</f>
        <v>5.1008017289847288E-2</v>
      </c>
    </row>
    <row r="119" spans="2:34">
      <c r="B119" s="723" t="s">
        <v>443</v>
      </c>
      <c r="C119" s="729">
        <f>C121+C120*(C122-C121)</f>
        <v>4.8726413831877827E-2</v>
      </c>
    </row>
    <row r="120" spans="2:34">
      <c r="B120" s="723" t="s">
        <v>531</v>
      </c>
      <c r="C120">
        <v>0.8</v>
      </c>
    </row>
    <row r="121" spans="2:34">
      <c r="B121" s="723" t="s">
        <v>532</v>
      </c>
      <c r="C121" s="347">
        <f>3.96%</f>
        <v>3.9599999999999996E-2</v>
      </c>
    </row>
    <row r="122" spans="2:34">
      <c r="B122" s="723" t="s">
        <v>533</v>
      </c>
      <c r="C122" s="372">
        <f>E117</f>
        <v>5.1008017289847288E-2</v>
      </c>
    </row>
    <row r="123" spans="2:34">
      <c r="B123" s="372"/>
      <c r="C123" s="372"/>
    </row>
    <row r="124" spans="2:34">
      <c r="B124" s="372"/>
      <c r="C124" s="372"/>
    </row>
    <row r="125" spans="2:34">
      <c r="B125" s="372"/>
      <c r="C125" s="372"/>
    </row>
    <row r="127" spans="2:34" ht="15">
      <c r="B127" s="668"/>
      <c r="C127" s="1006" t="s">
        <v>499</v>
      </c>
      <c r="D127" s="1006"/>
      <c r="E127" s="1006"/>
      <c r="F127" s="1006"/>
      <c r="G127" s="1006"/>
      <c r="H127" s="1006"/>
      <c r="I127" s="1007" t="s">
        <v>500</v>
      </c>
      <c r="J127" s="1008"/>
      <c r="K127" s="1008"/>
      <c r="L127" s="1008"/>
      <c r="M127" s="1008"/>
    </row>
    <row r="128" spans="2:34" ht="15">
      <c r="B128" s="666"/>
      <c r="C128" s="666">
        <v>2017</v>
      </c>
      <c r="D128" s="666">
        <v>2018</v>
      </c>
      <c r="E128" s="666">
        <v>2019</v>
      </c>
      <c r="F128" s="6">
        <v>2020</v>
      </c>
      <c r="G128" s="6">
        <v>2021</v>
      </c>
      <c r="H128" s="688">
        <v>2022</v>
      </c>
      <c r="I128" s="6">
        <v>2023</v>
      </c>
      <c r="J128" s="6">
        <f>I128+1</f>
        <v>2024</v>
      </c>
      <c r="K128" s="6">
        <f t="shared" ref="K128" si="317">J128+1</f>
        <v>2025</v>
      </c>
      <c r="L128" s="6">
        <f t="shared" ref="L128" si="318">K128+1</f>
        <v>2026</v>
      </c>
      <c r="M128" s="688">
        <f t="shared" ref="M128" si="319">L128+1</f>
        <v>2027</v>
      </c>
      <c r="N128" s="6">
        <f>M128+1</f>
        <v>2028</v>
      </c>
      <c r="O128" s="6">
        <f t="shared" ref="O128" si="320">N128+1</f>
        <v>2029</v>
      </c>
      <c r="P128" s="6">
        <f t="shared" ref="P128" si="321">O128+1</f>
        <v>2030</v>
      </c>
      <c r="Q128" s="6">
        <f t="shared" ref="Q128" si="322">P128+1</f>
        <v>2031</v>
      </c>
      <c r="R128" s="688">
        <f t="shared" ref="R128" si="323">Q128+1</f>
        <v>2032</v>
      </c>
      <c r="S128" s="6">
        <f t="shared" ref="S128" si="324">R128+1</f>
        <v>2033</v>
      </c>
      <c r="T128" s="6">
        <f t="shared" ref="T128" si="325">S128+1</f>
        <v>2034</v>
      </c>
      <c r="U128" s="6">
        <f t="shared" ref="U128" si="326">T128+1</f>
        <v>2035</v>
      </c>
      <c r="V128" s="6">
        <f t="shared" ref="V128" si="327">U128+1</f>
        <v>2036</v>
      </c>
      <c r="W128" s="688">
        <f t="shared" ref="W128" si="328">V128+1</f>
        <v>2037</v>
      </c>
      <c r="X128" s="6">
        <f t="shared" ref="X128" si="329">W128+1</f>
        <v>2038</v>
      </c>
      <c r="Y128" s="6">
        <f t="shared" ref="Y128" si="330">X128+1</f>
        <v>2039</v>
      </c>
      <c r="Z128" s="6">
        <f t="shared" ref="Z128" si="331">Y128+1</f>
        <v>2040</v>
      </c>
      <c r="AA128" s="6">
        <f t="shared" ref="AA128" si="332">Z128+1</f>
        <v>2041</v>
      </c>
      <c r="AB128" s="688">
        <f t="shared" ref="AB128" si="333">AA128+1</f>
        <v>2042</v>
      </c>
      <c r="AC128" s="6">
        <f t="shared" ref="AC128" si="334">AB128+1</f>
        <v>2043</v>
      </c>
      <c r="AD128" s="6">
        <f t="shared" ref="AD128" si="335">AC128+1</f>
        <v>2044</v>
      </c>
      <c r="AE128" s="6">
        <f t="shared" ref="AE128" si="336">AD128+1</f>
        <v>2045</v>
      </c>
      <c r="AF128" s="6">
        <f t="shared" ref="AF128" si="337">AE128+1</f>
        <v>2046</v>
      </c>
      <c r="AG128" s="688">
        <f t="shared" ref="AG128" si="338">AF128+1</f>
        <v>2047</v>
      </c>
      <c r="AH128" s="6">
        <f t="shared" ref="AH128" si="339">AG128+1</f>
        <v>2048</v>
      </c>
    </row>
    <row r="129" spans="2:34" ht="15.75" thickBot="1">
      <c r="B129" s="713" t="s">
        <v>60</v>
      </c>
      <c r="C129" s="733">
        <f>'Fin. Data'!G58/'Fin. Data'!G19</f>
        <v>0.42217713814746721</v>
      </c>
      <c r="D129" s="733">
        <f>'Fin. Data'!F58/'Fin. Data'!F19</f>
        <v>0.38717843056454937</v>
      </c>
      <c r="E129" s="733">
        <f>'Fin. Data'!E58/'Fin. Data'!E19</f>
        <v>0.39643189405133256</v>
      </c>
      <c r="F129" s="733">
        <f>'Fin. Data'!D58/'Fin. Data'!D19</f>
        <v>0.54951918310696934</v>
      </c>
      <c r="G129" s="733">
        <f>'Fin. Data'!C58/'Fin. Data'!C19</f>
        <v>0.48827155209314271</v>
      </c>
      <c r="H129" s="733">
        <f>'Fin. Data'!B58/'Fin. Data'!B19</f>
        <v>0.4269161512565568</v>
      </c>
      <c r="I129" s="734">
        <f>$H$130</f>
        <v>0.44966344221451016</v>
      </c>
      <c r="J129" s="734">
        <f t="shared" ref="J129:M129" si="340">$H$130</f>
        <v>0.44966344221451016</v>
      </c>
      <c r="K129" s="734">
        <f t="shared" si="340"/>
        <v>0.44966344221451016</v>
      </c>
      <c r="L129" s="734">
        <f t="shared" si="340"/>
        <v>0.44966344221451016</v>
      </c>
      <c r="M129" s="734">
        <f t="shared" si="340"/>
        <v>0.44966344221451016</v>
      </c>
      <c r="N129" s="737">
        <f>H130</f>
        <v>0.44966344221451016</v>
      </c>
      <c r="O129" s="708">
        <f>N129</f>
        <v>0.44966344221451016</v>
      </c>
      <c r="P129" s="708">
        <f t="shared" ref="P129:AH129" si="341">O129</f>
        <v>0.44966344221451016</v>
      </c>
      <c r="Q129" s="708">
        <f t="shared" si="341"/>
        <v>0.44966344221451016</v>
      </c>
      <c r="R129" s="708">
        <f t="shared" si="341"/>
        <v>0.44966344221451016</v>
      </c>
      <c r="S129" s="708">
        <f t="shared" si="341"/>
        <v>0.44966344221451016</v>
      </c>
      <c r="T129" s="708">
        <f t="shared" si="341"/>
        <v>0.44966344221451016</v>
      </c>
      <c r="U129" s="708">
        <f t="shared" si="341"/>
        <v>0.44966344221451016</v>
      </c>
      <c r="V129" s="708">
        <f t="shared" si="341"/>
        <v>0.44966344221451016</v>
      </c>
      <c r="W129" s="708">
        <f t="shared" si="341"/>
        <v>0.44966344221451016</v>
      </c>
      <c r="X129" s="708">
        <f t="shared" si="341"/>
        <v>0.44966344221451016</v>
      </c>
      <c r="Y129" s="708">
        <f t="shared" si="341"/>
        <v>0.44966344221451016</v>
      </c>
      <c r="Z129" s="708">
        <f t="shared" si="341"/>
        <v>0.44966344221451016</v>
      </c>
      <c r="AA129" s="708">
        <f t="shared" si="341"/>
        <v>0.44966344221451016</v>
      </c>
      <c r="AB129" s="708">
        <f t="shared" si="341"/>
        <v>0.44966344221451016</v>
      </c>
      <c r="AC129" s="708">
        <f t="shared" si="341"/>
        <v>0.44966344221451016</v>
      </c>
      <c r="AD129" s="708">
        <f t="shared" si="341"/>
        <v>0.44966344221451016</v>
      </c>
      <c r="AE129" s="708">
        <f t="shared" si="341"/>
        <v>0.44966344221451016</v>
      </c>
      <c r="AF129" s="708">
        <f t="shared" si="341"/>
        <v>0.44966344221451016</v>
      </c>
      <c r="AG129" s="708">
        <f t="shared" si="341"/>
        <v>0.44966344221451016</v>
      </c>
      <c r="AH129" s="708">
        <f t="shared" si="341"/>
        <v>0.44966344221451016</v>
      </c>
    </row>
    <row r="130" spans="2:34" ht="13.5" thickTop="1">
      <c r="B130" s="680" t="s">
        <v>503</v>
      </c>
      <c r="C130" s="680"/>
      <c r="D130" s="680"/>
      <c r="E130" s="680"/>
      <c r="F130" s="680"/>
      <c r="G130" s="680"/>
      <c r="H130" s="735">
        <f>AVERAGE(D129:H129)</f>
        <v>0.44966344221451016</v>
      </c>
      <c r="I130" s="687"/>
      <c r="J130" s="687"/>
      <c r="K130" s="687"/>
      <c r="L130" s="687"/>
      <c r="M130" s="691"/>
      <c r="N130" s="687"/>
      <c r="O130" s="687"/>
      <c r="P130" s="687"/>
      <c r="Q130" s="687"/>
      <c r="R130" s="691" t="e">
        <f>AVERAGE(#REF!)</f>
        <v>#REF!</v>
      </c>
      <c r="S130" s="687"/>
      <c r="T130" s="687"/>
      <c r="U130" s="687"/>
      <c r="V130" s="687"/>
      <c r="W130" s="691" t="e">
        <f>AVERAGE(#REF!)</f>
        <v>#REF!</v>
      </c>
      <c r="X130" s="687"/>
      <c r="Y130" s="687"/>
      <c r="Z130" s="687"/>
      <c r="AA130" s="687"/>
      <c r="AB130" s="691" t="e">
        <f>AVERAGE(#REF!)</f>
        <v>#REF!</v>
      </c>
      <c r="AC130" s="687"/>
      <c r="AD130" s="687"/>
      <c r="AE130" s="687"/>
      <c r="AF130" s="687"/>
      <c r="AG130" s="691" t="e">
        <f>AVERAGE(#REF!)</f>
        <v>#REF!</v>
      </c>
      <c r="AH130" s="686"/>
    </row>
    <row r="134" spans="2:34" s="669" customFormat="1" ht="15">
      <c r="B134" s="670" t="s">
        <v>534</v>
      </c>
      <c r="C134" s="670"/>
    </row>
    <row r="136" spans="2:34" ht="15">
      <c r="C136" s="1006" t="s">
        <v>499</v>
      </c>
      <c r="D136" s="1006"/>
      <c r="E136" s="1006"/>
      <c r="F136" s="1006"/>
      <c r="G136" s="1006"/>
    </row>
    <row r="137" spans="2:34" ht="15">
      <c r="C137" s="666">
        <v>2018</v>
      </c>
      <c r="D137" s="666">
        <v>2019</v>
      </c>
      <c r="E137" s="6">
        <v>2020</v>
      </c>
      <c r="F137" s="6">
        <v>2021</v>
      </c>
      <c r="G137" s="688">
        <v>2022</v>
      </c>
      <c r="H137" s="717" t="s">
        <v>500</v>
      </c>
      <c r="I137" s="717" t="s">
        <v>535</v>
      </c>
    </row>
    <row r="138" spans="2:34">
      <c r="B138" s="671" t="s">
        <v>447</v>
      </c>
      <c r="C138" s="716">
        <f>D58</f>
        <v>1.0150025428038651E-2</v>
      </c>
      <c r="D138" s="716">
        <f>E58</f>
        <v>9.7706004466185988E-3</v>
      </c>
      <c r="E138" s="716">
        <f>F58</f>
        <v>9.8644167401250888E-3</v>
      </c>
      <c r="F138" s="716">
        <f>G58</f>
        <v>9.0900275099653448E-3</v>
      </c>
      <c r="G138" s="716">
        <f>H58</f>
        <v>8.3717405289177541E-3</v>
      </c>
      <c r="H138" s="720">
        <f>AVERAGE(C138:G138)</f>
        <v>9.4493621307330869E-3</v>
      </c>
      <c r="I138" s="720">
        <f>AVERAGE(N58,S58,X58,AC58,AH58)</f>
        <v>8.4356469838205005E-3</v>
      </c>
    </row>
    <row r="139" spans="2:34">
      <c r="B139" s="671" t="s">
        <v>449</v>
      </c>
      <c r="C139" s="716">
        <f>C138</f>
        <v>1.0150025428038651E-2</v>
      </c>
      <c r="D139" s="716">
        <f t="shared" ref="D139:G139" si="342">D138</f>
        <v>9.7706004466185988E-3</v>
      </c>
      <c r="E139" s="716">
        <f t="shared" si="342"/>
        <v>9.8644167401250888E-3</v>
      </c>
      <c r="F139" s="716">
        <f t="shared" si="342"/>
        <v>9.0900275099653448E-3</v>
      </c>
      <c r="G139" s="716">
        <f t="shared" si="342"/>
        <v>8.3717405289177541E-3</v>
      </c>
      <c r="H139" s="720">
        <f>AVERAGE(C139:G139)</f>
        <v>9.4493621307330869E-3</v>
      </c>
      <c r="I139" s="720">
        <f>AVERAGE(D139:H139)</f>
        <v>9.309229471271975E-3</v>
      </c>
    </row>
    <row r="140" spans="2:34">
      <c r="B140" s="671" t="s">
        <v>450</v>
      </c>
      <c r="C140" s="716">
        <f>D83</f>
        <v>3.8424591738712775E-3</v>
      </c>
      <c r="D140" s="716">
        <f>E83</f>
        <v>3.8964525909772566E-3</v>
      </c>
      <c r="E140" s="716">
        <f>F83</f>
        <v>3.7118990651291367E-3</v>
      </c>
      <c r="F140" s="716">
        <f>G83</f>
        <v>3.3940866334233317E-3</v>
      </c>
      <c r="G140" s="716">
        <f>H83</f>
        <v>3.1900737594402389E-3</v>
      </c>
      <c r="H140" s="720">
        <f>AVERAGE(C140:G140)</f>
        <v>3.6069942445682486E-3</v>
      </c>
      <c r="I140" s="720">
        <f>AVERAGE(D140:H140)</f>
        <v>3.5599012587076428E-3</v>
      </c>
    </row>
    <row r="141" spans="2:34">
      <c r="B141" s="671" t="s">
        <v>452</v>
      </c>
      <c r="C141" s="716">
        <f>D48</f>
        <v>0.27905435262925321</v>
      </c>
      <c r="D141" s="716">
        <f>E48</f>
        <v>0.22398142284146083</v>
      </c>
      <c r="E141" s="716">
        <f>F48</f>
        <v>0.24066237350505978</v>
      </c>
      <c r="F141" s="716">
        <f>G48</f>
        <v>0.23867024448419796</v>
      </c>
      <c r="G141" s="716">
        <f>H48</f>
        <v>0.24701655331707942</v>
      </c>
      <c r="H141" s="720">
        <f>AVERAGE(C141:G141)</f>
        <v>0.24587698935541025</v>
      </c>
      <c r="I141" s="720">
        <f>AVERAGE(D141:H141)</f>
        <v>0.23924151670064164</v>
      </c>
    </row>
    <row r="142" spans="2:34">
      <c r="B142" s="671" t="s">
        <v>454</v>
      </c>
      <c r="C142" s="741"/>
      <c r="D142" s="741"/>
      <c r="E142" s="741"/>
      <c r="F142" s="741"/>
      <c r="G142" s="741"/>
      <c r="H142" s="720">
        <f>F92</f>
        <v>2.3E-2</v>
      </c>
      <c r="I142" s="720">
        <f>F96</f>
        <v>2.5129061784897024E-2</v>
      </c>
    </row>
    <row r="143" spans="2:34">
      <c r="B143" s="671" t="s">
        <v>456</v>
      </c>
      <c r="C143" s="741"/>
      <c r="D143" s="741"/>
      <c r="E143" s="741"/>
      <c r="F143" s="741"/>
      <c r="G143" s="741"/>
      <c r="H143" s="720">
        <f>H147</f>
        <v>-1.8582322566070213E-2</v>
      </c>
      <c r="I143" s="720">
        <f>I147</f>
        <v>-1.8104573370746085E-2</v>
      </c>
    </row>
    <row r="144" spans="2:34">
      <c r="B144" s="671" t="s">
        <v>458</v>
      </c>
      <c r="C144" s="741"/>
      <c r="D144" s="741"/>
      <c r="E144" s="741"/>
      <c r="F144" s="741"/>
      <c r="G144" s="741"/>
      <c r="H144" s="720">
        <f>H147</f>
        <v>-1.8582322566070213E-2</v>
      </c>
      <c r="I144" s="720">
        <f>I147</f>
        <v>-1.8104573370746085E-2</v>
      </c>
    </row>
    <row r="145" spans="2:9">
      <c r="B145" s="671" t="s">
        <v>460</v>
      </c>
      <c r="C145" s="716">
        <f>D73</f>
        <v>-6.6042267050912583E-3</v>
      </c>
      <c r="D145" s="716">
        <f>E73</f>
        <v>-4.4596373352193477E-3</v>
      </c>
      <c r="E145" s="716">
        <f>F73</f>
        <v>-1.4673694688806136E-2</v>
      </c>
      <c r="F145" s="716">
        <f>G73</f>
        <v>-7.0331599712140621E-3</v>
      </c>
      <c r="G145" s="716">
        <f>H73</f>
        <v>4.5559893194215568E-3</v>
      </c>
      <c r="H145" s="720">
        <f t="shared" ref="H145:I151" si="343">AVERAGE(C145:G145)</f>
        <v>-5.6429458761818501E-3</v>
      </c>
      <c r="I145" s="720">
        <f>AVERAGE(D145:H145)</f>
        <v>-5.4506897103999679E-3</v>
      </c>
    </row>
    <row r="146" spans="2:9">
      <c r="B146" s="671" t="s">
        <v>462</v>
      </c>
      <c r="C146" s="714">
        <f>0/D23</f>
        <v>0</v>
      </c>
      <c r="D146" s="714">
        <f>53/E23</f>
        <v>3.470789702887304E-4</v>
      </c>
      <c r="E146" s="714">
        <f>DCF!D38/F23</f>
        <v>5.9246466499961025E-3</v>
      </c>
      <c r="F146" s="714">
        <f>DCF!E38/G23</f>
        <v>5.083474115623517E-3</v>
      </c>
      <c r="G146" s="714">
        <f>DCF!F38/H23</f>
        <v>4.3753359711659629E-3</v>
      </c>
      <c r="H146" s="720">
        <f t="shared" si="343"/>
        <v>3.1461071414148624E-3</v>
      </c>
      <c r="I146" s="720">
        <f>AVERAGE(D146:H146)</f>
        <v>3.7753285696978346E-3</v>
      </c>
    </row>
    <row r="147" spans="2:9">
      <c r="B147" s="671" t="s">
        <v>536</v>
      </c>
      <c r="C147" s="714">
        <f>'Fin. Data'!F32/'Fin. Data'!F5</f>
        <v>-2.0971068542690853E-2</v>
      </c>
      <c r="D147" s="714">
        <f>'Fin. Data'!E32/'Fin. Data'!E5</f>
        <v>-1.9632882130671957E-2</v>
      </c>
      <c r="E147" s="714">
        <f>'Fin. Data'!D32/'Fin. Data'!D5</f>
        <v>-1.685046263814681E-2</v>
      </c>
      <c r="F147" s="714">
        <f>'Fin. Data'!C32/'Fin. Data'!C5</f>
        <v>-1.8312756151463029E-2</v>
      </c>
      <c r="G147" s="714">
        <f>'Fin. Data'!B32/'Fin. Data'!B5</f>
        <v>-1.7144443367378411E-2</v>
      </c>
      <c r="H147" s="720">
        <f>AVERAGE(C147:G147)</f>
        <v>-1.8582322566070213E-2</v>
      </c>
      <c r="I147" s="720">
        <f>AVERAGE(D147:H147)</f>
        <v>-1.8104573370746085E-2</v>
      </c>
    </row>
    <row r="148" spans="2:9">
      <c r="B148" s="671" t="s">
        <v>466</v>
      </c>
      <c r="C148" s="714">
        <f>'Fin. Data'!F33/D23</f>
        <v>1.836469458100243E-4</v>
      </c>
      <c r="D148" s="714">
        <f>'Fin. Data'!E33/E23</f>
        <v>1.0674315501332653E-3</v>
      </c>
      <c r="E148" s="714">
        <f>'Fin. Data'!D33/F23</f>
        <v>-6.1105414335486117E-3</v>
      </c>
      <c r="F148" s="714">
        <f>'Fin. Data'!C33/G23</f>
        <v>5.1549285710640082E-4</v>
      </c>
      <c r="G148" s="714">
        <f>'Fin. Data'!B33/H23</f>
        <v>1.3218537677238559E-5</v>
      </c>
      <c r="H148" s="720">
        <f>AVERAGE(C148:G148)</f>
        <v>-8.6615030856433651E-4</v>
      </c>
      <c r="I148" s="720">
        <f t="shared" si="343"/>
        <v>-1.0761097594392088E-3</v>
      </c>
    </row>
    <row r="149" spans="2:9">
      <c r="B149" s="671" t="s">
        <v>135</v>
      </c>
      <c r="C149" s="716">
        <f>D102</f>
        <v>0.25718551698394926</v>
      </c>
      <c r="D149" s="716">
        <f>E102</f>
        <v>0.33120612635609442</v>
      </c>
      <c r="E149" s="716">
        <f>F102</f>
        <v>0.40420880021863898</v>
      </c>
      <c r="F149" s="716">
        <f>G102</f>
        <v>0.32933533233383311</v>
      </c>
      <c r="G149" s="716">
        <f>H102</f>
        <v>0.29918114639504695</v>
      </c>
      <c r="H149" s="720">
        <f t="shared" si="343"/>
        <v>0.32422338445751253</v>
      </c>
      <c r="I149" s="720">
        <f t="shared" si="343"/>
        <v>0.33763095795222514</v>
      </c>
    </row>
    <row r="150" spans="2:9">
      <c r="B150" s="671" t="s">
        <v>468</v>
      </c>
      <c r="C150" s="716">
        <f>D109</f>
        <v>0.20343411720791341</v>
      </c>
      <c r="D150" s="716">
        <f t="shared" ref="D150:G150" si="344">E109</f>
        <v>0.16560306317804721</v>
      </c>
      <c r="E150" s="716">
        <f t="shared" si="344"/>
        <v>0.14375512435091556</v>
      </c>
      <c r="F150" s="716">
        <f t="shared" si="344"/>
        <v>0.20189905047476261</v>
      </c>
      <c r="G150" s="716">
        <f t="shared" si="344"/>
        <v>0.16017575394447772</v>
      </c>
      <c r="H150" s="720">
        <f t="shared" si="343"/>
        <v>0.1749734218312233</v>
      </c>
      <c r="I150" s="720">
        <f t="shared" si="343"/>
        <v>0.16928128275588528</v>
      </c>
    </row>
    <row r="151" spans="2:9">
      <c r="B151" s="671" t="s">
        <v>469</v>
      </c>
      <c r="C151" s="722">
        <v>7.17E-2</v>
      </c>
      <c r="D151" s="722">
        <v>7.1400000000000005E-2</v>
      </c>
      <c r="E151" s="722">
        <v>2.23E-2</v>
      </c>
      <c r="F151" s="722">
        <v>2.2599999999999999E-2</v>
      </c>
      <c r="G151" s="722">
        <v>2.2599999999999999E-2</v>
      </c>
      <c r="H151" s="720">
        <f t="shared" si="343"/>
        <v>4.2120000000000005E-2</v>
      </c>
      <c r="I151" s="720">
        <f>AVERAGE(D151:H151)</f>
        <v>3.6204E-2</v>
      </c>
    </row>
    <row r="152" spans="2:9">
      <c r="B152" s="671" t="s">
        <v>470</v>
      </c>
    </row>
  </sheetData>
  <mergeCells count="25">
    <mergeCell ref="E11:J11"/>
    <mergeCell ref="C21:H21"/>
    <mergeCell ref="I21:M21"/>
    <mergeCell ref="I80:M80"/>
    <mergeCell ref="C99:H99"/>
    <mergeCell ref="I99:M99"/>
    <mergeCell ref="E12:F12"/>
    <mergeCell ref="G12:H12"/>
    <mergeCell ref="I12:J12"/>
    <mergeCell ref="C45:H45"/>
    <mergeCell ref="I33:M33"/>
    <mergeCell ref="I45:M45"/>
    <mergeCell ref="C33:H33"/>
    <mergeCell ref="C136:G136"/>
    <mergeCell ref="C55:H55"/>
    <mergeCell ref="I55:M55"/>
    <mergeCell ref="C63:H63"/>
    <mergeCell ref="I63:M63"/>
    <mergeCell ref="C70:H70"/>
    <mergeCell ref="I70:M70"/>
    <mergeCell ref="C127:H127"/>
    <mergeCell ref="I127:M127"/>
    <mergeCell ref="C106:H106"/>
    <mergeCell ref="I106:M106"/>
    <mergeCell ref="C80:H80"/>
  </mergeCells>
  <hyperlinks>
    <hyperlink ref="I115" r:id="rId1" xr:uid="{243F9929-EC78-004D-BFC5-A846117611F8}"/>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99"/>
  <sheetViews>
    <sheetView zoomScale="125" workbookViewId="0">
      <selection activeCell="G6" sqref="G6"/>
    </sheetView>
  </sheetViews>
  <sheetFormatPr defaultColWidth="11.42578125" defaultRowHeight="12.75"/>
  <cols>
    <col min="1" max="1" width="36.140625" style="11" customWidth="1"/>
    <col min="2" max="10" width="12.42578125" style="47" customWidth="1"/>
    <col min="11" max="12" width="12.42578125" style="56" customWidth="1"/>
    <col min="13" max="13" width="12.140625" style="56" bestFit="1" customWidth="1"/>
    <col min="14" max="16384" width="11.42578125" style="46"/>
  </cols>
  <sheetData>
    <row r="1" spans="1:25" ht="15.75">
      <c r="A1" s="1012" t="e" vm="1">
        <f>Inputs!H3</f>
        <v>#VALUE!</v>
      </c>
      <c r="B1" s="1012"/>
      <c r="C1" s="1012"/>
      <c r="D1" s="1012"/>
      <c r="E1" s="1012"/>
      <c r="F1" s="1012"/>
      <c r="G1" s="1012"/>
      <c r="H1" s="1012"/>
      <c r="I1" s="1012"/>
      <c r="J1" s="1012"/>
      <c r="K1" s="1012"/>
      <c r="L1" s="1012"/>
      <c r="M1" s="1012"/>
    </row>
    <row r="2" spans="1:25" ht="12">
      <c r="A2" s="1013" t="str">
        <f>Inputs!G2</f>
        <v>Figures in Millions of USD</v>
      </c>
      <c r="B2" s="1013"/>
      <c r="C2" s="1013"/>
      <c r="D2" s="1013"/>
      <c r="E2" s="1013"/>
      <c r="F2" s="1013"/>
      <c r="G2" s="1013"/>
      <c r="H2" s="1013"/>
      <c r="I2" s="1013"/>
      <c r="J2" s="1013"/>
      <c r="K2" s="1013"/>
      <c r="L2" s="1013"/>
      <c r="M2" s="1013"/>
    </row>
    <row r="3" spans="1:25" ht="20.25">
      <c r="A3" s="1011" t="s">
        <v>537</v>
      </c>
      <c r="B3" s="1011"/>
      <c r="C3" s="1011"/>
      <c r="D3" s="1011"/>
      <c r="E3" s="1011"/>
      <c r="F3" s="1011"/>
      <c r="G3" s="1011"/>
      <c r="H3" s="1011"/>
      <c r="I3" s="1011"/>
      <c r="J3" s="1011"/>
      <c r="K3" s="1011"/>
      <c r="L3" s="1011"/>
      <c r="M3" s="1011"/>
    </row>
    <row r="4" spans="1:25">
      <c r="A4" s="140"/>
      <c r="B4" s="59">
        <f>OP!J20</f>
        <v>2022</v>
      </c>
      <c r="C4" s="48">
        <f>B4-1</f>
        <v>2021</v>
      </c>
      <c r="D4" s="48">
        <f t="shared" ref="D4:M4" si="0">C4-1</f>
        <v>2020</v>
      </c>
      <c r="E4" s="48">
        <f t="shared" si="0"/>
        <v>2019</v>
      </c>
      <c r="F4" s="48">
        <f t="shared" si="0"/>
        <v>2018</v>
      </c>
      <c r="G4" s="48">
        <f t="shared" si="0"/>
        <v>2017</v>
      </c>
      <c r="H4" s="48">
        <f t="shared" si="0"/>
        <v>2016</v>
      </c>
      <c r="I4" s="48">
        <f t="shared" si="0"/>
        <v>2015</v>
      </c>
      <c r="J4" s="48">
        <f>I4-1</f>
        <v>2014</v>
      </c>
      <c r="K4" s="48">
        <f t="shared" si="0"/>
        <v>2013</v>
      </c>
      <c r="L4" s="48">
        <f t="shared" si="0"/>
        <v>2012</v>
      </c>
      <c r="M4" s="48">
        <f t="shared" si="0"/>
        <v>2011</v>
      </c>
    </row>
    <row r="5" spans="1:25">
      <c r="A5" s="141" t="s">
        <v>124</v>
      </c>
      <c r="B5" s="61">
        <f>_xlfn.XLOOKUP($A5,Inputs!$A:$A,Inputs!B:B,,0)</f>
        <v>226954</v>
      </c>
      <c r="C5" s="61">
        <f>_xlfn.XLOOKUP($A5,Inputs!$A:$A,Inputs!C:C,,0)</f>
        <v>195929</v>
      </c>
      <c r="D5" s="61">
        <f>_xlfn.XLOOKUP($A5,Inputs!$A:$A,Inputs!D:D,,0)</f>
        <v>166761</v>
      </c>
      <c r="E5" s="61">
        <f>_xlfn.XLOOKUP($A5,Inputs!$A:$A,Inputs!E:E,,0)</f>
        <v>152703</v>
      </c>
      <c r="F5" s="61">
        <f>_xlfn.XLOOKUP($A5,Inputs!$A:$A,Inputs!F:F,,0)</f>
        <v>141576</v>
      </c>
      <c r="G5" s="61">
        <f>_xlfn.XLOOKUP($A5,Inputs!$A:$A,Inputs!G:G,,0)</f>
        <v>129025</v>
      </c>
      <c r="H5" s="61">
        <f>_xlfn.XLOOKUP($A5,Inputs!$A:$A,Inputs!H:H,,0)</f>
        <v>118719</v>
      </c>
      <c r="I5" s="61">
        <f>_xlfn.XLOOKUP($A5,Inputs!$A:$A,Inputs!I:I,,0)</f>
        <v>116199</v>
      </c>
      <c r="J5" s="61">
        <f>_xlfn.XLOOKUP($A5,Inputs!$A:$A,Inputs!J:J,,0)</f>
        <v>112640</v>
      </c>
      <c r="K5" s="61">
        <f>_xlfn.XLOOKUP($A5,Inputs!$A:$A,Inputs!K:K,,0)</f>
        <v>105156</v>
      </c>
      <c r="L5" s="61">
        <f>_xlfn.XLOOKUP($A5,Inputs!$A:$A,Inputs!L:L,,0)</f>
        <v>0</v>
      </c>
      <c r="M5" s="62">
        <f>_xlfn.XLOOKUP($A5,Inputs!$A:$A,Inputs!M:M,,0)</f>
        <v>0</v>
      </c>
    </row>
    <row r="6" spans="1:25">
      <c r="A6" s="142" t="s">
        <v>538</v>
      </c>
      <c r="B6" s="64">
        <f>IFERROR(B5/C5-1,"-")</f>
        <v>0.15834817714580285</v>
      </c>
      <c r="C6" s="64">
        <f t="shared" ref="C6:L6" si="1">IFERROR(C5/D5-1,"-")</f>
        <v>0.17490900150514799</v>
      </c>
      <c r="D6" s="64">
        <f t="shared" si="1"/>
        <v>9.2061059704131587E-2</v>
      </c>
      <c r="E6" s="64">
        <f t="shared" si="1"/>
        <v>7.8593829462620723E-2</v>
      </c>
      <c r="F6" s="64">
        <f t="shared" si="1"/>
        <v>9.7275721759348954E-2</v>
      </c>
      <c r="G6" s="64">
        <f t="shared" si="1"/>
        <v>8.6810030407937999E-2</v>
      </c>
      <c r="H6" s="64">
        <f t="shared" si="1"/>
        <v>2.1686933622492521E-2</v>
      </c>
      <c r="I6" s="64">
        <f t="shared" si="1"/>
        <v>3.1596235795454453E-2</v>
      </c>
      <c r="J6" s="64">
        <f t="shared" si="1"/>
        <v>7.117045151964696E-2</v>
      </c>
      <c r="K6" s="64" t="str">
        <f t="shared" si="1"/>
        <v>-</v>
      </c>
      <c r="L6" s="64" t="str">
        <f t="shared" si="1"/>
        <v>-</v>
      </c>
      <c r="M6" s="65" t="str">
        <f>IFERROR(M5/#REF!-1,"-")</f>
        <v>-</v>
      </c>
      <c r="N6" s="568"/>
    </row>
    <row r="7" spans="1:25">
      <c r="A7" s="141" t="s">
        <v>539</v>
      </c>
      <c r="B7" s="61">
        <f>_xlfn.XLOOKUP($A7,Inputs!$A:$A,Inputs!B:B,,0)</f>
        <v>27572</v>
      </c>
      <c r="C7" s="61">
        <f>_xlfn.XLOOKUP($A7,Inputs!$A:$A,Inputs!C:C,,0)</f>
        <v>25245</v>
      </c>
      <c r="D7" s="61">
        <f>_xlfn.XLOOKUP($A7,Inputs!$A:$A,Inputs!D:D,,0)</f>
        <v>21822</v>
      </c>
      <c r="E7" s="61">
        <f>_xlfn.XLOOKUP($A7,Inputs!$A:$A,Inputs!E:E,,0)</f>
        <v>19817</v>
      </c>
      <c r="F7" s="61">
        <f>_xlfn.XLOOKUP($A7,Inputs!$A:$A,Inputs!F:F,,0)</f>
        <v>18424</v>
      </c>
      <c r="G7" s="61">
        <f>_xlfn.XLOOKUP($A7,Inputs!$A:$A,Inputs!G:G,,0)</f>
        <v>17143</v>
      </c>
      <c r="H7" s="61">
        <f>_xlfn.XLOOKUP($A7,Inputs!$A:$A,Inputs!H:H,,0)</f>
        <v>15818</v>
      </c>
      <c r="I7" s="61">
        <f>_xlfn.XLOOKUP($A7,Inputs!$A:$A,Inputs!I:I,,0)</f>
        <v>15134</v>
      </c>
      <c r="J7" s="61">
        <f>_xlfn.XLOOKUP($A7,Inputs!$A:$A,Inputs!J:J,,0)</f>
        <v>14182</v>
      </c>
      <c r="K7" s="61">
        <f>_xlfn.XLOOKUP($A7,Inputs!$A:$A,Inputs!K:K,,0)</f>
        <v>13208</v>
      </c>
      <c r="L7" s="61">
        <f>_xlfn.XLOOKUP($A7,Inputs!$A:$A,Inputs!L:L,,0)</f>
        <v>0</v>
      </c>
      <c r="M7" s="62">
        <f>_xlfn.XLOOKUP($A7,Inputs!$A:$A,Inputs!M:M,,0)</f>
        <v>0</v>
      </c>
    </row>
    <row r="8" spans="1:25">
      <c r="A8" s="142" t="s">
        <v>540</v>
      </c>
      <c r="B8" s="64">
        <f>IFERROR(B7/B$5,"-")</f>
        <v>0.12148717361227385</v>
      </c>
      <c r="C8" s="64">
        <f t="shared" ref="C8:M8" si="2">IFERROR(C7/C$5,"-")</f>
        <v>0.12884769482822858</v>
      </c>
      <c r="D8" s="64">
        <f t="shared" si="2"/>
        <v>0.13085793440912444</v>
      </c>
      <c r="E8" s="64">
        <f t="shared" si="2"/>
        <v>0.12977479158890134</v>
      </c>
      <c r="F8" s="64">
        <f t="shared" si="2"/>
        <v>0.13013505113861107</v>
      </c>
      <c r="G8" s="64">
        <f t="shared" si="2"/>
        <v>0.13286572369695795</v>
      </c>
      <c r="H8" s="64">
        <f t="shared" si="2"/>
        <v>0.13323899291604546</v>
      </c>
      <c r="I8" s="64">
        <f t="shared" si="2"/>
        <v>0.13024208469952409</v>
      </c>
      <c r="J8" s="64">
        <f t="shared" si="2"/>
        <v>0.12590553977272728</v>
      </c>
      <c r="K8" s="64">
        <f t="shared" si="2"/>
        <v>0.12560386473429952</v>
      </c>
      <c r="L8" s="64" t="str">
        <f t="shared" si="2"/>
        <v>-</v>
      </c>
      <c r="M8" s="65" t="str">
        <f t="shared" si="2"/>
        <v>-</v>
      </c>
    </row>
    <row r="9" spans="1:25">
      <c r="A9" s="141" t="s">
        <v>541</v>
      </c>
      <c r="B9" s="61">
        <f t="shared" ref="B9:M9" si="3">B5-B11</f>
        <v>219161</v>
      </c>
      <c r="C9" s="61">
        <f t="shared" si="3"/>
        <v>189221</v>
      </c>
      <c r="D9" s="61">
        <f t="shared" si="3"/>
        <v>161326</v>
      </c>
      <c r="E9" s="61">
        <f t="shared" si="3"/>
        <v>147966</v>
      </c>
      <c r="F9" s="61">
        <f t="shared" si="3"/>
        <v>137050</v>
      </c>
      <c r="G9" s="61">
        <f t="shared" si="3"/>
        <v>124902</v>
      </c>
      <c r="H9" s="61">
        <f t="shared" si="3"/>
        <v>115008</v>
      </c>
      <c r="I9" s="61">
        <f t="shared" si="3"/>
        <v>112521</v>
      </c>
      <c r="J9" s="61">
        <f t="shared" si="3"/>
        <v>109382</v>
      </c>
      <c r="K9" s="61">
        <f t="shared" si="3"/>
        <v>102050</v>
      </c>
      <c r="L9" s="61">
        <f t="shared" si="3"/>
        <v>0</v>
      </c>
      <c r="M9" s="62">
        <f t="shared" si="3"/>
        <v>0</v>
      </c>
    </row>
    <row r="10" spans="1:25">
      <c r="A10" s="142" t="s">
        <v>540</v>
      </c>
      <c r="B10" s="64">
        <f>IFERROR(B9/B$5,"-")</f>
        <v>0.96566264529376</v>
      </c>
      <c r="C10" s="64">
        <f t="shared" ref="C10:M10" si="4">IFERROR(C9/C$5,"-")</f>
        <v>0.96576310806465604</v>
      </c>
      <c r="D10" s="64">
        <f t="shared" si="4"/>
        <v>0.96740844681910043</v>
      </c>
      <c r="E10" s="64">
        <f t="shared" si="4"/>
        <v>0.96897899844796764</v>
      </c>
      <c r="F10" s="64">
        <f t="shared" si="4"/>
        <v>0.96803130474091659</v>
      </c>
      <c r="G10" s="64">
        <f t="shared" si="4"/>
        <v>0.96804495252857969</v>
      </c>
      <c r="H10" s="64">
        <f t="shared" si="4"/>
        <v>0.96874131352184567</v>
      </c>
      <c r="I10" s="64">
        <f t="shared" si="4"/>
        <v>0.96834740402240982</v>
      </c>
      <c r="J10" s="64">
        <f t="shared" si="4"/>
        <v>0.97107599431818181</v>
      </c>
      <c r="K10" s="64">
        <f t="shared" si="4"/>
        <v>0.97046293126402683</v>
      </c>
      <c r="L10" s="64" t="str">
        <f t="shared" si="4"/>
        <v>-</v>
      </c>
      <c r="M10" s="65" t="str">
        <f t="shared" si="4"/>
        <v>-</v>
      </c>
    </row>
    <row r="11" spans="1:25">
      <c r="A11" s="141" t="s">
        <v>278</v>
      </c>
      <c r="B11" s="61">
        <f>_xlfn.XLOOKUP($A11,Inputs!$A:$A,Inputs!B:B,,0)</f>
        <v>7793</v>
      </c>
      <c r="C11" s="61">
        <f>_xlfn.XLOOKUP($A11,Inputs!$A:$A,Inputs!C:C,,0)</f>
        <v>6708</v>
      </c>
      <c r="D11" s="61">
        <f>_xlfn.XLOOKUP($A11,Inputs!$A:$A,Inputs!D:D,,0)</f>
        <v>5435</v>
      </c>
      <c r="E11" s="61">
        <f>_xlfn.XLOOKUP($A11,Inputs!$A:$A,Inputs!E:E,,0)</f>
        <v>4737</v>
      </c>
      <c r="F11" s="61">
        <f>_xlfn.XLOOKUP($A11,Inputs!$A:$A,Inputs!F:F,,0)</f>
        <v>4526</v>
      </c>
      <c r="G11" s="61">
        <f>_xlfn.XLOOKUP($A11,Inputs!$A:$A,Inputs!G:G,,0)</f>
        <v>4123</v>
      </c>
      <c r="H11" s="61">
        <f>_xlfn.XLOOKUP($A11,Inputs!$A:$A,Inputs!H:H,,0)</f>
        <v>3711</v>
      </c>
      <c r="I11" s="61">
        <f>_xlfn.XLOOKUP($A11,Inputs!$A:$A,Inputs!I:I,,0)</f>
        <v>3678</v>
      </c>
      <c r="J11" s="61">
        <f>_xlfn.XLOOKUP($A11,Inputs!$A:$A,Inputs!J:J,,0)</f>
        <v>3258</v>
      </c>
      <c r="K11" s="61">
        <f>_xlfn.XLOOKUP($A11,Inputs!$A:$A,Inputs!K:K,,0)</f>
        <v>3106</v>
      </c>
      <c r="L11" s="61">
        <f>_xlfn.XLOOKUP($A11,Inputs!$A:$A,Inputs!L:L,,0)</f>
        <v>0</v>
      </c>
      <c r="M11" s="62">
        <f>_xlfn.XLOOKUP($A11,Inputs!$A:$A,Inputs!M:M,,0)</f>
        <v>0</v>
      </c>
    </row>
    <row r="12" spans="1:25">
      <c r="A12" s="142" t="s">
        <v>125</v>
      </c>
      <c r="B12" s="64">
        <f t="shared" ref="B12:M12" si="5">IFERROR(B11/B$5,"-")</f>
        <v>3.4337354706240032E-2</v>
      </c>
      <c r="C12" s="64">
        <f t="shared" si="5"/>
        <v>3.4236891935343926E-2</v>
      </c>
      <c r="D12" s="64">
        <f t="shared" si="5"/>
        <v>3.259155318089961E-2</v>
      </c>
      <c r="E12" s="64">
        <f t="shared" si="5"/>
        <v>3.1021001552032378E-2</v>
      </c>
      <c r="F12" s="64">
        <f t="shared" si="5"/>
        <v>3.1968695259083461E-2</v>
      </c>
      <c r="G12" s="64">
        <f t="shared" si="5"/>
        <v>3.1955047471420264E-2</v>
      </c>
      <c r="H12" s="64">
        <f t="shared" si="5"/>
        <v>3.1258686478154295E-2</v>
      </c>
      <c r="I12" s="64">
        <f t="shared" si="5"/>
        <v>3.1652595977590167E-2</v>
      </c>
      <c r="J12" s="64">
        <f t="shared" si="5"/>
        <v>2.8924005681818181E-2</v>
      </c>
      <c r="K12" s="64">
        <f t="shared" si="5"/>
        <v>2.953706873597322E-2</v>
      </c>
      <c r="L12" s="64" t="str">
        <f t="shared" si="5"/>
        <v>-</v>
      </c>
      <c r="M12" s="65" t="str">
        <f t="shared" si="5"/>
        <v>-</v>
      </c>
    </row>
    <row r="13" spans="1:25">
      <c r="A13" s="141" t="s">
        <v>542</v>
      </c>
      <c r="B13" s="64">
        <f t="shared" ref="B13" si="6">IFERROR(B12/C12-1,"-")</f>
        <v>2.9343426116432703E-3</v>
      </c>
      <c r="C13" s="64">
        <f t="shared" ref="C13" si="7">IFERROR(C12/D12-1,"-")</f>
        <v>5.048359448572004E-2</v>
      </c>
      <c r="D13" s="64">
        <f t="shared" ref="D13" si="8">IFERROR(D12/E12-1,"-")</f>
        <v>5.0628656403401529E-2</v>
      </c>
      <c r="E13" s="64">
        <f t="shared" ref="E13" si="9">IFERROR(E12/F12-1,"-")</f>
        <v>-2.9644428694092895E-2</v>
      </c>
      <c r="F13" s="64">
        <f t="shared" ref="F13" si="10">IFERROR(F12/G12-1,"-")</f>
        <v>4.2709333088630785E-4</v>
      </c>
      <c r="G13" s="64">
        <f t="shared" ref="G13" si="11">IFERROR(G12/H12-1,"-")</f>
        <v>2.2277359407044672E-2</v>
      </c>
      <c r="H13" s="64">
        <f t="shared" ref="H13" si="12">IFERROR(H12/I12-1,"-")</f>
        <v>-1.2444777032340704E-2</v>
      </c>
      <c r="I13" s="64">
        <f t="shared" ref="I13" si="13">IFERROR(I12/J12-1,"-")</f>
        <v>9.4336528826199029E-2</v>
      </c>
      <c r="J13" s="64">
        <f t="shared" ref="J13" si="14">IFERROR(J12/K12-1,"-")</f>
        <v>-2.0755717489609582E-2</v>
      </c>
      <c r="K13" s="64" t="str">
        <f t="shared" ref="K13" si="15">IFERROR(K12/L12-1,"-")</f>
        <v>-</v>
      </c>
      <c r="L13" s="64" t="str">
        <f t="shared" ref="L13" si="16">IFERROR(L12/M12-1,"-")</f>
        <v>-</v>
      </c>
      <c r="M13" s="65" t="str">
        <f>IFERROR(M12/#REF!-1,"-")</f>
        <v>-</v>
      </c>
    </row>
    <row r="14" spans="1:25">
      <c r="A14" s="143" t="s">
        <v>279</v>
      </c>
      <c r="B14" s="61">
        <f>_xlfn.XLOOKUP($A14,Inputs!$A:$A,Inputs!B:B,,0)</f>
        <v>97</v>
      </c>
      <c r="C14" s="61">
        <f>_xlfn.XLOOKUP($A14,Inputs!$A:$A,Inputs!C:C,,0)</f>
        <v>130</v>
      </c>
      <c r="D14" s="61">
        <f>_xlfn.XLOOKUP($A14,Inputs!$A:$A,Inputs!D:D,,0)</f>
        <v>71</v>
      </c>
      <c r="E14" s="61">
        <f>_xlfn.XLOOKUP($A14,Inputs!$A:$A,Inputs!E:E,,0)</f>
        <v>24</v>
      </c>
      <c r="F14" s="61">
        <f>_xlfn.XLOOKUP($A14,Inputs!$A:$A,Inputs!F:F,,0)</f>
        <v>84</v>
      </c>
      <c r="G14" s="61">
        <f>_xlfn.XLOOKUP($A14,Inputs!$A:$A,Inputs!G:G,,0)</f>
        <v>84</v>
      </c>
      <c r="H14" s="61">
        <f>_xlfn.XLOOKUP($A14,Inputs!$A:$A,Inputs!H:H,,0)</f>
        <v>92</v>
      </c>
      <c r="I14" s="61">
        <f>_xlfn.XLOOKUP($A14,Inputs!$A:$A,Inputs!I:I,,0)</f>
        <v>74</v>
      </c>
      <c r="J14" s="61">
        <f>_xlfn.XLOOKUP($A14,Inputs!$A:$A,Inputs!J:J,,0)</f>
        <v>61</v>
      </c>
      <c r="K14" s="61">
        <f>_xlfn.XLOOKUP($A14,Inputs!$A:$A,Inputs!K:K,,0)</f>
        <v>55</v>
      </c>
      <c r="L14" s="61">
        <f>_xlfn.XLOOKUP($A14,Inputs!$A:$A,Inputs!L:L,,0)</f>
        <v>0</v>
      </c>
      <c r="M14" s="62">
        <f>_xlfn.XLOOKUP($A14,Inputs!$A:$A,Inputs!M:M,,0)</f>
        <v>0</v>
      </c>
    </row>
    <row r="15" spans="1:25">
      <c r="A15" s="141" t="s">
        <v>543</v>
      </c>
      <c r="B15" s="61">
        <f>_xlfn.XLOOKUP($A15,Inputs!$A:$A,Inputs!B:B,,0)</f>
        <v>19653</v>
      </c>
      <c r="C15" s="61">
        <f>_xlfn.XLOOKUP($A15,Inputs!$A:$A,Inputs!C:C,,0)</f>
        <v>18435</v>
      </c>
      <c r="D15" s="61">
        <f>_xlfn.XLOOKUP($A15,Inputs!$A:$A,Inputs!D:D,,0)</f>
        <v>16384</v>
      </c>
      <c r="E15" s="61">
        <f>_xlfn.XLOOKUP($A15,Inputs!$A:$A,Inputs!E:E,,0)</f>
        <v>15028</v>
      </c>
      <c r="F15" s="61">
        <f>_xlfn.XLOOKUP($A15,Inputs!$A:$A,Inputs!F:F,,0)</f>
        <v>13898</v>
      </c>
      <c r="G15" s="61">
        <f>_xlfn.XLOOKUP($A15,Inputs!$A:$A,Inputs!G:G,,0)</f>
        <v>13020</v>
      </c>
      <c r="H15" s="61">
        <f>_xlfn.XLOOKUP($A15,Inputs!$A:$A,Inputs!H:H,,0)</f>
        <v>12107</v>
      </c>
      <c r="I15" s="61">
        <f>_xlfn.XLOOKUP($A15,Inputs!$A:$A,Inputs!I:I,,0)</f>
        <v>11456</v>
      </c>
      <c r="J15" s="61">
        <f>_xlfn.XLOOKUP($A15,Inputs!$A:$A,Inputs!J:J,,0)</f>
        <v>10924</v>
      </c>
      <c r="K15" s="61">
        <f>_xlfn.XLOOKUP($A15,Inputs!$A:$A,Inputs!K:K,,0)</f>
        <v>10102</v>
      </c>
      <c r="L15" s="61">
        <f>_xlfn.XLOOKUP($A15,Inputs!$A:$A,Inputs!L:L,,0)</f>
        <v>0</v>
      </c>
      <c r="M15" s="62">
        <f>_xlfn.XLOOKUP($A15,Inputs!$A:$A,Inputs!M:M,,0)</f>
        <v>0</v>
      </c>
    </row>
    <row r="16" spans="1:25">
      <c r="A16" s="143" t="s">
        <v>61</v>
      </c>
      <c r="B16" s="61">
        <f>B7-B15</f>
        <v>7919</v>
      </c>
      <c r="C16" s="61">
        <f t="shared" ref="C16:K16" si="17">C7-C15</f>
        <v>6810</v>
      </c>
      <c r="D16" s="61">
        <f t="shared" si="17"/>
        <v>5438</v>
      </c>
      <c r="E16" s="61">
        <f t="shared" si="17"/>
        <v>4789</v>
      </c>
      <c r="F16" s="61">
        <f t="shared" si="17"/>
        <v>4526</v>
      </c>
      <c r="G16" s="61">
        <f t="shared" si="17"/>
        <v>4123</v>
      </c>
      <c r="H16" s="61">
        <f t="shared" si="17"/>
        <v>3711</v>
      </c>
      <c r="I16" s="61">
        <f t="shared" si="17"/>
        <v>3678</v>
      </c>
      <c r="J16" s="61">
        <f t="shared" si="17"/>
        <v>3258</v>
      </c>
      <c r="K16" s="61">
        <f t="shared" si="17"/>
        <v>3106</v>
      </c>
      <c r="L16" s="61">
        <f t="shared" ref="L16:M16" si="18">L11-L15</f>
        <v>0</v>
      </c>
      <c r="M16" s="62">
        <f t="shared" si="18"/>
        <v>0</v>
      </c>
      <c r="N16" s="58"/>
      <c r="O16" s="58"/>
      <c r="P16" s="58"/>
      <c r="Q16" s="58"/>
      <c r="R16" s="58"/>
      <c r="S16" s="58"/>
      <c r="T16" s="58"/>
      <c r="U16" s="58"/>
      <c r="V16" s="58"/>
      <c r="W16" s="58"/>
      <c r="X16" s="58"/>
      <c r="Y16" s="58"/>
    </row>
    <row r="17" spans="1:18">
      <c r="A17" s="141" t="s">
        <v>56</v>
      </c>
      <c r="B17" s="61">
        <f>_xlfn.XLOOKUP($A17,Inputs!$A:$A,Inputs!B:B,,0)</f>
        <v>1900</v>
      </c>
      <c r="C17" s="61">
        <f>_xlfn.XLOOKUP($A17,Inputs!$A:$A,Inputs!C:C,,0)</f>
        <v>1781</v>
      </c>
      <c r="D17" s="61">
        <f>_xlfn.XLOOKUP($A17,Inputs!$A:$A,Inputs!D:D,,0)</f>
        <v>1645</v>
      </c>
      <c r="E17" s="61">
        <f>_xlfn.XLOOKUP($A17,Inputs!$A:$A,Inputs!E:E,,0)</f>
        <v>1492</v>
      </c>
      <c r="F17" s="61">
        <f>_xlfn.XLOOKUP($A17,Inputs!$A:$A,Inputs!F:F,,0)</f>
        <v>1437</v>
      </c>
      <c r="G17" s="61">
        <f>_xlfn.XLOOKUP($A17,Inputs!$A:$A,Inputs!G:G,,0)</f>
        <v>1370</v>
      </c>
      <c r="H17" s="61">
        <f>_xlfn.XLOOKUP($A17,Inputs!$A:$A,Inputs!H:H,,0)</f>
        <v>1255</v>
      </c>
      <c r="I17" s="61">
        <f>_xlfn.XLOOKUP($A17,Inputs!$A:$A,Inputs!I:I,,0)</f>
        <v>1127</v>
      </c>
      <c r="J17" s="61">
        <f>_xlfn.XLOOKUP($A17,Inputs!$A:$A,Inputs!J:J,,0)</f>
        <v>1029</v>
      </c>
      <c r="K17" s="61">
        <f>_xlfn.XLOOKUP($A17,Inputs!$A:$A,Inputs!K:K,,0)</f>
        <v>946</v>
      </c>
      <c r="L17" s="61">
        <f>_xlfn.XLOOKUP($A17,Inputs!$A:$A,Inputs!L:L,,0)</f>
        <v>0</v>
      </c>
      <c r="M17" s="62">
        <f>_xlfn.XLOOKUP($A17,Inputs!$A:$A,Inputs!M:M,,0)</f>
        <v>0</v>
      </c>
      <c r="N17" s="363"/>
    </row>
    <row r="18" spans="1:18">
      <c r="A18" s="143" t="s">
        <v>544</v>
      </c>
      <c r="B18" s="61">
        <f>_xlfn.XLOOKUP($A18,Inputs!$A:$A,Inputs!B:B,,0)</f>
        <v>1034</v>
      </c>
      <c r="C18" s="61">
        <f>_xlfn.XLOOKUP($A18,Inputs!$A:$A,Inputs!C:C,,0)</f>
        <v>-1378</v>
      </c>
      <c r="D18" s="61">
        <f>_xlfn.XLOOKUP($A18,Inputs!$A:$A,Inputs!D:D,,0)</f>
        <v>-2447</v>
      </c>
      <c r="E18" s="61">
        <f>_xlfn.XLOOKUP($A18,Inputs!$A:$A,Inputs!E:E,,0)</f>
        <v>-681</v>
      </c>
      <c r="F18" s="61">
        <f>_xlfn.XLOOKUP($A18,Inputs!$A:$A,Inputs!F:F,,0)</f>
        <v>-935</v>
      </c>
      <c r="G18" s="61">
        <f>_xlfn.XLOOKUP($A18,Inputs!$A:$A,Inputs!G:G,,0)</f>
        <v>-1885</v>
      </c>
      <c r="H18" s="61">
        <f>_xlfn.XLOOKUP($A18,Inputs!$A:$A,Inputs!H:H,,0)</f>
        <v>910</v>
      </c>
      <c r="I18" s="61">
        <f>_xlfn.XLOOKUP($A18,Inputs!$A:$A,Inputs!I:I,,0)</f>
        <v>-727</v>
      </c>
      <c r="J18" s="61">
        <f>_xlfn.XLOOKUP($A18,Inputs!$A:$A,Inputs!J:J,,0)</f>
        <v>-628</v>
      </c>
      <c r="K18" s="61">
        <f>_xlfn.XLOOKUP($A18,Inputs!$A:$A,Inputs!K:K,,0)</f>
        <v>-3541</v>
      </c>
      <c r="L18" s="61">
        <f>_xlfn.XLOOKUP($A18,Inputs!$A:$A,Inputs!L:L,,0)</f>
        <v>0</v>
      </c>
      <c r="M18" s="62">
        <f>_xlfn.XLOOKUP($A18,Inputs!$A:$A,Inputs!M:M,,0)</f>
        <v>0</v>
      </c>
    </row>
    <row r="19" spans="1:18">
      <c r="A19" s="141" t="s">
        <v>52</v>
      </c>
      <c r="B19" s="61">
        <f>B11+B15-B17</f>
        <v>25546</v>
      </c>
      <c r="C19" s="61">
        <f t="shared" ref="C19:K19" si="19">C11+C15-C17</f>
        <v>23362</v>
      </c>
      <c r="D19" s="61">
        <f t="shared" si="19"/>
        <v>20174</v>
      </c>
      <c r="E19" s="61">
        <f t="shared" si="19"/>
        <v>18273</v>
      </c>
      <c r="F19" s="61">
        <f t="shared" si="19"/>
        <v>16987</v>
      </c>
      <c r="G19" s="61">
        <f t="shared" si="19"/>
        <v>15773</v>
      </c>
      <c r="H19" s="61">
        <f t="shared" si="19"/>
        <v>14563</v>
      </c>
      <c r="I19" s="61">
        <f t="shared" si="19"/>
        <v>14007</v>
      </c>
      <c r="J19" s="61">
        <f t="shared" si="19"/>
        <v>13153</v>
      </c>
      <c r="K19" s="61">
        <f t="shared" si="19"/>
        <v>12262</v>
      </c>
      <c r="L19" s="61">
        <f t="shared" ref="L19:M19" si="20">L11-L15+L17</f>
        <v>0</v>
      </c>
      <c r="M19" s="62">
        <f t="shared" si="20"/>
        <v>0</v>
      </c>
    </row>
    <row r="20" spans="1:18">
      <c r="A20" s="142" t="s">
        <v>545</v>
      </c>
      <c r="B20" s="64">
        <f t="shared" ref="B20" si="21">IFERROR(B19/B$5,"-")</f>
        <v>0.11256025450091207</v>
      </c>
      <c r="C20" s="64">
        <f t="shared" ref="C20" si="22">IFERROR(C19/C$5,"-")</f>
        <v>0.11923707057148253</v>
      </c>
      <c r="D20" s="64">
        <f t="shared" ref="D20" si="23">IFERROR(D19/D$5,"-")</f>
        <v>0.12097552785123621</v>
      </c>
      <c r="E20" s="64">
        <f t="shared" ref="E20" si="24">IFERROR(E19/E$5,"-")</f>
        <v>0.11966366083181076</v>
      </c>
      <c r="F20" s="64">
        <f t="shared" ref="F20" si="25">IFERROR(F19/F$5,"-")</f>
        <v>0.11998502571057242</v>
      </c>
      <c r="G20" s="64">
        <f t="shared" ref="G20" si="26">IFERROR(G19/G$5,"-")</f>
        <v>0.12224762642898664</v>
      </c>
      <c r="H20" s="64">
        <f t="shared" ref="H20" si="27">IFERROR(H19/H$5,"-")</f>
        <v>0.12266781222887659</v>
      </c>
      <c r="I20" s="64">
        <f t="shared" ref="I20" si="28">IFERROR(I19/I$5,"-")</f>
        <v>0.1205432060516872</v>
      </c>
      <c r="J20" s="64">
        <f t="shared" ref="J20" si="29">IFERROR(J19/J$5,"-")</f>
        <v>0.11677024147727273</v>
      </c>
      <c r="K20" s="64">
        <f t="shared" ref="K20" si="30">IFERROR(K19/K$5,"-")</f>
        <v>0.11660770664536498</v>
      </c>
      <c r="L20" s="64" t="str">
        <f t="shared" ref="L20" si="31">IFERROR(L19/L$5,"-")</f>
        <v>-</v>
      </c>
      <c r="M20" s="65" t="str">
        <f t="shared" ref="M20" si="32">IFERROR(M19/M$5,"-")</f>
        <v>-</v>
      </c>
      <c r="P20" s="363"/>
      <c r="Q20" s="363"/>
      <c r="R20" s="363"/>
    </row>
    <row r="21" spans="1:18">
      <c r="A21" s="141" t="s">
        <v>280</v>
      </c>
      <c r="B21" s="61">
        <f>_xlfn.XLOOKUP($A21,Inputs!$A:$A,Inputs!B:B,,0)</f>
        <v>1925</v>
      </c>
      <c r="C21" s="61">
        <f>_xlfn.XLOOKUP($A21,Inputs!$A:$A,Inputs!C:C,,0)</f>
        <v>1601</v>
      </c>
      <c r="D21" s="61">
        <f>_xlfn.XLOOKUP($A21,Inputs!$A:$A,Inputs!D:D,,0)</f>
        <v>1308</v>
      </c>
      <c r="E21" s="61">
        <f>_xlfn.XLOOKUP($A21,Inputs!$A:$A,Inputs!E:E,,0)</f>
        <v>1061</v>
      </c>
      <c r="F21" s="61">
        <f>_xlfn.XLOOKUP($A21,Inputs!$A:$A,Inputs!F:F,,0)</f>
        <v>1263</v>
      </c>
      <c r="G21" s="61">
        <f>_xlfn.XLOOKUP($A21,Inputs!$A:$A,Inputs!G:G,,0)</f>
        <v>1325</v>
      </c>
      <c r="H21" s="61">
        <f>_xlfn.XLOOKUP($A21,Inputs!$A:$A,Inputs!H:H,,0)</f>
        <v>1243</v>
      </c>
      <c r="I21" s="61">
        <f>_xlfn.XLOOKUP($A21,Inputs!$A:$A,Inputs!I:I,,0)</f>
        <v>1195</v>
      </c>
      <c r="J21" s="61">
        <f>_xlfn.XLOOKUP($A21,Inputs!$A:$A,Inputs!J:J,,0)</f>
        <v>1109</v>
      </c>
      <c r="K21" s="61">
        <f>_xlfn.XLOOKUP($A21,Inputs!$A:$A,Inputs!K:K,,0)</f>
        <v>990</v>
      </c>
      <c r="L21" s="61">
        <f>_xlfn.XLOOKUP($A21,Inputs!$A:$A,Inputs!L:L,,0)</f>
        <v>0</v>
      </c>
      <c r="M21" s="62">
        <f>_xlfn.XLOOKUP($A21,Inputs!$A:$A,Inputs!M:M,,0)</f>
        <v>0</v>
      </c>
    </row>
    <row r="22" spans="1:18">
      <c r="A22" s="142" t="s">
        <v>546</v>
      </c>
      <c r="B22" s="64">
        <f>IFERROR(B21/B$5,"-")</f>
        <v>8.4818950095614087E-3</v>
      </c>
      <c r="C22" s="64">
        <f t="shared" ref="C22" si="33">IFERROR(C21/C$5,"-")</f>
        <v>8.1713273685876005E-3</v>
      </c>
      <c r="D22" s="64">
        <f t="shared" ref="D22" si="34">IFERROR(D21/D$5,"-")</f>
        <v>7.8435605447316811E-3</v>
      </c>
      <c r="E22" s="64">
        <f t="shared" ref="E22" si="35">IFERROR(E21/E$5,"-")</f>
        <v>6.9481280655913765E-3</v>
      </c>
      <c r="F22" s="64">
        <f t="shared" ref="F22" si="36">IFERROR(F21/F$5,"-")</f>
        <v>8.9210035599254119E-3</v>
      </c>
      <c r="G22" s="64">
        <f t="shared" ref="G22" si="37">IFERROR(G21/G$5,"-")</f>
        <v>1.0269327649680294E-2</v>
      </c>
      <c r="H22" s="64">
        <f t="shared" ref="H22" si="38">IFERROR(H21/H$5,"-")</f>
        <v>1.0470101668646131E-2</v>
      </c>
      <c r="I22" s="64">
        <f t="shared" ref="I22" si="39">IFERROR(I21/I$5,"-")</f>
        <v>1.0284081618602569E-2</v>
      </c>
      <c r="J22" s="64">
        <f t="shared" ref="J22" si="40">IFERROR(J21/J$5,"-")</f>
        <v>9.8455255681818184E-3</v>
      </c>
      <c r="K22" s="64">
        <f t="shared" ref="K22" si="41">IFERROR(K21/K$5,"-")</f>
        <v>9.4145840465593971E-3</v>
      </c>
      <c r="L22" s="64" t="str">
        <f t="shared" ref="L22" si="42">IFERROR(L21/L$5,"-")</f>
        <v>-</v>
      </c>
      <c r="M22" s="65" t="str">
        <f t="shared" ref="M22" si="43">IFERROR(M21/M$5,"-")</f>
        <v>-</v>
      </c>
    </row>
    <row r="23" spans="1:18">
      <c r="A23" s="141" t="s">
        <v>65</v>
      </c>
      <c r="B23" s="61">
        <f>_xlfn.XLOOKUP($A23,Inputs!$A:$A,Inputs!B:B,,0)</f>
        <v>5844</v>
      </c>
      <c r="C23" s="61">
        <f>_xlfn.XLOOKUP($A23,Inputs!$A:$A,Inputs!C:C,,0)</f>
        <v>5007</v>
      </c>
      <c r="D23" s="61">
        <f>_xlfn.XLOOKUP($A23,Inputs!$A:$A,Inputs!D:D,,0)</f>
        <v>4002</v>
      </c>
      <c r="E23" s="61">
        <f>_xlfn.XLOOKUP($A23,Inputs!$A:$A,Inputs!E:E,,0)</f>
        <v>3659</v>
      </c>
      <c r="F23" s="61">
        <f>_xlfn.XLOOKUP($A23,Inputs!$A:$A,Inputs!F:F,,0)</f>
        <v>3134</v>
      </c>
      <c r="G23" s="61">
        <f>_xlfn.XLOOKUP($A23,Inputs!$A:$A,Inputs!G:G,,0)</f>
        <v>2679</v>
      </c>
      <c r="H23" s="61">
        <f>_xlfn.XLOOKUP($A23,Inputs!$A:$A,Inputs!H:H,,0)</f>
        <v>2350</v>
      </c>
      <c r="I23" s="61">
        <f>_xlfn.XLOOKUP($A23,Inputs!$A:$A,Inputs!I:I,,0)</f>
        <v>2377</v>
      </c>
      <c r="J23" s="61">
        <f>_xlfn.XLOOKUP($A23,Inputs!$A:$A,Inputs!J:J,,0)</f>
        <v>2058</v>
      </c>
      <c r="K23" s="61">
        <f>_xlfn.XLOOKUP($A23,Inputs!$A:$A,Inputs!K:K,,0)</f>
        <v>2039</v>
      </c>
      <c r="L23" s="61">
        <f>_xlfn.XLOOKUP($A23,Inputs!$A:$A,Inputs!L:L,,0)</f>
        <v>0</v>
      </c>
      <c r="M23" s="62">
        <f>_xlfn.XLOOKUP($A23,Inputs!$A:$A,Inputs!M:M,,0)</f>
        <v>0</v>
      </c>
    </row>
    <row r="24" spans="1:18">
      <c r="A24" s="142" t="s">
        <v>233</v>
      </c>
      <c r="B24" s="64">
        <f t="shared" ref="B24" si="44">IFERROR(B23/B$5,"-")</f>
        <v>2.5749711395260715E-2</v>
      </c>
      <c r="C24" s="64">
        <f t="shared" ref="C24" si="45">IFERROR(C23/C$5,"-")</f>
        <v>2.5555175599324246E-2</v>
      </c>
      <c r="D24" s="64">
        <f t="shared" ref="D24" si="46">IFERROR(D23/D$5,"-")</f>
        <v>2.3998416896036844E-2</v>
      </c>
      <c r="E24" s="64">
        <f t="shared" ref="E24" si="47">IFERROR(E23/E$5,"-")</f>
        <v>2.3961546269555937E-2</v>
      </c>
      <c r="F24" s="64">
        <f t="shared" ref="F24" si="48">IFERROR(F23/F$5,"-")</f>
        <v>2.2136520314177545E-2</v>
      </c>
      <c r="G24" s="64">
        <f t="shared" ref="G24" si="49">IFERROR(G23/G$5,"-")</f>
        <v>2.0763417942259253E-2</v>
      </c>
      <c r="H24" s="64">
        <f t="shared" ref="H24" si="50">IFERROR(H23/H$5,"-")</f>
        <v>1.9794641127367986E-2</v>
      </c>
      <c r="I24" s="64">
        <f t="shared" ref="I24" si="51">IFERROR(I23/I$5,"-")</f>
        <v>2.0456286198676409E-2</v>
      </c>
      <c r="J24" s="64">
        <f t="shared" ref="J24" si="52">IFERROR(J23/J$5,"-")</f>
        <v>1.8270596590909093E-2</v>
      </c>
      <c r="K24" s="64">
        <f t="shared" ref="K24" si="53">IFERROR(K23/K$5,"-")</f>
        <v>1.9390239263570315E-2</v>
      </c>
      <c r="L24" s="64" t="str">
        <f t="shared" ref="L24" si="54">IFERROR(L23/L$5,"-")</f>
        <v>-</v>
      </c>
      <c r="M24" s="65" t="str">
        <f t="shared" ref="M24" si="55">IFERROR(M23/M$5,"-")</f>
        <v>-</v>
      </c>
    </row>
    <row r="25" spans="1:18">
      <c r="A25" s="141" t="s">
        <v>538</v>
      </c>
      <c r="B25" s="64">
        <f t="shared" ref="B25" si="56">IFERROR(B24/C24-1,"-")</f>
        <v>7.6123834555694714E-3</v>
      </c>
      <c r="C25" s="64">
        <f t="shared" ref="C25" si="57">IFERROR(C24/D24-1,"-")</f>
        <v>6.4869224917269097E-2</v>
      </c>
      <c r="D25" s="64">
        <f t="shared" ref="D25" si="58">IFERROR(D24/E24-1,"-")</f>
        <v>1.5387415347127842E-3</v>
      </c>
      <c r="E25" s="64">
        <f t="shared" ref="E25" si="59">IFERROR(E24/F24-1,"-")</f>
        <v>8.2444120822798617E-2</v>
      </c>
      <c r="F25" s="64">
        <f t="shared" ref="F25" si="60">IFERROR(F24/G24-1,"-")</f>
        <v>6.6130844918535825E-2</v>
      </c>
      <c r="G25" s="64">
        <f t="shared" ref="G25" si="61">IFERROR(G24/H24-1,"-")</f>
        <v>4.8941367951947257E-2</v>
      </c>
      <c r="H25" s="64">
        <f t="shared" ref="H25" si="62">IFERROR(H24/I24-1,"-")</f>
        <v>-3.2344339773229924E-2</v>
      </c>
      <c r="I25" s="64">
        <f t="shared" ref="I25" si="63">IFERROR(I24/J24-1,"-")</f>
        <v>0.11962880341054927</v>
      </c>
      <c r="J25" s="64">
        <f t="shared" ref="J25" si="64">IFERROR(J24/K24-1,"-")</f>
        <v>-5.7742591901110085E-2</v>
      </c>
      <c r="K25" s="64" t="str">
        <f t="shared" ref="K25" si="65">IFERROR(K24/L24-1,"-")</f>
        <v>-</v>
      </c>
      <c r="L25" s="64" t="str">
        <f t="shared" ref="L25" si="66">IFERROR(L24/M24-1,"-")</f>
        <v>-</v>
      </c>
      <c r="M25" s="65" t="str">
        <f>IFERROR(M24/#REF!-1,"-")</f>
        <v>-</v>
      </c>
    </row>
    <row r="26" spans="1:18">
      <c r="A26" s="142" t="s">
        <v>547</v>
      </c>
      <c r="B26" s="67">
        <f>B39-C39</f>
        <v>-1126</v>
      </c>
      <c r="C26" s="67">
        <f t="shared" ref="C26:M26" si="67">C39-D39</f>
        <v>-1130</v>
      </c>
      <c r="D26" s="67">
        <f t="shared" si="67"/>
        <v>3861</v>
      </c>
      <c r="E26" s="67">
        <f t="shared" si="67"/>
        <v>2185</v>
      </c>
      <c r="F26" s="67">
        <f t="shared" si="67"/>
        <v>1480</v>
      </c>
      <c r="G26" s="67">
        <f t="shared" si="67"/>
        <v>1050</v>
      </c>
      <c r="H26" s="67">
        <f t="shared" si="67"/>
        <v>-1690</v>
      </c>
      <c r="I26" s="67">
        <f t="shared" si="67"/>
        <v>-896</v>
      </c>
      <c r="J26" s="67">
        <f t="shared" si="67"/>
        <v>1191</v>
      </c>
      <c r="K26" s="67">
        <f t="shared" si="67"/>
        <v>6124</v>
      </c>
      <c r="L26" s="67">
        <f t="shared" si="67"/>
        <v>0</v>
      </c>
      <c r="M26" s="62">
        <f t="shared" si="67"/>
        <v>0</v>
      </c>
    </row>
    <row r="27" spans="1:18">
      <c r="A27" s="141" t="s">
        <v>135</v>
      </c>
      <c r="B27" s="61">
        <f>_xlfn.XLOOKUP($A27,Inputs!$A:$A,Inputs!B:B,,0)</f>
        <v>-1498</v>
      </c>
      <c r="C27" s="61">
        <f>_xlfn.XLOOKUP($A27,Inputs!$A:$A,Inputs!C:C,,0)</f>
        <v>-1318</v>
      </c>
      <c r="D27" s="61">
        <f>_xlfn.XLOOKUP($A27,Inputs!$A:$A,Inputs!D:D,,0)</f>
        <v>-1479</v>
      </c>
      <c r="E27" s="61">
        <f>_xlfn.XLOOKUP($A27,Inputs!$A:$A,Inputs!E:E,,0)</f>
        <v>-1038</v>
      </c>
      <c r="F27" s="61">
        <f>_xlfn.XLOOKUP($A27,Inputs!$A:$A,Inputs!F:F,,0)</f>
        <v>-689</v>
      </c>
      <c r="G27" s="61">
        <f>_xlfn.XLOOKUP($A27,Inputs!$A:$A,Inputs!G:G,,0)</f>
        <v>-804</v>
      </c>
      <c r="H27" s="61">
        <f>_xlfn.XLOOKUP($A27,Inputs!$A:$A,Inputs!H:H,,0)</f>
        <v>-736</v>
      </c>
      <c r="I27" s="61">
        <f>_xlfn.XLOOKUP($A27,Inputs!$A:$A,Inputs!I:I,,0)</f>
        <v>-664</v>
      </c>
      <c r="J27" s="61">
        <f>_xlfn.XLOOKUP($A27,Inputs!$A:$A,Inputs!J:J,,0)</f>
        <v>-584</v>
      </c>
      <c r="K27" s="61">
        <f>_xlfn.XLOOKUP($A27,Inputs!$A:$A,Inputs!K:K,,0)</f>
        <v>-511</v>
      </c>
      <c r="L27" s="61">
        <f>_xlfn.XLOOKUP($A27,Inputs!$A:$A,Inputs!L:L,,0)</f>
        <v>0</v>
      </c>
      <c r="M27" s="62">
        <f>_xlfn.XLOOKUP($A27,Inputs!$A:$A,Inputs!M:M,,0)</f>
        <v>0</v>
      </c>
    </row>
    <row r="28" spans="1:18">
      <c r="A28" s="143" t="s">
        <v>548</v>
      </c>
      <c r="B28" s="61">
        <f>_xlfn.XLOOKUP($A28,Inputs!$A:$A,Inputs!B:B,,0)</f>
        <v>-802</v>
      </c>
      <c r="C28" s="61">
        <f>_xlfn.XLOOKUP($A28,Inputs!$A:$A,Inputs!C:C,,0)</f>
        <v>-808</v>
      </c>
      <c r="D28" s="61">
        <f>_xlfn.XLOOKUP($A28,Inputs!$A:$A,Inputs!D:D,,0)</f>
        <v>-526</v>
      </c>
      <c r="E28" s="61">
        <f>_xlfn.XLOOKUP($A28,Inputs!$A:$A,Inputs!E:E,,0)</f>
        <v>-519</v>
      </c>
      <c r="F28" s="61">
        <f>_xlfn.XLOOKUP($A28,Inputs!$A:$A,Inputs!F:F,,0)</f>
        <v>-545</v>
      </c>
      <c r="G28" s="61">
        <f>_xlfn.XLOOKUP($A28,Inputs!$A:$A,Inputs!G:G,,0)</f>
        <v>-671</v>
      </c>
      <c r="H28" s="61">
        <f>_xlfn.XLOOKUP($A28,Inputs!$A:$A,Inputs!H:H,,0)</f>
        <v>-706</v>
      </c>
      <c r="I28" s="61">
        <f>_xlfn.XLOOKUP($A28,Inputs!$A:$A,Inputs!I:I,,0)</f>
        <v>-659</v>
      </c>
      <c r="J28" s="61">
        <f>_xlfn.XLOOKUP($A28,Inputs!$A:$A,Inputs!J:J,,0)</f>
        <v>-498</v>
      </c>
      <c r="K28" s="61">
        <f>_xlfn.XLOOKUP($A28,Inputs!$A:$A,Inputs!K:K,,0)</f>
        <v>-157</v>
      </c>
      <c r="L28" s="61">
        <f>_xlfn.XLOOKUP($A28,Inputs!$A:$A,Inputs!L:L,,0)</f>
        <v>0</v>
      </c>
      <c r="M28" s="62">
        <f>_xlfn.XLOOKUP($A28,Inputs!$A:$A,Inputs!M:M,,0)</f>
        <v>0</v>
      </c>
    </row>
    <row r="29" spans="1:18">
      <c r="A29" s="141" t="s">
        <v>127</v>
      </c>
      <c r="B29" s="67">
        <f>SUM(B26:B28)</f>
        <v>-3426</v>
      </c>
      <c r="C29" s="67">
        <f t="shared" ref="C29:M29" si="68">SUM(C26:C28)</f>
        <v>-3256</v>
      </c>
      <c r="D29" s="67">
        <f t="shared" si="68"/>
        <v>1856</v>
      </c>
      <c r="E29" s="67">
        <f t="shared" si="68"/>
        <v>628</v>
      </c>
      <c r="F29" s="67">
        <f t="shared" si="68"/>
        <v>246</v>
      </c>
      <c r="G29" s="67">
        <f t="shared" si="68"/>
        <v>-425</v>
      </c>
      <c r="H29" s="67">
        <f t="shared" si="68"/>
        <v>-3132</v>
      </c>
      <c r="I29" s="67">
        <f t="shared" si="68"/>
        <v>-2219</v>
      </c>
      <c r="J29" s="67">
        <f t="shared" si="68"/>
        <v>109</v>
      </c>
      <c r="K29" s="67">
        <f t="shared" si="68"/>
        <v>5456</v>
      </c>
      <c r="L29" s="67">
        <f t="shared" si="68"/>
        <v>0</v>
      </c>
      <c r="M29" s="62">
        <f t="shared" si="68"/>
        <v>0</v>
      </c>
    </row>
    <row r="30" spans="1:18">
      <c r="A30" s="143" t="s">
        <v>549</v>
      </c>
      <c r="B30" s="67">
        <f>+B29-(B58-C29)</f>
        <v>-17588</v>
      </c>
      <c r="C30" s="67">
        <f t="shared" ref="C30:M30" si="69">+C29-(C58-D29)</f>
        <v>-12807</v>
      </c>
      <c r="D30" s="67">
        <f t="shared" si="69"/>
        <v>-8602</v>
      </c>
      <c r="E30" s="67">
        <f t="shared" si="69"/>
        <v>-6370</v>
      </c>
      <c r="F30" s="67">
        <f t="shared" si="69"/>
        <v>-6756</v>
      </c>
      <c r="G30" s="67">
        <f t="shared" si="69"/>
        <v>-10216</v>
      </c>
      <c r="H30" s="67">
        <f t="shared" si="69"/>
        <v>-10512</v>
      </c>
      <c r="I30" s="67">
        <f t="shared" si="69"/>
        <v>-8245</v>
      </c>
      <c r="J30" s="67">
        <f t="shared" si="69"/>
        <v>472</v>
      </c>
      <c r="K30" s="67">
        <f t="shared" si="69"/>
        <v>458</v>
      </c>
      <c r="L30" s="67">
        <f t="shared" si="69"/>
        <v>0</v>
      </c>
      <c r="M30" s="62">
        <f t="shared" si="69"/>
        <v>0</v>
      </c>
    </row>
    <row r="31" spans="1:18">
      <c r="A31" s="141" t="s">
        <v>550</v>
      </c>
      <c r="B31" s="67">
        <f>+B30+B33</f>
        <v>-17585</v>
      </c>
      <c r="C31" s="67">
        <f t="shared" ref="C31:L31" si="70">+C30+C33</f>
        <v>-12706</v>
      </c>
      <c r="D31" s="67">
        <f t="shared" si="70"/>
        <v>-9621</v>
      </c>
      <c r="E31" s="67">
        <f t="shared" si="70"/>
        <v>-6207</v>
      </c>
      <c r="F31" s="67">
        <f t="shared" si="70"/>
        <v>-6730</v>
      </c>
      <c r="G31" s="67">
        <f t="shared" si="70"/>
        <v>-10084</v>
      </c>
      <c r="H31" s="67">
        <f t="shared" si="70"/>
        <v>-10238</v>
      </c>
      <c r="I31" s="67">
        <f t="shared" si="70"/>
        <v>-8359</v>
      </c>
      <c r="J31" s="67">
        <f t="shared" si="70"/>
        <v>392</v>
      </c>
      <c r="K31" s="67">
        <f t="shared" si="70"/>
        <v>293</v>
      </c>
      <c r="L31" s="67">
        <f t="shared" si="70"/>
        <v>0</v>
      </c>
      <c r="M31" s="62">
        <f t="shared" ref="M31" si="71">+M30+M33</f>
        <v>0</v>
      </c>
    </row>
    <row r="32" spans="1:18">
      <c r="A32" s="143" t="s">
        <v>132</v>
      </c>
      <c r="B32" s="61">
        <f>_xlfn.XLOOKUP($A32,Inputs!$A:$A,Inputs!B:B,,0)</f>
        <v>-3891</v>
      </c>
      <c r="C32" s="61">
        <f>_xlfn.XLOOKUP($A32,Inputs!$A:$A,Inputs!C:C,,0)</f>
        <v>-3588</v>
      </c>
      <c r="D32" s="61">
        <f>_xlfn.XLOOKUP($A32,Inputs!$A:$A,Inputs!D:D,,0)</f>
        <v>-2810</v>
      </c>
      <c r="E32" s="61">
        <f>_xlfn.XLOOKUP($A32,Inputs!$A:$A,Inputs!E:E,,0)</f>
        <v>-2998</v>
      </c>
      <c r="F32" s="61">
        <f>_xlfn.XLOOKUP($A32,Inputs!$A:$A,Inputs!F:F,,0)</f>
        <v>-2969</v>
      </c>
      <c r="G32" s="61">
        <f>_xlfn.XLOOKUP($A32,Inputs!$A:$A,Inputs!G:G,,0)</f>
        <v>-2502</v>
      </c>
      <c r="H32" s="61">
        <f>_xlfn.XLOOKUP($A32,Inputs!$A:$A,Inputs!H:H,,0)</f>
        <v>-2649</v>
      </c>
      <c r="I32" s="61">
        <f>_xlfn.XLOOKUP($A32,Inputs!$A:$A,Inputs!I:I,,0)</f>
        <v>-2393</v>
      </c>
      <c r="J32" s="61">
        <f>_xlfn.XLOOKUP($A32,Inputs!$A:$A,Inputs!J:J,,0)</f>
        <v>-1993</v>
      </c>
      <c r="K32" s="61">
        <f>_xlfn.XLOOKUP($A32,Inputs!$A:$A,Inputs!K:K,,0)</f>
        <v>-2083</v>
      </c>
      <c r="L32" s="61">
        <f>_xlfn.XLOOKUP($A32,Inputs!$A:$A,Inputs!L:L,,0)</f>
        <v>0</v>
      </c>
      <c r="M32" s="62">
        <f>_xlfn.XLOOKUP($A32,Inputs!$A:$A,Inputs!M:M,,0)</f>
        <v>0</v>
      </c>
    </row>
    <row r="33" spans="1:13">
      <c r="A33" s="141" t="s">
        <v>133</v>
      </c>
      <c r="B33" s="61">
        <f>_xlfn.XLOOKUP($A33,Inputs!$A:$A,Inputs!B:B,,0)</f>
        <v>3</v>
      </c>
      <c r="C33" s="61">
        <f>_xlfn.XLOOKUP($A33,Inputs!$A:$A,Inputs!C:C,,0)</f>
        <v>101</v>
      </c>
      <c r="D33" s="61">
        <f>_xlfn.XLOOKUP($A33,Inputs!$A:$A,Inputs!D:D,,0)</f>
        <v>-1019</v>
      </c>
      <c r="E33" s="61">
        <f>_xlfn.XLOOKUP($A33,Inputs!$A:$A,Inputs!E:E,,0)</f>
        <v>163</v>
      </c>
      <c r="F33" s="61">
        <f>_xlfn.XLOOKUP($A33,Inputs!$A:$A,Inputs!F:F,,0)</f>
        <v>26</v>
      </c>
      <c r="G33" s="61">
        <f>_xlfn.XLOOKUP($A33,Inputs!$A:$A,Inputs!G:G,,0)</f>
        <v>132</v>
      </c>
      <c r="H33" s="61">
        <f>_xlfn.XLOOKUP($A33,Inputs!$A:$A,Inputs!H:H,,0)</f>
        <v>274</v>
      </c>
      <c r="I33" s="61">
        <f>_xlfn.XLOOKUP($A33,Inputs!$A:$A,Inputs!I:I,,0)</f>
        <v>-114</v>
      </c>
      <c r="J33" s="61">
        <f>_xlfn.XLOOKUP($A33,Inputs!$A:$A,Inputs!J:J,,0)</f>
        <v>-80</v>
      </c>
      <c r="K33" s="61">
        <f>_xlfn.XLOOKUP($A33,Inputs!$A:$A,Inputs!K:K,,0)</f>
        <v>-165</v>
      </c>
      <c r="L33" s="61">
        <f>_xlfn.XLOOKUP($A33,Inputs!$A:$A,Inputs!L:L,,0)</f>
        <v>0</v>
      </c>
      <c r="M33" s="62">
        <f>_xlfn.XLOOKUP($A33,Inputs!$A:$A,Inputs!M:M,,0)</f>
        <v>0</v>
      </c>
    </row>
    <row r="34" spans="1:13">
      <c r="A34" s="142" t="s">
        <v>128</v>
      </c>
      <c r="B34" s="67">
        <f t="shared" ref="B34:M34" si="72">+B32+B33</f>
        <v>-3888</v>
      </c>
      <c r="C34" s="67">
        <f t="shared" si="72"/>
        <v>-3487</v>
      </c>
      <c r="D34" s="67">
        <f t="shared" si="72"/>
        <v>-3829</v>
      </c>
      <c r="E34" s="67">
        <f t="shared" si="72"/>
        <v>-2835</v>
      </c>
      <c r="F34" s="67">
        <f t="shared" si="72"/>
        <v>-2943</v>
      </c>
      <c r="G34" s="67">
        <f t="shared" si="72"/>
        <v>-2370</v>
      </c>
      <c r="H34" s="67">
        <f t="shared" si="72"/>
        <v>-2375</v>
      </c>
      <c r="I34" s="67">
        <f t="shared" si="72"/>
        <v>-2507</v>
      </c>
      <c r="J34" s="67">
        <f t="shared" si="72"/>
        <v>-2073</v>
      </c>
      <c r="K34" s="67">
        <f t="shared" si="72"/>
        <v>-2248</v>
      </c>
      <c r="L34" s="67">
        <f t="shared" si="72"/>
        <v>0</v>
      </c>
      <c r="M34" s="68">
        <f t="shared" si="72"/>
        <v>0</v>
      </c>
    </row>
    <row r="35" spans="1:13">
      <c r="A35" s="141" t="s">
        <v>126</v>
      </c>
      <c r="B35" s="67">
        <f t="shared" ref="B35:M35" si="73">+B27+B28</f>
        <v>-2300</v>
      </c>
      <c r="C35" s="67">
        <f t="shared" si="73"/>
        <v>-2126</v>
      </c>
      <c r="D35" s="67">
        <f t="shared" si="73"/>
        <v>-2005</v>
      </c>
      <c r="E35" s="67">
        <f t="shared" si="73"/>
        <v>-1557</v>
      </c>
      <c r="F35" s="67">
        <f t="shared" si="73"/>
        <v>-1234</v>
      </c>
      <c r="G35" s="67">
        <f t="shared" si="73"/>
        <v>-1475</v>
      </c>
      <c r="H35" s="67">
        <f t="shared" si="73"/>
        <v>-1442</v>
      </c>
      <c r="I35" s="67">
        <f t="shared" si="73"/>
        <v>-1323</v>
      </c>
      <c r="J35" s="67">
        <f t="shared" si="73"/>
        <v>-1082</v>
      </c>
      <c r="K35" s="67">
        <f t="shared" si="73"/>
        <v>-668</v>
      </c>
      <c r="L35" s="67">
        <f t="shared" si="73"/>
        <v>0</v>
      </c>
      <c r="M35" s="68">
        <f t="shared" si="73"/>
        <v>0</v>
      </c>
    </row>
    <row r="36" spans="1:13">
      <c r="A36" s="143" t="s">
        <v>523</v>
      </c>
      <c r="B36" s="64">
        <f>-IFERROR(B35/B23,"-")</f>
        <v>0.39356605065023959</v>
      </c>
      <c r="C36" s="64">
        <f t="shared" ref="C36:K36" si="74">-IFERROR(C35/C23,"-")</f>
        <v>0.42460555222688234</v>
      </c>
      <c r="D36" s="64">
        <f t="shared" si="74"/>
        <v>0.50099950024987505</v>
      </c>
      <c r="E36" s="64">
        <f t="shared" si="74"/>
        <v>0.42552610002732988</v>
      </c>
      <c r="F36" s="64">
        <f t="shared" si="74"/>
        <v>0.39374601148691768</v>
      </c>
      <c r="G36" s="64">
        <f t="shared" si="74"/>
        <v>0.55057857409481148</v>
      </c>
      <c r="H36" s="64">
        <f t="shared" si="74"/>
        <v>0.61361702127659579</v>
      </c>
      <c r="I36" s="64">
        <f t="shared" si="74"/>
        <v>0.55658392932267564</v>
      </c>
      <c r="J36" s="64">
        <f t="shared" si="74"/>
        <v>0.52575315840621961</v>
      </c>
      <c r="K36" s="64">
        <f t="shared" si="74"/>
        <v>0.32761157430112803</v>
      </c>
      <c r="L36" s="64" t="str">
        <f t="shared" ref="L36:M36" si="75">IFERROR(L35/L23,"-")</f>
        <v>-</v>
      </c>
      <c r="M36" s="65" t="str">
        <f t="shared" si="75"/>
        <v>-</v>
      </c>
    </row>
    <row r="37" spans="1:13">
      <c r="A37" s="7"/>
      <c r="B37" s="51"/>
      <c r="C37" s="51"/>
      <c r="D37" s="51"/>
      <c r="E37" s="51"/>
      <c r="F37" s="51"/>
      <c r="G37" s="51"/>
      <c r="H37" s="51"/>
      <c r="I37" s="51"/>
      <c r="J37" s="51"/>
      <c r="K37" s="51"/>
      <c r="L37" s="51"/>
      <c r="M37" s="51"/>
    </row>
    <row r="38" spans="1:13" ht="20.25">
      <c r="A38" s="1011" t="s">
        <v>551</v>
      </c>
      <c r="B38" s="1011"/>
      <c r="C38" s="1011"/>
      <c r="D38" s="1011"/>
      <c r="E38" s="1011"/>
      <c r="F38" s="1011"/>
      <c r="G38" s="1011"/>
      <c r="H38" s="1011"/>
      <c r="I38" s="1011"/>
      <c r="J38" s="1011"/>
      <c r="K38" s="1011"/>
      <c r="L38" s="1011"/>
      <c r="M38" s="1011"/>
    </row>
    <row r="39" spans="1:13">
      <c r="A39" s="144" t="s">
        <v>282</v>
      </c>
      <c r="B39" s="61">
        <f>_xlfn.XLOOKUP($A39,Inputs!$A:$A,Inputs!B:B,,0)</f>
        <v>11049</v>
      </c>
      <c r="C39" s="61">
        <f>_xlfn.XLOOKUP($A39,Inputs!$A:$A,Inputs!C:C,,0)</f>
        <v>12175</v>
      </c>
      <c r="D39" s="61">
        <f>_xlfn.XLOOKUP($A39,Inputs!$A:$A,Inputs!D:D,,0)</f>
        <v>13305</v>
      </c>
      <c r="E39" s="61">
        <f>_xlfn.XLOOKUP($A39,Inputs!$A:$A,Inputs!E:E,,0)</f>
        <v>9444</v>
      </c>
      <c r="F39" s="61">
        <f>_xlfn.XLOOKUP($A39,Inputs!$A:$A,Inputs!F:F,,0)</f>
        <v>7259</v>
      </c>
      <c r="G39" s="61">
        <f>_xlfn.XLOOKUP($A39,Inputs!$A:$A,Inputs!G:G,,0)</f>
        <v>5779</v>
      </c>
      <c r="H39" s="61">
        <f>_xlfn.XLOOKUP($A39,Inputs!$A:$A,Inputs!H:H,,0)</f>
        <v>4729</v>
      </c>
      <c r="I39" s="61">
        <f>_xlfn.XLOOKUP($A39,Inputs!$A:$A,Inputs!I:I,,0)</f>
        <v>6419</v>
      </c>
      <c r="J39" s="61">
        <f>_xlfn.XLOOKUP($A39,Inputs!$A:$A,Inputs!J:J,,0)</f>
        <v>7315</v>
      </c>
      <c r="K39" s="61">
        <f>_xlfn.XLOOKUP($A39,Inputs!$A:$A,Inputs!K:K,,0)</f>
        <v>6124</v>
      </c>
      <c r="L39" s="61">
        <f>_xlfn.XLOOKUP($A39,Inputs!$A:$A,Inputs!L:L,,0)</f>
        <v>0</v>
      </c>
      <c r="M39" s="62">
        <f>_xlfn.XLOOKUP($A39,Inputs!$A:$A,Inputs!M:M,,0)</f>
        <v>0</v>
      </c>
    </row>
    <row r="40" spans="1:13">
      <c r="A40" s="142" t="s">
        <v>552</v>
      </c>
      <c r="B40" s="61">
        <f>_xlfn.XLOOKUP($A40,Inputs!$A:$A,Inputs!B:B,,0)</f>
        <v>2241</v>
      </c>
      <c r="C40" s="61">
        <f>_xlfn.XLOOKUP($A40,Inputs!$A:$A,Inputs!C:C,,0)</f>
        <v>1803</v>
      </c>
      <c r="D40" s="61">
        <f>_xlfn.XLOOKUP($A40,Inputs!$A:$A,Inputs!D:D,,0)</f>
        <v>1550</v>
      </c>
      <c r="E40" s="61">
        <f>_xlfn.XLOOKUP($A40,Inputs!$A:$A,Inputs!E:E,,0)</f>
        <v>1535</v>
      </c>
      <c r="F40" s="61">
        <f>_xlfn.XLOOKUP($A40,Inputs!$A:$A,Inputs!F:F,,0)</f>
        <v>1669</v>
      </c>
      <c r="G40" s="61">
        <f>_xlfn.XLOOKUP($A40,Inputs!$A:$A,Inputs!G:G,,0)</f>
        <v>1432</v>
      </c>
      <c r="H40" s="61">
        <f>_xlfn.XLOOKUP($A40,Inputs!$A:$A,Inputs!H:H,,0)</f>
        <v>1252</v>
      </c>
      <c r="I40" s="61">
        <f>_xlfn.XLOOKUP($A40,Inputs!$A:$A,Inputs!I:I,,0)</f>
        <v>1224</v>
      </c>
      <c r="J40" s="61">
        <f>_xlfn.XLOOKUP($A40,Inputs!$A:$A,Inputs!J:J,,0)</f>
        <v>1148</v>
      </c>
      <c r="K40" s="61">
        <f>_xlfn.XLOOKUP($A40,Inputs!$A:$A,Inputs!K:K,,0)</f>
        <v>1201</v>
      </c>
      <c r="L40" s="61">
        <f>_xlfn.XLOOKUP($A40,Inputs!$A:$A,Inputs!L:L,,0)</f>
        <v>0</v>
      </c>
      <c r="M40" s="62">
        <f>_xlfn.XLOOKUP($A40,Inputs!$A:$A,Inputs!M:M,,0)</f>
        <v>0</v>
      </c>
    </row>
    <row r="41" spans="1:13">
      <c r="A41" s="144" t="s">
        <v>284</v>
      </c>
      <c r="B41" s="61">
        <f>_xlfn.XLOOKUP($A41,Inputs!$A:$A,Inputs!B:B,,0)</f>
        <v>17907</v>
      </c>
      <c r="C41" s="61">
        <f>_xlfn.XLOOKUP($A41,Inputs!$A:$A,Inputs!C:C,,0)</f>
        <v>14215</v>
      </c>
      <c r="D41" s="61">
        <f>_xlfn.XLOOKUP($A41,Inputs!$A:$A,Inputs!D:D,,0)</f>
        <v>12242</v>
      </c>
      <c r="E41" s="61">
        <f>_xlfn.XLOOKUP($A41,Inputs!$A:$A,Inputs!E:E,,0)</f>
        <v>11395</v>
      </c>
      <c r="F41" s="61">
        <f>_xlfn.XLOOKUP($A41,Inputs!$A:$A,Inputs!F:F,,0)</f>
        <v>11040</v>
      </c>
      <c r="G41" s="61">
        <f>_xlfn.XLOOKUP($A41,Inputs!$A:$A,Inputs!G:G,,0)</f>
        <v>9834</v>
      </c>
      <c r="H41" s="61">
        <f>_xlfn.XLOOKUP($A41,Inputs!$A:$A,Inputs!H:H,,0)</f>
        <v>8969</v>
      </c>
      <c r="I41" s="61">
        <f>_xlfn.XLOOKUP($A41,Inputs!$A:$A,Inputs!I:I,,0)</f>
        <v>8908</v>
      </c>
      <c r="J41" s="61">
        <f>_xlfn.XLOOKUP($A41,Inputs!$A:$A,Inputs!J:J,,0)</f>
        <v>8456</v>
      </c>
      <c r="K41" s="61">
        <f>_xlfn.XLOOKUP($A41,Inputs!$A:$A,Inputs!K:K,,0)</f>
        <v>7894</v>
      </c>
      <c r="L41" s="61">
        <f>_xlfn.XLOOKUP($A41,Inputs!$A:$A,Inputs!L:L,,0)</f>
        <v>0</v>
      </c>
      <c r="M41" s="62">
        <f>_xlfn.XLOOKUP($A41,Inputs!$A:$A,Inputs!M:M,,0)</f>
        <v>0</v>
      </c>
    </row>
    <row r="42" spans="1:13">
      <c r="A42" s="142" t="s">
        <v>553</v>
      </c>
      <c r="B42" s="61">
        <f>_xlfn.XLOOKUP($A42,Inputs!$A:$A,Inputs!B:B,,0)</f>
        <v>44326</v>
      </c>
      <c r="C42" s="61">
        <f>_xlfn.XLOOKUP($A42,Inputs!$A:$A,Inputs!C:C,,0)</f>
        <v>41258</v>
      </c>
      <c r="D42" s="61">
        <f>_xlfn.XLOOKUP($A42,Inputs!$A:$A,Inputs!D:D,,0)</f>
        <v>38083</v>
      </c>
      <c r="E42" s="61">
        <f>_xlfn.XLOOKUP($A42,Inputs!$A:$A,Inputs!E:E,,0)</f>
        <v>32626</v>
      </c>
      <c r="F42" s="61">
        <f>_xlfn.XLOOKUP($A42,Inputs!$A:$A,Inputs!F:F,,0)</f>
        <v>30714</v>
      </c>
      <c r="G42" s="61">
        <f>_xlfn.XLOOKUP($A42,Inputs!$A:$A,Inputs!G:G,,0)</f>
        <v>28341</v>
      </c>
      <c r="H42" s="61">
        <f>_xlfn.XLOOKUP($A42,Inputs!$A:$A,Inputs!H:H,,0)</f>
        <v>26167</v>
      </c>
      <c r="I42" s="61">
        <f>_xlfn.XLOOKUP($A42,Inputs!$A:$A,Inputs!I:I,,0)</f>
        <v>23664</v>
      </c>
      <c r="J42" s="61">
        <f>_xlfn.XLOOKUP($A42,Inputs!$A:$A,Inputs!J:J,,0)</f>
        <v>22675</v>
      </c>
      <c r="K42" s="61">
        <f>_xlfn.XLOOKUP($A42,Inputs!$A:$A,Inputs!K:K,,0)</f>
        <v>21022</v>
      </c>
      <c r="L42" s="61">
        <f>_xlfn.XLOOKUP($A42,Inputs!$A:$A,Inputs!L:L,,0)</f>
        <v>0</v>
      </c>
      <c r="M42" s="62">
        <f>_xlfn.XLOOKUP($A42,Inputs!$A:$A,Inputs!M:M,,0)</f>
        <v>0</v>
      </c>
    </row>
    <row r="43" spans="1:13">
      <c r="A43" s="144" t="s">
        <v>554</v>
      </c>
      <c r="B43" s="61">
        <f>_xlfn.XLOOKUP($A43,Inputs!$A:$A,Inputs!B:B,,0)</f>
        <v>2491</v>
      </c>
      <c r="C43" s="61">
        <f>_xlfn.XLOOKUP($A43,Inputs!$A:$A,Inputs!C:C,,0)</f>
        <v>2253</v>
      </c>
      <c r="D43" s="61">
        <f>_xlfn.XLOOKUP($A43,Inputs!$A:$A,Inputs!D:D,,0)</f>
        <v>1878</v>
      </c>
      <c r="E43" s="61">
        <f>_xlfn.XLOOKUP($A43,Inputs!$A:$A,Inputs!E:E,,0)</f>
        <v>1695</v>
      </c>
      <c r="F43" s="61">
        <f>_xlfn.XLOOKUP($A43,Inputs!$A:$A,Inputs!F:F,,0)</f>
        <v>865</v>
      </c>
      <c r="G43" s="61">
        <f>_xlfn.XLOOKUP($A43,Inputs!$A:$A,Inputs!G:G,,0)</f>
        <v>887</v>
      </c>
      <c r="H43" s="61">
        <f>_xlfn.XLOOKUP($A43,Inputs!$A:$A,Inputs!H:H,,0)</f>
        <v>968</v>
      </c>
      <c r="I43" s="61">
        <f>_xlfn.XLOOKUP($A43,Inputs!$A:$A,Inputs!I:I,,0)</f>
        <v>846</v>
      </c>
      <c r="J43" s="61">
        <f>_xlfn.XLOOKUP($A43,Inputs!$A:$A,Inputs!J:J,,0)</f>
        <v>1177</v>
      </c>
      <c r="K43" s="61">
        <f>_xlfn.XLOOKUP($A43,Inputs!$A:$A,Inputs!K:K,,0)</f>
        <v>1121</v>
      </c>
      <c r="L43" s="61">
        <f>_xlfn.XLOOKUP($A43,Inputs!$A:$A,Inputs!L:L,,0)</f>
        <v>0</v>
      </c>
      <c r="M43" s="62">
        <f>_xlfn.XLOOKUP($A43,Inputs!$A:$A,Inputs!M:M,,0)</f>
        <v>0</v>
      </c>
    </row>
    <row r="44" spans="1:13">
      <c r="A44" s="145" t="s">
        <v>40</v>
      </c>
      <c r="B44" s="71">
        <f>_xlfn.XLOOKUP($A44,Inputs!$A:$A,Inputs!B:B,,0)</f>
        <v>64166</v>
      </c>
      <c r="C44" s="71">
        <f>_xlfn.XLOOKUP($A44,Inputs!$A:$A,Inputs!C:C,,0)</f>
        <v>59268</v>
      </c>
      <c r="D44" s="71">
        <f>_xlfn.XLOOKUP($A44,Inputs!$A:$A,Inputs!D:D,,0)</f>
        <v>55556</v>
      </c>
      <c r="E44" s="71">
        <f>_xlfn.XLOOKUP($A44,Inputs!$A:$A,Inputs!E:E,,0)</f>
        <v>45400</v>
      </c>
      <c r="F44" s="71">
        <f>_xlfn.XLOOKUP($A44,Inputs!$A:$A,Inputs!F:F,,0)</f>
        <v>40830</v>
      </c>
      <c r="G44" s="71">
        <f>_xlfn.XLOOKUP($A44,Inputs!$A:$A,Inputs!G:G,,0)</f>
        <v>36347</v>
      </c>
      <c r="H44" s="71">
        <f>_xlfn.XLOOKUP($A44,Inputs!$A:$A,Inputs!H:H,,0)</f>
        <v>33163</v>
      </c>
      <c r="I44" s="71">
        <f>_xlfn.XLOOKUP($A44,Inputs!$A:$A,Inputs!I:I,,0)</f>
        <v>33017</v>
      </c>
      <c r="J44" s="71">
        <f>_xlfn.XLOOKUP($A44,Inputs!$A:$A,Inputs!J:J,,0)</f>
        <v>33024</v>
      </c>
      <c r="K44" s="71">
        <f>_xlfn.XLOOKUP($A44,Inputs!$A:$A,Inputs!K:K,,0)</f>
        <v>30283</v>
      </c>
      <c r="L44" s="71">
        <f>_xlfn.XLOOKUP($A44,Inputs!$A:$A,Inputs!L:L,,0)</f>
        <v>0</v>
      </c>
      <c r="M44" s="71">
        <f>_xlfn.XLOOKUP($A44,Inputs!$A:$A,Inputs!M:M,,0)</f>
        <v>0</v>
      </c>
    </row>
    <row r="45" spans="1:13">
      <c r="B45"/>
      <c r="C45"/>
      <c r="D45"/>
      <c r="E45"/>
      <c r="F45"/>
      <c r="G45"/>
      <c r="H45"/>
      <c r="I45"/>
      <c r="J45"/>
      <c r="K45"/>
      <c r="L45"/>
      <c r="M45"/>
    </row>
    <row r="46" spans="1:13">
      <c r="B46"/>
      <c r="C46"/>
      <c r="D46"/>
      <c r="E46"/>
      <c r="F46"/>
      <c r="G46"/>
      <c r="H46"/>
      <c r="I46"/>
      <c r="J46"/>
      <c r="K46"/>
      <c r="L46"/>
      <c r="M46"/>
    </row>
    <row r="47" spans="1:13" ht="20.25">
      <c r="A47" s="1011" t="s">
        <v>555</v>
      </c>
      <c r="B47" s="1011"/>
      <c r="C47" s="1011"/>
      <c r="D47" s="1011"/>
      <c r="E47" s="1011"/>
      <c r="F47" s="1011"/>
      <c r="G47" s="1011"/>
      <c r="H47" s="1011"/>
      <c r="I47" s="1011"/>
      <c r="J47" s="1011"/>
      <c r="K47" s="1011"/>
      <c r="L47" s="1011"/>
      <c r="M47" s="1011"/>
    </row>
    <row r="48" spans="1:13">
      <c r="A48" s="146" t="s">
        <v>288</v>
      </c>
      <c r="B48" s="71">
        <f>_xlfn.XLOOKUP($A48,Inputs!$A:$A,Inputs!B:B,,0)</f>
        <v>31998</v>
      </c>
      <c r="C48" s="71">
        <f>_xlfn.XLOOKUP($A48,Inputs!$A:$A,Inputs!C:C,,0)</f>
        <v>29441</v>
      </c>
      <c r="D48" s="71">
        <f>_xlfn.XLOOKUP($A48,Inputs!$A:$A,Inputs!D:D,,0)</f>
        <v>24844</v>
      </c>
      <c r="E48" s="71">
        <f>_xlfn.XLOOKUP($A48,Inputs!$A:$A,Inputs!E:E,,0)</f>
        <v>23237</v>
      </c>
      <c r="F48" s="71">
        <f>_xlfn.XLOOKUP($A48,Inputs!$A:$A,Inputs!F:F,,0)</f>
        <v>19926</v>
      </c>
      <c r="G48" s="71">
        <f>_xlfn.XLOOKUP($A48,Inputs!$A:$A,Inputs!G:G,,0)</f>
        <v>17495</v>
      </c>
      <c r="H48" s="71">
        <f>_xlfn.XLOOKUP($A48,Inputs!$A:$A,Inputs!H:H,,0)</f>
        <v>15575</v>
      </c>
      <c r="I48" s="71">
        <f>_xlfn.XLOOKUP($A48,Inputs!$A:$A,Inputs!I:I,,0)</f>
        <v>16539</v>
      </c>
      <c r="J48" s="71">
        <f>_xlfn.XLOOKUP($A48,Inputs!$A:$A,Inputs!J:J,,0)</f>
        <v>14412</v>
      </c>
      <c r="K48" s="71">
        <f>_xlfn.XLOOKUP($A48,Inputs!$A:$A,Inputs!K:K,,0)</f>
        <v>13257</v>
      </c>
      <c r="L48" s="71">
        <f>_xlfn.XLOOKUP($A48,Inputs!$A:$A,Inputs!L:L,,0)</f>
        <v>0</v>
      </c>
      <c r="M48" s="71">
        <f>_xlfn.XLOOKUP($A48,Inputs!$A:$A,Inputs!M:M,,0)</f>
        <v>0</v>
      </c>
    </row>
    <row r="49" spans="1:13">
      <c r="A49" s="147" t="s">
        <v>556</v>
      </c>
      <c r="B49" s="61">
        <f>_xlfn.XLOOKUP($A49,Inputs!$A:$A,Inputs!B:B,,0)</f>
        <v>73</v>
      </c>
      <c r="C49" s="61">
        <f>_xlfn.XLOOKUP($A49,Inputs!$A:$A,Inputs!C:C,,0)</f>
        <v>799</v>
      </c>
      <c r="D49" s="61">
        <f>_xlfn.XLOOKUP($A49,Inputs!$A:$A,Inputs!D:D,,0)</f>
        <v>95</v>
      </c>
      <c r="E49" s="61">
        <f>_xlfn.XLOOKUP($A49,Inputs!$A:$A,Inputs!E:E,,0)</f>
        <v>1699</v>
      </c>
      <c r="F49" s="61">
        <f>_xlfn.XLOOKUP($A49,Inputs!$A:$A,Inputs!F:F,,0)</f>
        <v>90</v>
      </c>
      <c r="G49" s="61">
        <f>_xlfn.XLOOKUP($A49,Inputs!$A:$A,Inputs!G:G,,0)</f>
        <v>86</v>
      </c>
      <c r="H49" s="61">
        <f>_xlfn.XLOOKUP($A49,Inputs!$A:$A,Inputs!H:H,,0)</f>
        <v>1100</v>
      </c>
      <c r="I49" s="61">
        <f>_xlfn.XLOOKUP($A49,Inputs!$A:$A,Inputs!I:I,,0)</f>
        <v>1283</v>
      </c>
      <c r="J49" s="61">
        <f>_xlfn.XLOOKUP($A49,Inputs!$A:$A,Inputs!J:J,,0)</f>
        <v>0</v>
      </c>
      <c r="K49" s="61">
        <f>_xlfn.XLOOKUP($A49,Inputs!$A:$A,Inputs!K:K,,0)</f>
        <v>0</v>
      </c>
      <c r="L49" s="61">
        <f>_xlfn.XLOOKUP($A49,Inputs!$A:$A,Inputs!L:L,,0)</f>
        <v>0</v>
      </c>
      <c r="M49" s="61">
        <f>_xlfn.XLOOKUP($A49,Inputs!$A:$A,Inputs!M:M,,0)</f>
        <v>0</v>
      </c>
    </row>
    <row r="50" spans="1:13">
      <c r="A50" s="141" t="s">
        <v>557</v>
      </c>
      <c r="B50" s="61">
        <f>_xlfn.XLOOKUP($A50,Inputs!$A:$A,Inputs!B:B,,0)</f>
        <v>484</v>
      </c>
      <c r="C50" s="61">
        <f>_xlfn.XLOOKUP($A50,Inputs!$A:$A,Inputs!C:C,,0)</f>
        <v>294</v>
      </c>
      <c r="D50" s="61">
        <f>_xlfn.XLOOKUP($A50,Inputs!$A:$A,Inputs!D:D,,0)</f>
        <v>262</v>
      </c>
      <c r="E50" s="61">
        <f>_xlfn.XLOOKUP($A50,Inputs!$A:$A,Inputs!E:E,,0)</f>
        <v>51</v>
      </c>
      <c r="F50" s="61">
        <v>0</v>
      </c>
      <c r="G50" s="61">
        <v>0</v>
      </c>
      <c r="H50" s="61">
        <v>0</v>
      </c>
      <c r="I50" s="61">
        <v>0</v>
      </c>
      <c r="J50" s="61">
        <v>0</v>
      </c>
      <c r="K50" s="61">
        <v>0</v>
      </c>
      <c r="L50" s="61">
        <f>_xlfn.XLOOKUP($A50,Inputs!$A:$A,Inputs!L:L,,0)</f>
        <v>0</v>
      </c>
      <c r="M50" s="61">
        <f>_xlfn.XLOOKUP($A50,Inputs!$A:$A,Inputs!M:M,,0)</f>
        <v>0</v>
      </c>
    </row>
    <row r="51" spans="1:13">
      <c r="A51" s="142" t="s">
        <v>558</v>
      </c>
      <c r="B51" s="61">
        <f>_xlfn.XLOOKUP($A51,Inputs!$A:$A,Inputs!B:B,,0)</f>
        <v>13593</v>
      </c>
      <c r="C51" s="61">
        <f>_xlfn.XLOOKUP($A51,Inputs!$A:$A,Inputs!C:C,,0)</f>
        <v>12070</v>
      </c>
      <c r="D51" s="61">
        <f>_xlfn.XLOOKUP($A51,Inputs!$A:$A,Inputs!D:D,,0)</f>
        <v>10315</v>
      </c>
      <c r="E51" s="61">
        <f>_xlfn.XLOOKUP($A51,Inputs!$A:$A,Inputs!E:E,,0)</f>
        <v>9808</v>
      </c>
      <c r="F51" s="61">
        <f>_xlfn.XLOOKUP($A51,Inputs!$A:$A,Inputs!F:F,,0)</f>
        <v>8599</v>
      </c>
      <c r="G51" s="61">
        <f>_xlfn.XLOOKUP($A51,Inputs!$A:$A,Inputs!G:G,,0)</f>
        <v>7801</v>
      </c>
      <c r="H51" s="61">
        <f>_xlfn.XLOOKUP($A51,Inputs!$A:$A,Inputs!H:H,,0)</f>
        <v>6863</v>
      </c>
      <c r="I51" s="61">
        <f>_xlfn.XLOOKUP($A51,Inputs!$A:$A,Inputs!I:I,,0)</f>
        <v>6245</v>
      </c>
      <c r="J51" s="61">
        <f>_xlfn.XLOOKUP($A51,Inputs!$A:$A,Inputs!J:J,,0)</f>
        <v>5921</v>
      </c>
      <c r="K51" s="61">
        <f>_xlfn.XLOOKUP($A51,Inputs!$A:$A,Inputs!K:K,,0)</f>
        <v>5385</v>
      </c>
      <c r="L51" s="61">
        <f>_xlfn.XLOOKUP($A51,Inputs!$A:$A,Inputs!L:L,,0)</f>
        <v>0</v>
      </c>
      <c r="M51" s="61">
        <f>_xlfn.XLOOKUP($A51,Inputs!$A:$A,Inputs!M:M,,0)</f>
        <v>0</v>
      </c>
    </row>
    <row r="52" spans="1:13">
      <c r="A52" s="146" t="s">
        <v>559</v>
      </c>
      <c r="B52" s="71">
        <f>_xlfn.XLOOKUP($A52,Inputs!$A:$A,Inputs!B:B,,0)</f>
        <v>11521</v>
      </c>
      <c r="C52" s="71">
        <f>_xlfn.XLOOKUP($A52,Inputs!$A:$A,Inputs!C:C,,0)</f>
        <v>11749</v>
      </c>
      <c r="D52" s="71">
        <f>_xlfn.XLOOKUP($A52,Inputs!$A:$A,Inputs!D:D,,0)</f>
        <v>12007</v>
      </c>
      <c r="E52" s="71">
        <f>_xlfn.XLOOKUP($A52,Inputs!$A:$A,Inputs!E:E,,0)</f>
        <v>6579</v>
      </c>
      <c r="F52" s="71">
        <f>_xlfn.XLOOKUP($A52,Inputs!$A:$A,Inputs!F:F,,0)</f>
        <v>7801</v>
      </c>
      <c r="G52" s="71">
        <f>_xlfn.XLOOKUP($A52,Inputs!$A:$A,Inputs!G:G,,0)</f>
        <v>7773</v>
      </c>
      <c r="H52" s="71">
        <f>_xlfn.XLOOKUP($A52,Inputs!$A:$A,Inputs!H:H,,0)</f>
        <v>5256</v>
      </c>
      <c r="I52" s="71">
        <f>_xlfn.XLOOKUP($A52,Inputs!$A:$A,Inputs!I:I,,0)</f>
        <v>5635</v>
      </c>
      <c r="J52" s="71">
        <f>_xlfn.XLOOKUP($A52,Inputs!$A:$A,Inputs!J:J,,0)</f>
        <v>6097</v>
      </c>
      <c r="K52" s="71">
        <f>_xlfn.XLOOKUP($A52,Inputs!$A:$A,Inputs!K:K,,0)</f>
        <v>6014</v>
      </c>
      <c r="L52" s="71">
        <f>_xlfn.XLOOKUP($A52,Inputs!$A:$A,Inputs!L:L,,0)</f>
        <v>0</v>
      </c>
      <c r="M52" s="71">
        <f>_xlfn.XLOOKUP($A52,Inputs!$A:$A,Inputs!M:M,,0)</f>
        <v>0</v>
      </c>
    </row>
    <row r="53" spans="1:13">
      <c r="A53" s="147" t="s">
        <v>560</v>
      </c>
      <c r="B53" s="61">
        <f>_xlfn.XLOOKUP($A53,Inputs!$A:$A,Inputs!B:B,,0)</f>
        <v>6484</v>
      </c>
      <c r="C53" s="61">
        <f>_xlfn.XLOOKUP($A53,Inputs!$A:$A,Inputs!C:C,,0)</f>
        <v>6692</v>
      </c>
      <c r="D53" s="61">
        <f>_xlfn.XLOOKUP($A53,Inputs!$A:$A,Inputs!D:D,,0)</f>
        <v>7514</v>
      </c>
      <c r="E53" s="61">
        <f>_xlfn.XLOOKUP($A53,Inputs!$A:$A,Inputs!E:E,,0)</f>
        <v>5124</v>
      </c>
      <c r="F53" s="61">
        <f>_xlfn.XLOOKUP($A53,Inputs!$A:$A,Inputs!F:F,,0)</f>
        <v>6487</v>
      </c>
      <c r="G53" s="61">
        <f>_xlfn.XLOOKUP($A53,Inputs!$A:$A,Inputs!G:G,,0)</f>
        <v>6573</v>
      </c>
      <c r="H53" s="61">
        <f>_xlfn.XLOOKUP($A53,Inputs!$A:$A,Inputs!H:H,,0)</f>
        <v>4061</v>
      </c>
      <c r="I53" s="61">
        <f>_xlfn.XLOOKUP($A53,Inputs!$A:$A,Inputs!I:I,,0)</f>
        <v>4852</v>
      </c>
      <c r="J53" s="61">
        <f>_xlfn.XLOOKUP($A53,Inputs!$A:$A,Inputs!J:J,,0)</f>
        <v>5093</v>
      </c>
      <c r="K53" s="61">
        <f>_xlfn.XLOOKUP($A53,Inputs!$A:$A,Inputs!K:K,,0)</f>
        <v>4998</v>
      </c>
      <c r="L53" s="61">
        <f>_xlfn.XLOOKUP($A53,Inputs!$A:$A,Inputs!L:L,,0)</f>
        <v>0</v>
      </c>
      <c r="M53" s="61">
        <f>_xlfn.XLOOKUP($A53,Inputs!$A:$A,Inputs!M:M,,0)</f>
        <v>0</v>
      </c>
    </row>
    <row r="54" spans="1:13">
      <c r="A54" s="141" t="s">
        <v>561</v>
      </c>
      <c r="B54" s="61">
        <f>_xlfn.XLOOKUP($A54,Inputs!$A:$A,Inputs!B:B,,0)</f>
        <v>3865</v>
      </c>
      <c r="C54" s="61">
        <f>_xlfn.XLOOKUP($A54,Inputs!$A:$A,Inputs!C:C,,0)</f>
        <v>3622</v>
      </c>
      <c r="D54" s="61">
        <f>_xlfn.XLOOKUP($A54,Inputs!$A:$A,Inputs!D:D,,0)</f>
        <v>3215</v>
      </c>
      <c r="E54" s="61">
        <f>_xlfn.XLOOKUP($A54,Inputs!$A:$A,Inputs!E:E,,0)</f>
        <v>370</v>
      </c>
      <c r="F54" s="61">
        <v>0</v>
      </c>
      <c r="G54" s="61">
        <v>0</v>
      </c>
      <c r="H54" s="61">
        <v>0</v>
      </c>
      <c r="I54" s="61">
        <v>0</v>
      </c>
      <c r="J54" s="61">
        <v>0</v>
      </c>
      <c r="K54" s="61">
        <v>0</v>
      </c>
      <c r="L54" s="61">
        <f>_xlfn.XLOOKUP($A54,Inputs!$A:$A,Inputs!L:L,,0)</f>
        <v>0</v>
      </c>
      <c r="M54" s="61">
        <f>_xlfn.XLOOKUP($A54,Inputs!$A:$A,Inputs!M:M,,0)</f>
        <v>0</v>
      </c>
    </row>
    <row r="55" spans="1:13">
      <c r="A55" s="142" t="s">
        <v>562</v>
      </c>
      <c r="B55" s="61">
        <f>_xlfn.XLOOKUP($A55,Inputs!$A:$A,Inputs!B:B,,0)</f>
        <v>1172</v>
      </c>
      <c r="C55" s="61">
        <f>_xlfn.XLOOKUP($A55,Inputs!$A:$A,Inputs!C:C,,0)</f>
        <v>1435</v>
      </c>
      <c r="D55" s="61">
        <f>_xlfn.XLOOKUP($A55,Inputs!$A:$A,Inputs!D:D,,0)</f>
        <v>1278</v>
      </c>
      <c r="E55" s="61">
        <f>_xlfn.XLOOKUP($A55,Inputs!$A:$A,Inputs!E:E,,0)</f>
        <v>1085</v>
      </c>
      <c r="F55" s="61">
        <f>_xlfn.XLOOKUP($A55,Inputs!$A:$A,Inputs!F:F,,0)</f>
        <v>1314</v>
      </c>
      <c r="G55" s="61">
        <f>_xlfn.XLOOKUP($A55,Inputs!$A:$A,Inputs!G:G,,0)</f>
        <v>1200</v>
      </c>
      <c r="H55" s="61">
        <f>_xlfn.XLOOKUP($A55,Inputs!$A:$A,Inputs!H:H,,0)</f>
        <v>1195</v>
      </c>
      <c r="I55" s="61">
        <f>_xlfn.XLOOKUP($A55,Inputs!$A:$A,Inputs!I:I,,0)</f>
        <v>783</v>
      </c>
      <c r="J55" s="61">
        <f>_xlfn.XLOOKUP($A55,Inputs!$A:$A,Inputs!J:J,,0)</f>
        <v>1004</v>
      </c>
      <c r="K55" s="61">
        <f>_xlfn.XLOOKUP($A55,Inputs!$A:$A,Inputs!K:K,,0)</f>
        <v>1016</v>
      </c>
      <c r="L55" s="61">
        <f>_xlfn.XLOOKUP($A55,Inputs!$A:$A,Inputs!L:L,,0)</f>
        <v>0</v>
      </c>
      <c r="M55" s="61">
        <f>_xlfn.XLOOKUP($A55,Inputs!$A:$A,Inputs!M:M,,0)</f>
        <v>0</v>
      </c>
    </row>
    <row r="56" spans="1:13">
      <c r="A56" s="146" t="s">
        <v>46</v>
      </c>
      <c r="B56" s="71">
        <f>_xlfn.XLOOKUP($A56,Inputs!$A:$A,Inputs!B:B,,0)</f>
        <v>43519</v>
      </c>
      <c r="C56" s="71">
        <f>_xlfn.XLOOKUP($A56,Inputs!$A:$A,Inputs!C:C,,0)</f>
        <v>41190</v>
      </c>
      <c r="D56" s="71">
        <f>_xlfn.XLOOKUP($A56,Inputs!$A:$A,Inputs!D:D,,0)</f>
        <v>36851</v>
      </c>
      <c r="E56" s="71">
        <f>_xlfn.XLOOKUP($A56,Inputs!$A:$A,Inputs!E:E,,0)</f>
        <v>29816</v>
      </c>
      <c r="F56" s="71">
        <f>_xlfn.XLOOKUP($A56,Inputs!$A:$A,Inputs!F:F,,0)</f>
        <v>27727</v>
      </c>
      <c r="G56" s="71">
        <f>_xlfn.XLOOKUP($A56,Inputs!$A:$A,Inputs!G:G,,0)</f>
        <v>25268</v>
      </c>
      <c r="H56" s="71">
        <f>_xlfn.XLOOKUP($A56,Inputs!$A:$A,Inputs!H:H,,0)</f>
        <v>20831</v>
      </c>
      <c r="I56" s="71">
        <f>_xlfn.XLOOKUP($A56,Inputs!$A:$A,Inputs!I:I,,0)</f>
        <v>22174</v>
      </c>
      <c r="J56" s="71">
        <f>_xlfn.XLOOKUP($A56,Inputs!$A:$A,Inputs!J:J,,0)</f>
        <v>20509</v>
      </c>
      <c r="K56" s="71">
        <f>_xlfn.XLOOKUP($A56,Inputs!$A:$A,Inputs!K:K,,0)</f>
        <v>19271</v>
      </c>
      <c r="L56" s="71">
        <f>_xlfn.XLOOKUP($A56,Inputs!$A:$A,Inputs!L:L,,0)</f>
        <v>0</v>
      </c>
      <c r="M56" s="71">
        <f>_xlfn.XLOOKUP($A56,Inputs!$A:$A,Inputs!M:M,,0)</f>
        <v>0</v>
      </c>
    </row>
    <row r="57" spans="1:13">
      <c r="B57"/>
      <c r="C57"/>
      <c r="D57"/>
      <c r="E57"/>
      <c r="F57"/>
      <c r="G57"/>
      <c r="H57"/>
      <c r="I57"/>
      <c r="J57"/>
      <c r="K57"/>
      <c r="L57"/>
      <c r="M57"/>
    </row>
    <row r="58" spans="1:13">
      <c r="A58" s="146" t="s">
        <v>289</v>
      </c>
      <c r="B58" s="71">
        <f>B49+B53+B50+B54</f>
        <v>10906</v>
      </c>
      <c r="C58" s="71">
        <f t="shared" ref="C58:M58" si="76">C49+C53+C50+C54</f>
        <v>11407</v>
      </c>
      <c r="D58" s="71">
        <f t="shared" si="76"/>
        <v>11086</v>
      </c>
      <c r="E58" s="71">
        <f t="shared" si="76"/>
        <v>7244</v>
      </c>
      <c r="F58" s="71">
        <f>F49+F53+F50+F54</f>
        <v>6577</v>
      </c>
      <c r="G58" s="71">
        <f>G49+G53+G50+G54</f>
        <v>6659</v>
      </c>
      <c r="H58" s="71">
        <f t="shared" si="76"/>
        <v>5161</v>
      </c>
      <c r="I58" s="71">
        <f t="shared" si="76"/>
        <v>6135</v>
      </c>
      <c r="J58" s="71">
        <f t="shared" si="76"/>
        <v>5093</v>
      </c>
      <c r="K58" s="71">
        <f t="shared" si="76"/>
        <v>4998</v>
      </c>
      <c r="L58" s="71">
        <f t="shared" si="76"/>
        <v>0</v>
      </c>
      <c r="M58" s="71">
        <f t="shared" si="76"/>
        <v>0</v>
      </c>
    </row>
    <row r="59" spans="1:13">
      <c r="A59" s="147" t="s">
        <v>69</v>
      </c>
      <c r="B59" s="64">
        <f>IFERROR(B58/B44,"-")</f>
        <v>0.16996540223794532</v>
      </c>
      <c r="C59" s="64">
        <f t="shared" ref="C59:M59" si="77">IFERROR(C58/C44,"-")</f>
        <v>0.19246473645137344</v>
      </c>
      <c r="D59" s="64">
        <f t="shared" si="77"/>
        <v>0.19954640362877096</v>
      </c>
      <c r="E59" s="64">
        <f t="shared" si="77"/>
        <v>0.15955947136563878</v>
      </c>
      <c r="F59" s="64">
        <f t="shared" si="77"/>
        <v>0.16108253734998776</v>
      </c>
      <c r="G59" s="64">
        <f t="shared" si="77"/>
        <v>0.18320631688997716</v>
      </c>
      <c r="H59" s="64">
        <f t="shared" si="77"/>
        <v>0.15562524500196001</v>
      </c>
      <c r="I59" s="64">
        <f t="shared" si="77"/>
        <v>0.18581336887058181</v>
      </c>
      <c r="J59" s="64">
        <f t="shared" si="77"/>
        <v>0.15422117248062014</v>
      </c>
      <c r="K59" s="64">
        <f t="shared" si="77"/>
        <v>0.16504309348479346</v>
      </c>
      <c r="L59" s="64" t="str">
        <f t="shared" si="77"/>
        <v>-</v>
      </c>
      <c r="M59" s="64" t="str">
        <f t="shared" si="77"/>
        <v>-</v>
      </c>
    </row>
    <row r="60" spans="1:13">
      <c r="A60" s="146" t="s">
        <v>563</v>
      </c>
      <c r="B60" s="71">
        <f>B58-B39</f>
        <v>-143</v>
      </c>
      <c r="C60" s="71">
        <f t="shared" ref="C60:M60" si="78">C58-C39</f>
        <v>-768</v>
      </c>
      <c r="D60" s="71">
        <f t="shared" si="78"/>
        <v>-2219</v>
      </c>
      <c r="E60" s="71">
        <f t="shared" si="78"/>
        <v>-2200</v>
      </c>
      <c r="F60" s="71">
        <f t="shared" si="78"/>
        <v>-682</v>
      </c>
      <c r="G60" s="71">
        <f t="shared" si="78"/>
        <v>880</v>
      </c>
      <c r="H60" s="71">
        <f t="shared" si="78"/>
        <v>432</v>
      </c>
      <c r="I60" s="71">
        <f t="shared" si="78"/>
        <v>-284</v>
      </c>
      <c r="J60" s="71">
        <f t="shared" si="78"/>
        <v>-2222</v>
      </c>
      <c r="K60" s="71">
        <f t="shared" si="78"/>
        <v>-1126</v>
      </c>
      <c r="L60" s="71">
        <f t="shared" si="78"/>
        <v>0</v>
      </c>
      <c r="M60" s="71">
        <f t="shared" si="78"/>
        <v>0</v>
      </c>
    </row>
    <row r="61" spans="1:13">
      <c r="B61"/>
      <c r="C61"/>
      <c r="D61"/>
      <c r="E61"/>
      <c r="F61"/>
      <c r="G61"/>
      <c r="H61"/>
      <c r="I61"/>
      <c r="J61"/>
      <c r="K61"/>
      <c r="L61"/>
      <c r="M61"/>
    </row>
    <row r="62" spans="1:13" s="52" customFormat="1">
      <c r="A62" s="146" t="s">
        <v>564</v>
      </c>
      <c r="B62" s="71">
        <f>_xlfn.XLOOKUP($A62,Inputs!$A:$A,Inputs!B:B,,0)</f>
        <v>5</v>
      </c>
      <c r="C62" s="71">
        <f>_xlfn.XLOOKUP($A62,Inputs!$A:$A,Inputs!C:C,,0)</f>
        <v>514</v>
      </c>
      <c r="D62" s="71">
        <f>_xlfn.XLOOKUP($A62,Inputs!$A:$A,Inputs!D:D,,0)</f>
        <v>421</v>
      </c>
      <c r="E62" s="71">
        <f>_xlfn.XLOOKUP($A62,Inputs!$A:$A,Inputs!E:E,,0)</f>
        <v>341</v>
      </c>
      <c r="F62" s="71">
        <f>_xlfn.XLOOKUP($A62,Inputs!$A:$A,Inputs!F:F,,0)</f>
        <v>304</v>
      </c>
      <c r="G62" s="71">
        <f>_xlfn.XLOOKUP($A62,Inputs!$A:$A,Inputs!G:G,,0)</f>
        <v>301</v>
      </c>
      <c r="H62" s="71">
        <f>_xlfn.XLOOKUP($A62,Inputs!$A:$A,Inputs!H:H,,0)</f>
        <v>253</v>
      </c>
      <c r="I62" s="71">
        <f>_xlfn.XLOOKUP($A62,Inputs!$A:$A,Inputs!I:I,,0)</f>
        <v>226</v>
      </c>
      <c r="J62" s="71">
        <f>_xlfn.XLOOKUP($A62,Inputs!$A:$A,Inputs!J:J,,0)</f>
        <v>212</v>
      </c>
      <c r="K62" s="71">
        <f>_xlfn.XLOOKUP($A62,Inputs!$A:$A,Inputs!K:K,,0)</f>
        <v>179</v>
      </c>
      <c r="L62" s="71">
        <f>_xlfn.XLOOKUP($A62,Inputs!$A:$A,Inputs!L:L,,0)</f>
        <v>0</v>
      </c>
      <c r="M62" s="71">
        <f>_xlfn.XLOOKUP($A62,Inputs!$A:$A,Inputs!M:M,,0)</f>
        <v>0</v>
      </c>
    </row>
    <row r="63" spans="1:13">
      <c r="B63"/>
      <c r="C63"/>
      <c r="D63"/>
      <c r="E63"/>
      <c r="F63"/>
      <c r="G63"/>
      <c r="H63"/>
      <c r="I63"/>
      <c r="J63"/>
      <c r="K63"/>
      <c r="L63"/>
      <c r="M63"/>
    </row>
    <row r="64" spans="1:13">
      <c r="A64" s="146" t="s">
        <v>565</v>
      </c>
      <c r="B64" s="71">
        <f>_xlfn.XLOOKUP($A64,Inputs!$A:$A,Inputs!B:B,,0)</f>
        <v>20642</v>
      </c>
      <c r="C64" s="71">
        <f>_xlfn.XLOOKUP($A64,Inputs!$A:$A,Inputs!C:C,,0)</f>
        <v>17564</v>
      </c>
      <c r="D64" s="71">
        <f>_xlfn.XLOOKUP($A64,Inputs!$A:$A,Inputs!D:D,,0)</f>
        <v>18284</v>
      </c>
      <c r="E64" s="71">
        <f>_xlfn.XLOOKUP($A64,Inputs!$A:$A,Inputs!E:E,,0)</f>
        <v>15243</v>
      </c>
      <c r="F64" s="71">
        <f>_xlfn.XLOOKUP($A64,Inputs!$A:$A,Inputs!F:F,,0)</f>
        <v>12799</v>
      </c>
      <c r="G64" s="71">
        <f>_xlfn.XLOOKUP($A64,Inputs!$A:$A,Inputs!G:G,,0)</f>
        <v>10778</v>
      </c>
      <c r="H64" s="71">
        <f>_xlfn.XLOOKUP($A64,Inputs!$A:$A,Inputs!H:H,,0)</f>
        <v>12079</v>
      </c>
      <c r="I64" s="71">
        <f>_xlfn.XLOOKUP($A64,Inputs!$A:$A,Inputs!I:I,,0)</f>
        <v>10617</v>
      </c>
      <c r="J64" s="71">
        <f>_xlfn.XLOOKUP($A64,Inputs!$A:$A,Inputs!J:J,,0)</f>
        <v>12303</v>
      </c>
      <c r="K64" s="71">
        <f>_xlfn.XLOOKUP($A64,Inputs!$A:$A,Inputs!K:K,,0)</f>
        <v>10833</v>
      </c>
      <c r="L64" s="71">
        <f>_xlfn.XLOOKUP($A64,Inputs!$A:$A,Inputs!L:L,,0)</f>
        <v>0</v>
      </c>
      <c r="M64" s="71">
        <f>_xlfn.XLOOKUP($A64,Inputs!$A:$A,Inputs!M:M,,0)</f>
        <v>0</v>
      </c>
    </row>
    <row r="65" spans="1:235">
      <c r="K65" s="47"/>
      <c r="L65" s="47"/>
      <c r="M65" s="47"/>
    </row>
    <row r="66" spans="1:235" ht="20.25">
      <c r="A66" s="1011" t="s">
        <v>129</v>
      </c>
      <c r="B66" s="1011"/>
      <c r="C66" s="1011"/>
      <c r="D66" s="1011"/>
      <c r="E66" s="1011"/>
      <c r="F66" s="1011"/>
      <c r="G66" s="1011"/>
      <c r="H66" s="1011"/>
      <c r="I66" s="1011"/>
      <c r="J66" s="1011"/>
      <c r="K66" s="1011"/>
      <c r="L66" s="1011"/>
      <c r="M66" s="1011"/>
    </row>
    <row r="67" spans="1:235">
      <c r="A67" s="146" t="s">
        <v>130</v>
      </c>
      <c r="B67" s="71">
        <f>_xlfn.XLOOKUP($A67,Inputs!$A:$A,Inputs!B:B,,0)</f>
        <v>7392</v>
      </c>
      <c r="C67" s="71">
        <f>_xlfn.XLOOKUP($A67,Inputs!$A:$A,Inputs!C:C,,0)</f>
        <v>8958</v>
      </c>
      <c r="D67" s="71">
        <f>_xlfn.XLOOKUP($A67,Inputs!$A:$A,Inputs!D:D,,0)</f>
        <v>8861</v>
      </c>
      <c r="E67" s="71">
        <f>_xlfn.XLOOKUP($A67,Inputs!$A:$A,Inputs!E:E,,0)</f>
        <v>6356</v>
      </c>
      <c r="F67" s="71">
        <f>_xlfn.XLOOKUP($A67,Inputs!$A:$A,Inputs!F:F,,0)</f>
        <v>5774</v>
      </c>
      <c r="G67" s="71">
        <f>_xlfn.XLOOKUP($A67,Inputs!$A:$A,Inputs!G:G,,0)</f>
        <v>6726</v>
      </c>
      <c r="H67" s="71">
        <f>_xlfn.XLOOKUP($A67,Inputs!$A:$A,Inputs!H:H,,0)</f>
        <v>3292</v>
      </c>
      <c r="I67" s="71">
        <f>_xlfn.XLOOKUP($A67,Inputs!$A:$A,Inputs!I:I,,0)</f>
        <v>4285</v>
      </c>
      <c r="J67" s="71">
        <f>_xlfn.XLOOKUP($A67,Inputs!$A:$A,Inputs!J:J,,0)</f>
        <v>3984</v>
      </c>
      <c r="K67" s="71">
        <f>_xlfn.XLOOKUP($A67,Inputs!$A:$A,Inputs!K:K,,0)</f>
        <v>3437</v>
      </c>
      <c r="L67" s="71">
        <f>_xlfn.XLOOKUP($A67,Inputs!$A:$A,Inputs!L:L,,0)</f>
        <v>0</v>
      </c>
      <c r="M67" s="71">
        <f>_xlfn.XLOOKUP($A67,Inputs!$A:$A,Inputs!M:M,,0)</f>
        <v>0</v>
      </c>
    </row>
    <row r="68" spans="1:235">
      <c r="A68" s="146" t="s">
        <v>131</v>
      </c>
      <c r="B68" s="71">
        <f>_xlfn.XLOOKUP($A68,Inputs!$A:$A,Inputs!B:B,,0)</f>
        <v>-3915</v>
      </c>
      <c r="C68" s="71">
        <f>_xlfn.XLOOKUP($A68,Inputs!$A:$A,Inputs!C:C,,0)</f>
        <v>-3535</v>
      </c>
      <c r="D68" s="71">
        <f>_xlfn.XLOOKUP($A68,Inputs!$A:$A,Inputs!D:D,,0)</f>
        <v>-3891</v>
      </c>
      <c r="E68" s="71">
        <f>_xlfn.XLOOKUP($A68,Inputs!$A:$A,Inputs!E:E,,0)</f>
        <v>-2865</v>
      </c>
      <c r="F68" s="71">
        <f>_xlfn.XLOOKUP($A68,Inputs!$A:$A,Inputs!F:F,,0)</f>
        <v>-2947</v>
      </c>
      <c r="G68" s="71">
        <f>_xlfn.XLOOKUP($A68,Inputs!$A:$A,Inputs!G:G,,0)</f>
        <v>-2366</v>
      </c>
      <c r="H68" s="71">
        <f>_xlfn.XLOOKUP($A68,Inputs!$A:$A,Inputs!H:H,,0)</f>
        <v>-2345</v>
      </c>
      <c r="I68" s="71">
        <f>_xlfn.XLOOKUP($A68,Inputs!$A:$A,Inputs!I:I,,0)</f>
        <v>-2480</v>
      </c>
      <c r="J68" s="71">
        <f>_xlfn.XLOOKUP($A68,Inputs!$A:$A,Inputs!J:J,,0)</f>
        <v>-2093</v>
      </c>
      <c r="K68" s="71">
        <f>_xlfn.XLOOKUP($A68,Inputs!$A:$A,Inputs!K:K,,0)</f>
        <v>-2251</v>
      </c>
      <c r="L68" s="71">
        <f>_xlfn.XLOOKUP($A68,Inputs!$A:$A,Inputs!L:L,,0)</f>
        <v>0</v>
      </c>
      <c r="M68" s="71">
        <f>_xlfn.XLOOKUP($A68,Inputs!$A:$A,Inputs!M:M,,0)</f>
        <v>0</v>
      </c>
    </row>
    <row r="69" spans="1:235">
      <c r="A69" s="142" t="s">
        <v>132</v>
      </c>
      <c r="B69" s="61">
        <f>_xlfn.XLOOKUP($A69,Inputs!$A:$A,Inputs!B:B,,0)</f>
        <v>-3891</v>
      </c>
      <c r="C69" s="61">
        <f>_xlfn.XLOOKUP($A69,Inputs!$A:$A,Inputs!C:C,,0)</f>
        <v>-3588</v>
      </c>
      <c r="D69" s="61">
        <f>_xlfn.XLOOKUP($A69,Inputs!$A:$A,Inputs!D:D,,0)</f>
        <v>-2810</v>
      </c>
      <c r="E69" s="61">
        <f>_xlfn.XLOOKUP($A69,Inputs!$A:$A,Inputs!E:E,,0)</f>
        <v>-2998</v>
      </c>
      <c r="F69" s="61">
        <f>_xlfn.XLOOKUP($A69,Inputs!$A:$A,Inputs!F:F,,0)</f>
        <v>-2969</v>
      </c>
      <c r="G69" s="61">
        <f>_xlfn.XLOOKUP($A69,Inputs!$A:$A,Inputs!G:G,,0)</f>
        <v>-2502</v>
      </c>
      <c r="H69" s="61">
        <f>_xlfn.XLOOKUP($A69,Inputs!$A:$A,Inputs!H:H,,0)</f>
        <v>-2649</v>
      </c>
      <c r="I69" s="61">
        <f>_xlfn.XLOOKUP($A69,Inputs!$A:$A,Inputs!I:I,,0)</f>
        <v>-2393</v>
      </c>
      <c r="J69" s="61">
        <f>_xlfn.XLOOKUP($A69,Inputs!$A:$A,Inputs!J:J,,0)</f>
        <v>-1993</v>
      </c>
      <c r="K69" s="61">
        <f>_xlfn.XLOOKUP($A69,Inputs!$A:$A,Inputs!K:K,,0)</f>
        <v>-2083</v>
      </c>
      <c r="L69" s="61">
        <f>_xlfn.XLOOKUP($A69,Inputs!$A:$A,Inputs!L:L,,0)</f>
        <v>0</v>
      </c>
      <c r="M69" s="61">
        <f>_xlfn.XLOOKUP($A69,Inputs!$A:$A,Inputs!M:M,,0)</f>
        <v>0</v>
      </c>
    </row>
    <row r="70" spans="1:235">
      <c r="A70" s="142" t="s">
        <v>133</v>
      </c>
      <c r="B70" s="61">
        <f>_xlfn.XLOOKUP($A70,Inputs!$A:$A,Inputs!B:B,,0)</f>
        <v>3</v>
      </c>
      <c r="C70" s="61">
        <f>_xlfn.XLOOKUP($A70,Inputs!$A:$A,Inputs!C:C,,0)</f>
        <v>101</v>
      </c>
      <c r="D70" s="61">
        <f>_xlfn.XLOOKUP($A70,Inputs!$A:$A,Inputs!D:D,,0)</f>
        <v>-1019</v>
      </c>
      <c r="E70" s="61">
        <f>_xlfn.XLOOKUP($A70,Inputs!$A:$A,Inputs!E:E,,0)</f>
        <v>163</v>
      </c>
      <c r="F70" s="61">
        <f>_xlfn.XLOOKUP($A70,Inputs!$A:$A,Inputs!F:F,,0)</f>
        <v>26</v>
      </c>
      <c r="G70" s="61">
        <f>_xlfn.XLOOKUP($A70,Inputs!$A:$A,Inputs!G:G,,0)</f>
        <v>132</v>
      </c>
      <c r="H70" s="61">
        <f>_xlfn.XLOOKUP($A70,Inputs!$A:$A,Inputs!H:H,,0)</f>
        <v>274</v>
      </c>
      <c r="I70" s="61">
        <f>_xlfn.XLOOKUP($A70,Inputs!$A:$A,Inputs!I:I,,0)</f>
        <v>-114</v>
      </c>
      <c r="J70" s="61">
        <f>_xlfn.XLOOKUP($A70,Inputs!$A:$A,Inputs!J:J,,0)</f>
        <v>-80</v>
      </c>
      <c r="K70" s="61">
        <f>_xlfn.XLOOKUP($A70,Inputs!$A:$A,Inputs!K:K,,0)</f>
        <v>-165</v>
      </c>
      <c r="L70" s="61">
        <f>_xlfn.XLOOKUP($A70,Inputs!$A:$A,Inputs!L:L,,0)</f>
        <v>0</v>
      </c>
      <c r="M70" s="61">
        <f>_xlfn.XLOOKUP($A70,Inputs!$A:$A,Inputs!M:M,,0)</f>
        <v>0</v>
      </c>
      <c r="IA70" s="47"/>
    </row>
    <row r="71" spans="1:235">
      <c r="A71" s="146" t="s">
        <v>134</v>
      </c>
      <c r="B71" s="71">
        <f>_xlfn.XLOOKUP($A71,Inputs!$A:$A,Inputs!B:B,,0)</f>
        <v>-3890</v>
      </c>
      <c r="C71" s="71">
        <f>_xlfn.XLOOKUP($A71,Inputs!$A:$A,Inputs!C:C,,0)</f>
        <v>-4283</v>
      </c>
      <c r="D71" s="71">
        <f>_xlfn.XLOOKUP($A71,Inputs!$A:$A,Inputs!D:D,,0)</f>
        <v>-6488</v>
      </c>
      <c r="E71" s="71">
        <f>_xlfn.XLOOKUP($A71,Inputs!$A:$A,Inputs!E:E,,0)</f>
        <v>-1147</v>
      </c>
      <c r="F71" s="71">
        <f>_xlfn.XLOOKUP($A71,Inputs!$A:$A,Inputs!F:F,,0)</f>
        <v>-1147</v>
      </c>
      <c r="G71" s="71">
        <f>_xlfn.XLOOKUP($A71,Inputs!$A:$A,Inputs!G:G,,0)</f>
        <v>-1281</v>
      </c>
      <c r="H71" s="71">
        <f>_xlfn.XLOOKUP($A71,Inputs!$A:$A,Inputs!H:H,,0)</f>
        <v>-3218</v>
      </c>
      <c r="I71" s="71">
        <f>_xlfn.XLOOKUP($A71,Inputs!$A:$A,Inputs!I:I,,0)</f>
        <v>-2419</v>
      </c>
      <c r="J71" s="71">
        <f>_xlfn.XLOOKUP($A71,Inputs!$A:$A,Inputs!J:J,,0)</f>
        <v>-2324</v>
      </c>
      <c r="K71" s="71">
        <f>_xlfn.XLOOKUP($A71,Inputs!$A:$A,Inputs!K:K,,0)</f>
        <v>-786</v>
      </c>
      <c r="L71" s="71">
        <f>_xlfn.XLOOKUP($A71,Inputs!$A:$A,Inputs!L:L,,0)</f>
        <v>0</v>
      </c>
      <c r="M71" s="71">
        <f>_xlfn.XLOOKUP($A71,Inputs!$A:$A,Inputs!M:M,,0)</f>
        <v>0</v>
      </c>
      <c r="IA71" s="47"/>
    </row>
    <row r="72" spans="1:235">
      <c r="A72" s="142" t="s">
        <v>135</v>
      </c>
      <c r="B72" s="61">
        <f>_xlfn.XLOOKUP($A72,Inputs!$A:$A,Inputs!B:B,,0)</f>
        <v>-1498</v>
      </c>
      <c r="C72" s="61">
        <f>_xlfn.XLOOKUP($A72,Inputs!$A:$A,Inputs!C:C,,0)</f>
        <v>-1318</v>
      </c>
      <c r="D72" s="61">
        <f>_xlfn.XLOOKUP($A72,Inputs!$A:$A,Inputs!D:D,,0)</f>
        <v>-1479</v>
      </c>
      <c r="E72" s="61">
        <f>_xlfn.XLOOKUP($A72,Inputs!$A:$A,Inputs!E:E,,0)</f>
        <v>-1038</v>
      </c>
      <c r="F72" s="61">
        <f>_xlfn.XLOOKUP($A72,Inputs!$A:$A,Inputs!F:F,,0)</f>
        <v>-689</v>
      </c>
      <c r="G72" s="61">
        <f>_xlfn.XLOOKUP($A72,Inputs!$A:$A,Inputs!G:G,,0)</f>
        <v>-804</v>
      </c>
      <c r="H72" s="61">
        <f>_xlfn.XLOOKUP($A72,Inputs!$A:$A,Inputs!H:H,,0)</f>
        <v>-736</v>
      </c>
      <c r="I72" s="61">
        <f>_xlfn.XLOOKUP($A72,Inputs!$A:$A,Inputs!I:I,,0)</f>
        <v>-664</v>
      </c>
      <c r="J72" s="61">
        <f>_xlfn.XLOOKUP($A72,Inputs!$A:$A,Inputs!J:J,,0)</f>
        <v>-584</v>
      </c>
      <c r="K72" s="61">
        <f>_xlfn.XLOOKUP($A72,Inputs!$A:$A,Inputs!K:K,,0)</f>
        <v>-511</v>
      </c>
      <c r="L72" s="61">
        <f>_xlfn.XLOOKUP($A72,Inputs!$A:$A,Inputs!L:L,,0)</f>
        <v>0</v>
      </c>
      <c r="M72" s="61">
        <f>_xlfn.XLOOKUP($A72,Inputs!$A:$A,Inputs!M:M,,0)</f>
        <v>0</v>
      </c>
      <c r="IA72" s="47"/>
    </row>
    <row r="73" spans="1:235">
      <c r="A73" s="142" t="s">
        <v>548</v>
      </c>
      <c r="B73" s="61">
        <f>_xlfn.XLOOKUP($A73,Inputs!$A:$A,Inputs!B:B,,0)</f>
        <v>-802</v>
      </c>
      <c r="C73" s="61">
        <f>_xlfn.XLOOKUP($A73,Inputs!$A:$A,Inputs!C:C,,0)</f>
        <v>-808</v>
      </c>
      <c r="D73" s="61">
        <f>_xlfn.XLOOKUP($A73,Inputs!$A:$A,Inputs!D:D,,0)</f>
        <v>-526</v>
      </c>
      <c r="E73" s="61">
        <f>_xlfn.XLOOKUP($A73,Inputs!$A:$A,Inputs!E:E,,0)</f>
        <v>-519</v>
      </c>
      <c r="F73" s="61">
        <f>_xlfn.XLOOKUP($A73,Inputs!$A:$A,Inputs!F:F,,0)</f>
        <v>-545</v>
      </c>
      <c r="G73" s="61">
        <f>_xlfn.XLOOKUP($A73,Inputs!$A:$A,Inputs!G:G,,0)</f>
        <v>-671</v>
      </c>
      <c r="H73" s="61">
        <f>_xlfn.XLOOKUP($A73,Inputs!$A:$A,Inputs!H:H,,0)</f>
        <v>-706</v>
      </c>
      <c r="I73" s="61">
        <f>_xlfn.XLOOKUP($A73,Inputs!$A:$A,Inputs!I:I,,0)</f>
        <v>-659</v>
      </c>
      <c r="J73" s="61">
        <f>_xlfn.XLOOKUP($A73,Inputs!$A:$A,Inputs!J:J,,0)</f>
        <v>-498</v>
      </c>
      <c r="K73" s="61">
        <f>_xlfn.XLOOKUP($A73,Inputs!$A:$A,Inputs!K:K,,0)</f>
        <v>-157</v>
      </c>
      <c r="L73" s="61">
        <f>_xlfn.XLOOKUP($A73,Inputs!$A:$A,Inputs!L:L,,0)</f>
        <v>0</v>
      </c>
      <c r="M73" s="61">
        <f>_xlfn.XLOOKUP($A73,Inputs!$A:$A,Inputs!M:M,,0)</f>
        <v>0</v>
      </c>
    </row>
    <row r="74" spans="1:235">
      <c r="A74" s="146" t="s">
        <v>138</v>
      </c>
      <c r="B74" s="71">
        <f>_xlfn.XLOOKUP($A74,Inputs!$A:$A,Inputs!B:B,,0)</f>
        <v>-249</v>
      </c>
      <c r="C74" s="71">
        <f>_xlfn.XLOOKUP($A74,Inputs!$A:$A,Inputs!C:C,,0)</f>
        <v>46</v>
      </c>
      <c r="D74" s="71">
        <f>_xlfn.XLOOKUP($A74,Inputs!$A:$A,Inputs!D:D,,0)</f>
        <v>70</v>
      </c>
      <c r="E74" s="71">
        <f>_xlfn.XLOOKUP($A74,Inputs!$A:$A,Inputs!E:E,,0)</f>
        <v>-15</v>
      </c>
      <c r="F74" s="71">
        <f>_xlfn.XLOOKUP($A74,Inputs!$A:$A,Inputs!F:F,,0)</f>
        <v>-37</v>
      </c>
      <c r="G74" s="71">
        <f>_xlfn.XLOOKUP($A74,Inputs!$A:$A,Inputs!G:G,,0)</f>
        <v>25</v>
      </c>
      <c r="H74" s="71">
        <f>_xlfn.XLOOKUP($A74,Inputs!$A:$A,Inputs!H:H,,0)</f>
        <v>50</v>
      </c>
      <c r="I74" s="71">
        <f>_xlfn.XLOOKUP($A74,Inputs!$A:$A,Inputs!I:I,,0)</f>
        <v>-418</v>
      </c>
      <c r="J74" s="71">
        <f>_xlfn.XLOOKUP($A74,Inputs!$A:$A,Inputs!J:J,,0)</f>
        <v>-11</v>
      </c>
      <c r="K74" s="71">
        <f>_xlfn.XLOOKUP($A74,Inputs!$A:$A,Inputs!K:K,,0)</f>
        <v>-114</v>
      </c>
      <c r="L74" s="71">
        <f>_xlfn.XLOOKUP($A74,Inputs!$A:$A,Inputs!L:L,,0)</f>
        <v>0</v>
      </c>
      <c r="M74" s="71">
        <f>_xlfn.XLOOKUP($A74,Inputs!$A:$A,Inputs!M:M,,0)</f>
        <v>0</v>
      </c>
    </row>
    <row r="75" spans="1:235">
      <c r="A75" s="146" t="s">
        <v>566</v>
      </c>
      <c r="B75" s="71">
        <f>_xlfn.XLOOKUP($A75,Inputs!$A:$A,Inputs!B:B,,0)</f>
        <v>-662</v>
      </c>
      <c r="C75" s="71">
        <f>_xlfn.XLOOKUP($A75,Inputs!$A:$A,Inputs!C:C,,0)</f>
        <v>1186</v>
      </c>
      <c r="D75" s="71">
        <f>_xlfn.XLOOKUP($A75,Inputs!$A:$A,Inputs!D:D,,0)</f>
        <v>-1448</v>
      </c>
      <c r="E75" s="71">
        <f>_xlfn.XLOOKUP($A75,Inputs!$A:$A,Inputs!E:E,,0)</f>
        <v>2329</v>
      </c>
      <c r="F75" s="71">
        <f>_xlfn.XLOOKUP($A75,Inputs!$A:$A,Inputs!F:F,,0)</f>
        <v>1643</v>
      </c>
      <c r="G75" s="71">
        <f>_xlfn.XLOOKUP($A75,Inputs!$A:$A,Inputs!G:G,,0)</f>
        <v>3104</v>
      </c>
      <c r="H75" s="71">
        <f>_xlfn.XLOOKUP($A75,Inputs!$A:$A,Inputs!H:H,,0)</f>
        <v>-2221</v>
      </c>
      <c r="I75" s="71">
        <f>_xlfn.XLOOKUP($A75,Inputs!$A:$A,Inputs!I:I,,0)</f>
        <v>-1032</v>
      </c>
      <c r="J75" s="71">
        <f>_xlfn.XLOOKUP($A75,Inputs!$A:$A,Inputs!J:J,,0)</f>
        <v>-444</v>
      </c>
      <c r="K75" s="71">
        <f>_xlfn.XLOOKUP($A75,Inputs!$A:$A,Inputs!K:K,,0)</f>
        <v>286</v>
      </c>
      <c r="L75" s="71">
        <f>_xlfn.XLOOKUP($A75,Inputs!$A:$A,Inputs!L:L,,0)</f>
        <v>0</v>
      </c>
      <c r="M75" s="71">
        <f>_xlfn.XLOOKUP($A75,Inputs!$A:$A,Inputs!M:M,,0)</f>
        <v>0</v>
      </c>
    </row>
    <row r="76" spans="1:235">
      <c r="K76" s="47"/>
      <c r="L76" s="47"/>
      <c r="M76" s="47"/>
    </row>
    <row r="77" spans="1:235" ht="20.25">
      <c r="A77" s="1011" t="s">
        <v>567</v>
      </c>
      <c r="B77" s="1011"/>
      <c r="C77" s="1011"/>
      <c r="D77" s="1011"/>
      <c r="E77" s="1011"/>
      <c r="F77" s="1011"/>
      <c r="G77" s="1011"/>
      <c r="H77" s="1011"/>
      <c r="I77" s="1011"/>
      <c r="J77" s="1011"/>
      <c r="K77" s="1011"/>
      <c r="L77" s="1011"/>
      <c r="M77" s="1011"/>
    </row>
    <row r="78" spans="1:235">
      <c r="A78" s="141" t="s">
        <v>568</v>
      </c>
      <c r="B78" s="61">
        <f>_xlfn.XLOOKUP($A78,Inputs!$A:$A,Inputs!B:B,,0)</f>
        <v>304000</v>
      </c>
      <c r="C78" s="61" t="str">
        <f>_xlfn.XLOOKUP($A78,Inputs!$A:$A,Inputs!C:C,,0)</f>
        <v>10-K</v>
      </c>
      <c r="D78" s="61">
        <f>_xlfn.XLOOKUP($A78,Inputs!$A:$A,Inputs!D:D,,0)</f>
        <v>0</v>
      </c>
      <c r="E78" s="61">
        <f>_xlfn.XLOOKUP($A78,Inputs!$A:$A,Inputs!E:E,,0)</f>
        <v>0</v>
      </c>
      <c r="F78" s="61">
        <f>_xlfn.XLOOKUP($A78,Inputs!$A:$A,Inputs!F:F,,0)</f>
        <v>0</v>
      </c>
      <c r="G78" s="61">
        <f>_xlfn.XLOOKUP($A78,Inputs!$A:$A,Inputs!G:G,,0)</f>
        <v>0</v>
      </c>
      <c r="H78" s="61">
        <f>_xlfn.XLOOKUP($A78,Inputs!$A:$A,Inputs!H:H,,0)</f>
        <v>0</v>
      </c>
      <c r="I78" s="61">
        <f>_xlfn.XLOOKUP($A78,Inputs!$A:$A,Inputs!I:I,,0)</f>
        <v>0</v>
      </c>
      <c r="J78" s="61">
        <f>_xlfn.XLOOKUP($A78,Inputs!$A:$A,Inputs!J:J,,0)</f>
        <v>0</v>
      </c>
      <c r="K78" s="61">
        <f>_xlfn.XLOOKUP($A78,Inputs!$A:$A,Inputs!K:K,,0)</f>
        <v>0</v>
      </c>
      <c r="L78" s="61">
        <f>_xlfn.XLOOKUP($A78,Inputs!$A:$A,Inputs!L:L,,0)</f>
        <v>0</v>
      </c>
      <c r="M78" s="61">
        <f>_xlfn.XLOOKUP($A78,Inputs!$A:$A,Inputs!M:M,,0)</f>
        <v>0</v>
      </c>
    </row>
    <row r="79" spans="1:235">
      <c r="A79" s="147" t="s">
        <v>569</v>
      </c>
      <c r="B79" s="61" t="e">
        <f>_xlfn.XLOOKUP($A79,Inputs!$A:$A,Inputs!B:B,,0)</f>
        <v>#N/A</v>
      </c>
      <c r="C79" s="61" t="e">
        <f>_xlfn.XLOOKUP($A79,Inputs!$A:$A,Inputs!C:C,,0)</f>
        <v>#N/A</v>
      </c>
      <c r="D79" s="61" t="e">
        <f>_xlfn.XLOOKUP($A79,Inputs!$A:$A,Inputs!D:D,,0)</f>
        <v>#N/A</v>
      </c>
      <c r="E79" s="61" t="e">
        <f>_xlfn.XLOOKUP($A79,Inputs!$A:$A,Inputs!E:E,,0)</f>
        <v>#N/A</v>
      </c>
      <c r="F79" s="61" t="e">
        <f>_xlfn.XLOOKUP($A79,Inputs!$A:$A,Inputs!F:F,,0)</f>
        <v>#N/A</v>
      </c>
      <c r="G79" s="61" t="e">
        <f>_xlfn.XLOOKUP($A79,Inputs!$A:$A,Inputs!G:G,,0)</f>
        <v>#N/A</v>
      </c>
      <c r="H79" s="61" t="e">
        <f>_xlfn.XLOOKUP($A79,Inputs!$A:$A,Inputs!H:H,,0)</f>
        <v>#N/A</v>
      </c>
      <c r="I79" s="61" t="e">
        <f>_xlfn.XLOOKUP($A79,Inputs!$A:$A,Inputs!I:I,,0)</f>
        <v>#N/A</v>
      </c>
      <c r="J79" s="61" t="e">
        <f>_xlfn.XLOOKUP($A79,Inputs!$A:$A,Inputs!J:J,,0)</f>
        <v>#N/A</v>
      </c>
      <c r="K79" s="61" t="e">
        <f>_xlfn.XLOOKUP($A79,Inputs!$A:$A,Inputs!K:K,,0)</f>
        <v>#N/A</v>
      </c>
      <c r="L79" s="61" t="e">
        <f>_xlfn.XLOOKUP($A79,Inputs!$A:$A,Inputs!L:L,,0)</f>
        <v>#N/A</v>
      </c>
      <c r="M79" s="61" t="e">
        <f>_xlfn.XLOOKUP($A79,Inputs!$A:$A,Inputs!M:M,,0)</f>
        <v>#N/A</v>
      </c>
    </row>
    <row r="80" spans="1:235">
      <c r="A80" s="141" t="s">
        <v>44</v>
      </c>
      <c r="B80" s="61">
        <f>_xlfn.XLOOKUP($A80,Inputs!$A:$A,Inputs!B:B,,0)</f>
        <v>0.99738237617059688</v>
      </c>
      <c r="C80" s="61" t="str">
        <f>_xlfn.XLOOKUP($A80,Inputs!$A:$A,Inputs!C:C,,0)</f>
        <v>Yahoo finance</v>
      </c>
      <c r="D80" s="61">
        <f>_xlfn.XLOOKUP($A80,Inputs!$A:$A,Inputs!D:D,,0)</f>
        <v>0</v>
      </c>
      <c r="E80" s="61">
        <f>_xlfn.XLOOKUP($A80,Inputs!$A:$A,Inputs!E:E,,0)</f>
        <v>0</v>
      </c>
      <c r="F80" s="61">
        <f>_xlfn.XLOOKUP($A80,Inputs!$A:$A,Inputs!F:F,,0)</f>
        <v>0</v>
      </c>
      <c r="G80" s="61">
        <f>_xlfn.XLOOKUP($A80,Inputs!$A:$A,Inputs!G:G,,0)</f>
        <v>0</v>
      </c>
      <c r="H80" s="61">
        <f>_xlfn.XLOOKUP($A80,Inputs!$A:$A,Inputs!H:H,,0)</f>
        <v>0</v>
      </c>
      <c r="I80" s="61">
        <f>_xlfn.XLOOKUP($A80,Inputs!$A:$A,Inputs!I:I,,0)</f>
        <v>0</v>
      </c>
      <c r="J80" s="61">
        <f>_xlfn.XLOOKUP($A80,Inputs!$A:$A,Inputs!J:J,,0)</f>
        <v>0</v>
      </c>
      <c r="K80" s="61">
        <f>_xlfn.XLOOKUP($A80,Inputs!$A:$A,Inputs!K:K,,0)</f>
        <v>0</v>
      </c>
      <c r="L80" s="61">
        <f>_xlfn.XLOOKUP($A80,Inputs!$A:$A,Inputs!L:L,,0)</f>
        <v>0</v>
      </c>
      <c r="M80" s="61">
        <f>_xlfn.XLOOKUP($A80,Inputs!$A:$A,Inputs!M:M,,0)</f>
        <v>0</v>
      </c>
    </row>
    <row r="81" spans="1:13">
      <c r="A81" s="147" t="s">
        <v>49</v>
      </c>
      <c r="B81" s="61">
        <f>_xlfn.XLOOKUP($A81,Inputs!$A:$A,Inputs!B:B,,0)</f>
        <v>2E-3</v>
      </c>
      <c r="C81" s="61" t="str">
        <f>_xlfn.XLOOKUP($A81,Inputs!$A:$A,Inputs!C:C,,0)</f>
        <v>Yahoo finance</v>
      </c>
      <c r="D81" s="61">
        <f>_xlfn.XLOOKUP($A81,Inputs!$A:$A,Inputs!D:D,,0)</f>
        <v>0</v>
      </c>
      <c r="E81" s="61">
        <f>_xlfn.XLOOKUP($A81,Inputs!$A:$A,Inputs!E:E,,0)</f>
        <v>0</v>
      </c>
      <c r="F81" s="61">
        <f>_xlfn.XLOOKUP($A81,Inputs!$A:$A,Inputs!F:F,,0)</f>
        <v>0</v>
      </c>
      <c r="G81" s="61">
        <f>_xlfn.XLOOKUP($A81,Inputs!$A:$A,Inputs!G:G,,0)</f>
        <v>0</v>
      </c>
      <c r="H81" s="61">
        <f>_xlfn.XLOOKUP($A81,Inputs!$A:$A,Inputs!H:H,,0)</f>
        <v>0</v>
      </c>
      <c r="I81" s="61">
        <f>_xlfn.XLOOKUP($A81,Inputs!$A:$A,Inputs!I:I,,0)</f>
        <v>0</v>
      </c>
      <c r="J81" s="61">
        <f>_xlfn.XLOOKUP($A81,Inputs!$A:$A,Inputs!J:J,,0)</f>
        <v>0</v>
      </c>
      <c r="K81" s="61">
        <f>_xlfn.XLOOKUP($A81,Inputs!$A:$A,Inputs!K:K,,0)</f>
        <v>0</v>
      </c>
      <c r="L81" s="61">
        <f>_xlfn.XLOOKUP($A81,Inputs!$A:$A,Inputs!L:L,,0)</f>
        <v>0</v>
      </c>
      <c r="M81" s="61">
        <f>_xlfn.XLOOKUP($A81,Inputs!$A:$A,Inputs!M:M,,0)</f>
        <v>0</v>
      </c>
    </row>
    <row r="82" spans="1:13">
      <c r="A82" s="141" t="s">
        <v>570</v>
      </c>
      <c r="B82" s="61">
        <f>_xlfn.XLOOKUP($A82,Inputs!$A:$A,Inputs!B:B,,0)</f>
        <v>0.79</v>
      </c>
      <c r="C82" s="61" t="str">
        <f>_xlfn.XLOOKUP($A82,Inputs!$A:$A,Inputs!C:C,,0)</f>
        <v>10-K</v>
      </c>
      <c r="D82" s="61">
        <f>_xlfn.XLOOKUP($A82,Inputs!$A:$A,Inputs!D:D,,0)</f>
        <v>0</v>
      </c>
      <c r="E82" s="61">
        <f>_xlfn.XLOOKUP($A82,Inputs!$A:$A,Inputs!E:E,,0)</f>
        <v>0</v>
      </c>
      <c r="F82" s="61">
        <f>_xlfn.XLOOKUP($A82,Inputs!$A:$A,Inputs!F:F,,0)</f>
        <v>0</v>
      </c>
      <c r="G82" s="61">
        <f>_xlfn.XLOOKUP($A82,Inputs!$A:$A,Inputs!G:G,,0)</f>
        <v>0</v>
      </c>
      <c r="H82" s="61">
        <f>_xlfn.XLOOKUP($A82,Inputs!$A:$A,Inputs!H:H,,0)</f>
        <v>0</v>
      </c>
      <c r="I82" s="61">
        <f>_xlfn.XLOOKUP($A82,Inputs!$A:$A,Inputs!I:I,,0)</f>
        <v>0</v>
      </c>
      <c r="J82" s="61">
        <f>_xlfn.XLOOKUP($A82,Inputs!$A:$A,Inputs!J:J,,0)</f>
        <v>0</v>
      </c>
      <c r="K82" s="61">
        <f>_xlfn.XLOOKUP($A82,Inputs!$A:$A,Inputs!K:K,,0)</f>
        <v>0</v>
      </c>
      <c r="L82" s="61">
        <f>_xlfn.XLOOKUP($A82,Inputs!$A:$A,Inputs!L:L,,0)</f>
        <v>0</v>
      </c>
      <c r="M82" s="61">
        <f>_xlfn.XLOOKUP($A82,Inputs!$A:$A,Inputs!M:M,,0)</f>
        <v>0</v>
      </c>
    </row>
    <row r="83" spans="1:13">
      <c r="A83" s="141" t="s">
        <v>571</v>
      </c>
      <c r="B83" s="61" t="e">
        <f>_xlfn.XLOOKUP($A83,Inputs!$A:$A,Inputs!B:B,,0)</f>
        <v>#N/A</v>
      </c>
      <c r="C83" s="61" t="e">
        <f>_xlfn.XLOOKUP($A83,Inputs!$A:$A,Inputs!C:C,,0)</f>
        <v>#N/A</v>
      </c>
      <c r="D83" s="61" t="e">
        <f>_xlfn.XLOOKUP($A83,Inputs!$A:$A,Inputs!D:D,,0)</f>
        <v>#N/A</v>
      </c>
      <c r="E83" s="61" t="e">
        <f>_xlfn.XLOOKUP($A83,Inputs!$A:$A,Inputs!E:E,,0)</f>
        <v>#N/A</v>
      </c>
      <c r="F83" s="61" t="e">
        <f>_xlfn.XLOOKUP($A83,Inputs!$A:$A,Inputs!F:F,,0)</f>
        <v>#N/A</v>
      </c>
      <c r="G83" s="61" t="e">
        <f>_xlfn.XLOOKUP($A83,Inputs!$A:$A,Inputs!G:G,,0)</f>
        <v>#N/A</v>
      </c>
      <c r="H83" s="61" t="e">
        <f>_xlfn.XLOOKUP($A83,Inputs!$A:$A,Inputs!H:H,,0)</f>
        <v>#N/A</v>
      </c>
      <c r="I83" s="61" t="e">
        <f>_xlfn.XLOOKUP($A83,Inputs!$A:$A,Inputs!I:I,,0)</f>
        <v>#N/A</v>
      </c>
      <c r="J83" s="61" t="e">
        <f>_xlfn.XLOOKUP($A83,Inputs!$A:$A,Inputs!J:J,,0)</f>
        <v>#N/A</v>
      </c>
      <c r="K83" s="61" t="e">
        <f>_xlfn.XLOOKUP($A83,Inputs!$A:$A,Inputs!K:K,,0)</f>
        <v>#N/A</v>
      </c>
      <c r="L83" s="61" t="e">
        <f>_xlfn.XLOOKUP($A83,Inputs!$A:$A,Inputs!L:L,,0)</f>
        <v>#N/A</v>
      </c>
      <c r="M83" s="61" t="e">
        <f>_xlfn.XLOOKUP($A83,Inputs!$A:$A,Inputs!M:M,,0)</f>
        <v>#N/A</v>
      </c>
    </row>
    <row r="84" spans="1:13">
      <c r="A84" s="147" t="s">
        <v>572</v>
      </c>
      <c r="B84" s="61">
        <f>_xlfn.XLOOKUP($A84,Inputs!$A:$A,Inputs!B:B,,0)</f>
        <v>0</v>
      </c>
      <c r="C84" s="61" t="str">
        <f>_xlfn.XLOOKUP($A84,Inputs!$A:$A,Inputs!C:C,,0)</f>
        <v>Yahoo Finance</v>
      </c>
      <c r="D84" s="61">
        <f>_xlfn.XLOOKUP($A84,Inputs!$A:$A,Inputs!D:D,,0)</f>
        <v>0</v>
      </c>
      <c r="E84" s="61">
        <f>_xlfn.XLOOKUP($A84,Inputs!$A:$A,Inputs!E:E,,0)</f>
        <v>0</v>
      </c>
      <c r="F84" s="61">
        <f>_xlfn.XLOOKUP($A84,Inputs!$A:$A,Inputs!F:F,,0)</f>
        <v>0</v>
      </c>
      <c r="G84" s="61">
        <f>_xlfn.XLOOKUP($A84,Inputs!$A:$A,Inputs!G:G,,0)</f>
        <v>0</v>
      </c>
      <c r="H84" s="61">
        <f>_xlfn.XLOOKUP($A84,Inputs!$A:$A,Inputs!H:H,,0)</f>
        <v>0</v>
      </c>
      <c r="I84" s="61">
        <f>_xlfn.XLOOKUP($A84,Inputs!$A:$A,Inputs!I:I,,0)</f>
        <v>0</v>
      </c>
      <c r="J84" s="61">
        <f>_xlfn.XLOOKUP($A84,Inputs!$A:$A,Inputs!J:J,,0)</f>
        <v>0</v>
      </c>
      <c r="K84" s="61">
        <f>_xlfn.XLOOKUP($A84,Inputs!$A:$A,Inputs!K:K,,0)</f>
        <v>0</v>
      </c>
      <c r="L84" s="61">
        <f>_xlfn.XLOOKUP($A84,Inputs!$A:$A,Inputs!L:L,,0)</f>
        <v>0</v>
      </c>
      <c r="M84" s="61">
        <f>_xlfn.XLOOKUP($A84,Inputs!$A:$A,Inputs!M:M,,0)</f>
        <v>0</v>
      </c>
    </row>
    <row r="85" spans="1:13">
      <c r="B85" s="50"/>
      <c r="C85" s="50"/>
      <c r="D85" s="50"/>
      <c r="E85" s="50"/>
      <c r="F85" s="50"/>
      <c r="G85" s="50"/>
      <c r="H85" s="50"/>
      <c r="I85" s="50"/>
      <c r="J85" s="50"/>
      <c r="K85" s="50"/>
      <c r="L85" s="50"/>
      <c r="M85" s="50"/>
    </row>
    <row r="86" spans="1:13">
      <c r="B86" s="48">
        <v>2020</v>
      </c>
      <c r="C86" s="48">
        <v>2021</v>
      </c>
      <c r="D86" s="48">
        <v>2022</v>
      </c>
      <c r="G86" s="48"/>
      <c r="H86" s="50"/>
      <c r="I86" s="50"/>
      <c r="J86" s="50"/>
      <c r="K86" s="50"/>
      <c r="L86" s="50"/>
      <c r="M86" s="50"/>
    </row>
    <row r="87" spans="1:13">
      <c r="A87" s="141" t="s">
        <v>573</v>
      </c>
      <c r="B87" s="67">
        <v>0</v>
      </c>
      <c r="C87" s="67">
        <v>0</v>
      </c>
      <c r="D87" s="68">
        <v>0</v>
      </c>
      <c r="G87" s="50"/>
      <c r="H87" s="50"/>
      <c r="I87" s="50"/>
      <c r="J87" s="50"/>
      <c r="K87" s="50"/>
      <c r="L87" s="50"/>
      <c r="M87" s="50"/>
    </row>
    <row r="88" spans="1:13">
      <c r="A88" s="147" t="s">
        <v>71</v>
      </c>
      <c r="B88" s="67">
        <v>0</v>
      </c>
      <c r="C88" s="67">
        <v>0</v>
      </c>
      <c r="D88" s="68">
        <v>0</v>
      </c>
    </row>
    <row r="90" spans="1:13">
      <c r="A90" s="14" t="s">
        <v>574</v>
      </c>
      <c r="B90" s="48" t="s">
        <v>575</v>
      </c>
      <c r="C90" s="48" t="s">
        <v>576</v>
      </c>
      <c r="D90" s="48" t="s">
        <v>577</v>
      </c>
      <c r="E90" s="48" t="s">
        <v>578</v>
      </c>
      <c r="G90" s="48"/>
    </row>
    <row r="91" spans="1:13">
      <c r="B91" s="75" t="e">
        <f>VLOOKUP($A91,Inputs!$A$5:$M$98,MATCH(B$4,Inputs!$B$5:$M$5,0)+1,FALSE)</f>
        <v>#N/A</v>
      </c>
      <c r="C91" s="75" t="e">
        <f>VLOOKUP($A91,Inputs!$A$5:$M$98,MATCH(C$4,Inputs!$B$5:$M$5,0)+1,FALSE)</f>
        <v>#N/A</v>
      </c>
      <c r="D91" s="75" t="e">
        <f>VLOOKUP($A91,Inputs!$A$5:$M$98,MATCH(D$4,Inputs!$B$5:$M$5,0)+1,FALSE)</f>
        <v>#N/A</v>
      </c>
      <c r="E91" s="75" t="e">
        <f>VLOOKUP($A91,Inputs!$A$5:$M$98,MATCH(E$4,Inputs!$B$5:$M$5,0)+1,FALSE)</f>
        <v>#N/A</v>
      </c>
    </row>
    <row r="92" spans="1:13">
      <c r="B92" s="76"/>
      <c r="C92" s="76"/>
      <c r="D92" s="2"/>
      <c r="E92" s="76"/>
      <c r="F92" s="2"/>
    </row>
    <row r="93" spans="1:13">
      <c r="B93" s="76"/>
      <c r="C93" s="76"/>
      <c r="D93" s="2"/>
      <c r="E93" s="76"/>
      <c r="F93" s="2"/>
    </row>
    <row r="94" spans="1:13">
      <c r="B94" s="76"/>
      <c r="C94" s="76"/>
      <c r="D94" s="2"/>
      <c r="E94" s="76"/>
      <c r="F94" s="2"/>
    </row>
    <row r="95" spans="1:13">
      <c r="B95" s="76"/>
      <c r="C95" s="76"/>
      <c r="D95" s="2"/>
      <c r="E95" s="76"/>
      <c r="F95" s="2"/>
    </row>
    <row r="96" spans="1:13">
      <c r="B96" s="76"/>
      <c r="C96" s="76"/>
      <c r="D96" s="2"/>
      <c r="E96" s="76"/>
      <c r="F96" s="2"/>
    </row>
    <row r="97" spans="2:6">
      <c r="B97" s="76"/>
      <c r="C97" s="76"/>
      <c r="D97" s="2"/>
      <c r="E97" s="76"/>
      <c r="F97" s="2"/>
    </row>
    <row r="98" spans="2:6">
      <c r="B98" s="76"/>
      <c r="C98" s="76"/>
      <c r="D98" s="2"/>
      <c r="E98" s="76"/>
      <c r="F98" s="2"/>
    </row>
    <row r="99" spans="2:6">
      <c r="B99" s="76"/>
      <c r="C99" s="76"/>
      <c r="D99" s="2"/>
      <c r="E99" s="76"/>
      <c r="F99" s="2"/>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A3C43-E167-4BFD-BD9D-9D0FA5A01626}">
  <sheetPr>
    <tabColor rgb="FFFFFF00"/>
  </sheetPr>
  <dimension ref="A1:IB88"/>
  <sheetViews>
    <sheetView zoomScale="125" workbookViewId="0">
      <pane xSplit="1" ySplit="4" topLeftCell="B5" activePane="bottomRight" state="frozen"/>
      <selection pane="bottomRight"/>
      <selection pane="bottomLeft" activeCell="A5" sqref="A5"/>
      <selection pane="topRight" activeCell="B1" sqref="B1"/>
    </sheetView>
  </sheetViews>
  <sheetFormatPr defaultColWidth="11.42578125" defaultRowHeight="12"/>
  <cols>
    <col min="1" max="1" width="36.140625" style="47" customWidth="1"/>
    <col min="2" max="10" width="12.42578125" style="47" customWidth="1"/>
    <col min="11" max="11" width="12.42578125" style="56" customWidth="1"/>
    <col min="12" max="12" width="12.42578125" style="56" hidden="1" customWidth="1"/>
    <col min="13" max="13" width="12.140625" style="56" hidden="1" customWidth="1"/>
    <col min="14" max="16384" width="11.42578125" style="46"/>
  </cols>
  <sheetData>
    <row r="1" spans="1:14" ht="15.75">
      <c r="A1" s="1012"/>
      <c r="B1" s="1012"/>
      <c r="C1" s="1012"/>
      <c r="D1" s="1012"/>
      <c r="E1" s="1012"/>
      <c r="F1" s="1012"/>
      <c r="G1" s="1012"/>
      <c r="H1" s="1012"/>
      <c r="I1" s="1012"/>
      <c r="J1" s="1012"/>
      <c r="K1" s="1012"/>
      <c r="L1" s="1012"/>
      <c r="M1" s="1012"/>
    </row>
    <row r="2" spans="1:14" ht="12" customHeight="1">
      <c r="A2" s="1013" t="str">
        <f>Inputs!G2</f>
        <v>Figures in Millions of USD</v>
      </c>
      <c r="B2" s="1013"/>
      <c r="C2" s="1013"/>
      <c r="D2" s="1013"/>
      <c r="E2" s="1013"/>
      <c r="F2" s="1013"/>
      <c r="G2" s="1013"/>
      <c r="H2" s="1013"/>
      <c r="I2" s="1013"/>
      <c r="J2" s="1013"/>
      <c r="K2" s="1013"/>
      <c r="L2" s="1013"/>
      <c r="M2" s="1013"/>
    </row>
    <row r="3" spans="1:14" ht="20.25">
      <c r="A3" s="1011" t="s">
        <v>537</v>
      </c>
      <c r="B3" s="1011"/>
      <c r="C3" s="1011"/>
      <c r="D3" s="1011"/>
      <c r="E3" s="1011"/>
      <c r="F3" s="1011"/>
      <c r="G3" s="1011"/>
      <c r="H3" s="1011"/>
      <c r="I3" s="1011"/>
      <c r="J3" s="1011"/>
      <c r="K3" s="1011"/>
      <c r="L3" s="1011"/>
      <c r="M3" s="1011"/>
    </row>
    <row r="4" spans="1:14">
      <c r="A4" s="58"/>
      <c r="B4" s="59">
        <f>OP!J20</f>
        <v>2022</v>
      </c>
      <c r="C4" s="48">
        <f>B4-1</f>
        <v>2021</v>
      </c>
      <c r="D4" s="48">
        <f t="shared" ref="D4:M4" si="0">C4-1</f>
        <v>2020</v>
      </c>
      <c r="E4" s="48">
        <f t="shared" si="0"/>
        <v>2019</v>
      </c>
      <c r="F4" s="48">
        <f t="shared" si="0"/>
        <v>2018</v>
      </c>
      <c r="G4" s="48">
        <f t="shared" si="0"/>
        <v>2017</v>
      </c>
      <c r="H4" s="48">
        <f t="shared" si="0"/>
        <v>2016</v>
      </c>
      <c r="I4" s="48">
        <f t="shared" si="0"/>
        <v>2015</v>
      </c>
      <c r="J4" s="48">
        <f t="shared" si="0"/>
        <v>2014</v>
      </c>
      <c r="K4" s="48">
        <f t="shared" si="0"/>
        <v>2013</v>
      </c>
      <c r="L4" s="48">
        <f t="shared" si="0"/>
        <v>2012</v>
      </c>
      <c r="M4" s="48">
        <f t="shared" si="0"/>
        <v>2011</v>
      </c>
      <c r="N4" s="51"/>
    </row>
    <row r="5" spans="1:14" ht="12.75">
      <c r="A5" s="60" t="s">
        <v>124</v>
      </c>
      <c r="B5" s="61">
        <f>_xlfn.XLOOKUP($A5,Inputs!$A:$A,Inputs!B:B,,0)</f>
        <v>226954</v>
      </c>
      <c r="C5" s="61">
        <f>_xlfn.XLOOKUP($A5,Inputs!$A:$A,Inputs!C:C,,0)</f>
        <v>195929</v>
      </c>
      <c r="D5" s="61">
        <f>_xlfn.XLOOKUP($A5,Inputs!$A:$A,Inputs!D:D,,0)</f>
        <v>166761</v>
      </c>
      <c r="E5" s="61">
        <f>_xlfn.XLOOKUP($A5,Inputs!$A:$A,Inputs!E:E,,0)</f>
        <v>152703</v>
      </c>
      <c r="F5" s="61">
        <f>_xlfn.XLOOKUP($A5,Inputs!$A:$A,Inputs!F:F,,0)</f>
        <v>141576</v>
      </c>
      <c r="G5" s="61">
        <f>_xlfn.XLOOKUP($A5,Inputs!$A:$A,Inputs!G:G,,0)</f>
        <v>129025</v>
      </c>
      <c r="H5" s="61">
        <f>_xlfn.XLOOKUP($A5,Inputs!$A:$A,Inputs!H:H,,0)</f>
        <v>118719</v>
      </c>
      <c r="I5" s="61">
        <f>_xlfn.XLOOKUP($A5,Inputs!$A:$A,Inputs!I:I,,0)</f>
        <v>116199</v>
      </c>
      <c r="J5" s="61">
        <f>_xlfn.XLOOKUP($A5,Inputs!$A:$A,Inputs!J:J,,0)</f>
        <v>112640</v>
      </c>
      <c r="K5" s="61">
        <f>_xlfn.XLOOKUP($A5,Inputs!$A:$A,Inputs!K:K,,0)</f>
        <v>105156</v>
      </c>
      <c r="L5" s="61">
        <f>_xlfn.XLOOKUP($A5,Inputs!$A:$A,Inputs!L:L,,0)</f>
        <v>0</v>
      </c>
      <c r="M5" s="62">
        <f>_xlfn.XLOOKUP($A5,Inputs!$A:$A,Inputs!M:M,,0)</f>
        <v>0</v>
      </c>
      <c r="N5" s="51"/>
    </row>
    <row r="6" spans="1:14" ht="12.75">
      <c r="A6" s="63" t="s">
        <v>538</v>
      </c>
      <c r="B6" s="64">
        <f>IFERROR(B5/C5-1,"-")</f>
        <v>0.15834817714580285</v>
      </c>
      <c r="C6" s="64">
        <f t="shared" ref="C6:M6" si="1">IFERROR(C5/D5-1,"-")</f>
        <v>0.17490900150514799</v>
      </c>
      <c r="D6" s="64">
        <f t="shared" si="1"/>
        <v>9.2061059704131587E-2</v>
      </c>
      <c r="E6" s="64">
        <f t="shared" si="1"/>
        <v>7.8593829462620723E-2</v>
      </c>
      <c r="F6" s="64">
        <f t="shared" si="1"/>
        <v>9.7275721759348954E-2</v>
      </c>
      <c r="G6" s="64">
        <f t="shared" si="1"/>
        <v>8.6810030407937999E-2</v>
      </c>
      <c r="H6" s="64">
        <f t="shared" si="1"/>
        <v>2.1686933622492521E-2</v>
      </c>
      <c r="I6" s="64">
        <f t="shared" si="1"/>
        <v>3.1596235795454453E-2</v>
      </c>
      <c r="J6" s="64">
        <f t="shared" si="1"/>
        <v>7.117045151964696E-2</v>
      </c>
      <c r="K6" s="64" t="str">
        <f t="shared" si="1"/>
        <v>-</v>
      </c>
      <c r="L6" s="64" t="str">
        <f t="shared" si="1"/>
        <v>-</v>
      </c>
      <c r="M6" s="65" t="str">
        <f t="shared" si="1"/>
        <v>-</v>
      </c>
      <c r="N6" s="51"/>
    </row>
    <row r="7" spans="1:14" ht="12.75">
      <c r="A7" s="60" t="s">
        <v>539</v>
      </c>
      <c r="B7" s="61">
        <f>_xlfn.XLOOKUP($A7,Inputs!$A:$A,Inputs!B:B,,0)</f>
        <v>27572</v>
      </c>
      <c r="C7" s="61">
        <f>_xlfn.XLOOKUP($A7,Inputs!$A:$A,Inputs!C:C,,0)</f>
        <v>25245</v>
      </c>
      <c r="D7" s="61">
        <f>_xlfn.XLOOKUP($A7,Inputs!$A:$A,Inputs!D:D,,0)</f>
        <v>21822</v>
      </c>
      <c r="E7" s="61">
        <f>_xlfn.XLOOKUP($A7,Inputs!$A:$A,Inputs!E:E,,0)</f>
        <v>19817</v>
      </c>
      <c r="F7" s="61">
        <f>_xlfn.XLOOKUP($A7,Inputs!$A:$A,Inputs!F:F,,0)</f>
        <v>18424</v>
      </c>
      <c r="G7" s="61">
        <f>_xlfn.XLOOKUP($A7,Inputs!$A:$A,Inputs!G:G,,0)</f>
        <v>17143</v>
      </c>
      <c r="H7" s="61">
        <f>_xlfn.XLOOKUP($A7,Inputs!$A:$A,Inputs!H:H,,0)</f>
        <v>15818</v>
      </c>
      <c r="I7" s="61">
        <f>_xlfn.XLOOKUP($A7,Inputs!$A:$A,Inputs!I:I,,0)</f>
        <v>15134</v>
      </c>
      <c r="J7" s="61">
        <f>_xlfn.XLOOKUP($A7,Inputs!$A:$A,Inputs!J:J,,0)</f>
        <v>14182</v>
      </c>
      <c r="K7" s="61">
        <f>_xlfn.XLOOKUP($A7,Inputs!$A:$A,Inputs!K:K,,0)</f>
        <v>13208</v>
      </c>
      <c r="L7" s="61">
        <f>_xlfn.XLOOKUP($A7,Inputs!$A:$A,Inputs!L:L,,0)</f>
        <v>0</v>
      </c>
      <c r="M7" s="62">
        <f>_xlfn.XLOOKUP($A7,Inputs!$A:$A,Inputs!M:M,,0)</f>
        <v>0</v>
      </c>
      <c r="N7" s="51"/>
    </row>
    <row r="8" spans="1:14" ht="12.75">
      <c r="A8" s="63" t="s">
        <v>540</v>
      </c>
      <c r="B8" s="64">
        <f>IFERROR(B7/B$5,"-")</f>
        <v>0.12148717361227385</v>
      </c>
      <c r="C8" s="64">
        <f t="shared" ref="C8:M8" si="2">IFERROR(C7/C$5,"-")</f>
        <v>0.12884769482822858</v>
      </c>
      <c r="D8" s="64">
        <f t="shared" si="2"/>
        <v>0.13085793440912444</v>
      </c>
      <c r="E8" s="64">
        <f t="shared" si="2"/>
        <v>0.12977479158890134</v>
      </c>
      <c r="F8" s="64">
        <f t="shared" si="2"/>
        <v>0.13013505113861107</v>
      </c>
      <c r="G8" s="64">
        <f t="shared" si="2"/>
        <v>0.13286572369695795</v>
      </c>
      <c r="H8" s="64">
        <f t="shared" si="2"/>
        <v>0.13323899291604546</v>
      </c>
      <c r="I8" s="64">
        <f t="shared" si="2"/>
        <v>0.13024208469952409</v>
      </c>
      <c r="J8" s="64">
        <f t="shared" si="2"/>
        <v>0.12590553977272728</v>
      </c>
      <c r="K8" s="64">
        <f t="shared" si="2"/>
        <v>0.12560386473429952</v>
      </c>
      <c r="L8" s="64" t="str">
        <f t="shared" si="2"/>
        <v>-</v>
      </c>
      <c r="M8" s="65" t="str">
        <f t="shared" si="2"/>
        <v>-</v>
      </c>
      <c r="N8" s="51"/>
    </row>
    <row r="9" spans="1:14" ht="12.75">
      <c r="A9" s="60" t="s">
        <v>541</v>
      </c>
      <c r="B9" s="61">
        <f>B5-B11</f>
        <v>219161</v>
      </c>
      <c r="C9" s="61">
        <f t="shared" ref="C9:M9" si="3">C5-C11</f>
        <v>189221</v>
      </c>
      <c r="D9" s="61">
        <f t="shared" si="3"/>
        <v>161326</v>
      </c>
      <c r="E9" s="61">
        <f t="shared" si="3"/>
        <v>147966</v>
      </c>
      <c r="F9" s="61">
        <f t="shared" si="3"/>
        <v>137050</v>
      </c>
      <c r="G9" s="61">
        <f t="shared" si="3"/>
        <v>124902</v>
      </c>
      <c r="H9" s="61">
        <f t="shared" si="3"/>
        <v>115008</v>
      </c>
      <c r="I9" s="61">
        <f t="shared" si="3"/>
        <v>112521</v>
      </c>
      <c r="J9" s="61">
        <f t="shared" si="3"/>
        <v>109382</v>
      </c>
      <c r="K9" s="61">
        <f t="shared" si="3"/>
        <v>102050</v>
      </c>
      <c r="L9" s="61">
        <f t="shared" si="3"/>
        <v>0</v>
      </c>
      <c r="M9" s="62">
        <f t="shared" si="3"/>
        <v>0</v>
      </c>
      <c r="N9" s="51"/>
    </row>
    <row r="10" spans="1:14" ht="12.75">
      <c r="A10" s="63" t="s">
        <v>540</v>
      </c>
      <c r="B10" s="64">
        <f>IFERROR(B9/B$5,"-")</f>
        <v>0.96566264529376</v>
      </c>
      <c r="C10" s="64">
        <f t="shared" ref="C10:M10" si="4">IFERROR(C9/C$5,"-")</f>
        <v>0.96576310806465604</v>
      </c>
      <c r="D10" s="64">
        <f t="shared" si="4"/>
        <v>0.96740844681910043</v>
      </c>
      <c r="E10" s="64">
        <f t="shared" si="4"/>
        <v>0.96897899844796764</v>
      </c>
      <c r="F10" s="64">
        <f t="shared" si="4"/>
        <v>0.96803130474091659</v>
      </c>
      <c r="G10" s="64">
        <f t="shared" si="4"/>
        <v>0.96804495252857969</v>
      </c>
      <c r="H10" s="64">
        <f t="shared" si="4"/>
        <v>0.96874131352184567</v>
      </c>
      <c r="I10" s="64">
        <f t="shared" si="4"/>
        <v>0.96834740402240982</v>
      </c>
      <c r="J10" s="64">
        <f t="shared" si="4"/>
        <v>0.97107599431818181</v>
      </c>
      <c r="K10" s="64">
        <f t="shared" si="4"/>
        <v>0.97046293126402683</v>
      </c>
      <c r="L10" s="64" t="str">
        <f t="shared" si="4"/>
        <v>-</v>
      </c>
      <c r="M10" s="65" t="str">
        <f t="shared" si="4"/>
        <v>-</v>
      </c>
      <c r="N10" s="51"/>
    </row>
    <row r="11" spans="1:14" ht="12.75">
      <c r="A11" s="60" t="s">
        <v>278</v>
      </c>
      <c r="B11" s="61">
        <f>_xlfn.XLOOKUP($A11,Inputs!$A:$A,Inputs!B:B,,0)</f>
        <v>7793</v>
      </c>
      <c r="C11" s="61">
        <f>_xlfn.XLOOKUP($A11,Inputs!$A:$A,Inputs!C:C,,0)</f>
        <v>6708</v>
      </c>
      <c r="D11" s="61">
        <f>_xlfn.XLOOKUP($A11,Inputs!$A:$A,Inputs!D:D,,0)</f>
        <v>5435</v>
      </c>
      <c r="E11" s="61">
        <f>_xlfn.XLOOKUP($A11,Inputs!$A:$A,Inputs!E:E,,0)</f>
        <v>4737</v>
      </c>
      <c r="F11" s="61">
        <f>_xlfn.XLOOKUP($A11,Inputs!$A:$A,Inputs!F:F,,0)</f>
        <v>4526</v>
      </c>
      <c r="G11" s="61">
        <f>_xlfn.XLOOKUP($A11,Inputs!$A:$A,Inputs!G:G,,0)</f>
        <v>4123</v>
      </c>
      <c r="H11" s="61">
        <f>_xlfn.XLOOKUP($A11,Inputs!$A:$A,Inputs!H:H,,0)</f>
        <v>3711</v>
      </c>
      <c r="I11" s="61">
        <f>_xlfn.XLOOKUP($A11,Inputs!$A:$A,Inputs!I:I,,0)</f>
        <v>3678</v>
      </c>
      <c r="J11" s="61">
        <f>_xlfn.XLOOKUP($A11,Inputs!$A:$A,Inputs!J:J,,0)</f>
        <v>3258</v>
      </c>
      <c r="K11" s="61">
        <f>_xlfn.XLOOKUP($A11,Inputs!$A:$A,Inputs!K:K,,0)</f>
        <v>3106</v>
      </c>
      <c r="L11" s="61">
        <f>_xlfn.XLOOKUP($A11,Inputs!$A:$A,Inputs!L:L,,0)</f>
        <v>0</v>
      </c>
      <c r="M11" s="62">
        <f>_xlfn.XLOOKUP($A11,Inputs!$A:$A,Inputs!M:M,,0)</f>
        <v>0</v>
      </c>
      <c r="N11" s="51"/>
    </row>
    <row r="12" spans="1:14" ht="12.75">
      <c r="A12" s="63" t="s">
        <v>540</v>
      </c>
      <c r="B12" s="64">
        <f t="shared" ref="B12:M12" si="5">IFERROR(B11/B$5,"-")</f>
        <v>3.4337354706240032E-2</v>
      </c>
      <c r="C12" s="64">
        <f t="shared" si="5"/>
        <v>3.4236891935343926E-2</v>
      </c>
      <c r="D12" s="64">
        <f t="shared" si="5"/>
        <v>3.259155318089961E-2</v>
      </c>
      <c r="E12" s="64">
        <f t="shared" si="5"/>
        <v>3.1021001552032378E-2</v>
      </c>
      <c r="F12" s="64">
        <f t="shared" si="5"/>
        <v>3.1968695259083461E-2</v>
      </c>
      <c r="G12" s="64">
        <f t="shared" si="5"/>
        <v>3.1955047471420264E-2</v>
      </c>
      <c r="H12" s="64">
        <f t="shared" si="5"/>
        <v>3.1258686478154295E-2</v>
      </c>
      <c r="I12" s="64">
        <f t="shared" si="5"/>
        <v>3.1652595977590167E-2</v>
      </c>
      <c r="J12" s="64">
        <f t="shared" si="5"/>
        <v>2.8924005681818181E-2</v>
      </c>
      <c r="K12" s="64">
        <f t="shared" si="5"/>
        <v>2.953706873597322E-2</v>
      </c>
      <c r="L12" s="64" t="str">
        <f t="shared" si="5"/>
        <v>-</v>
      </c>
      <c r="M12" s="65" t="str">
        <f t="shared" si="5"/>
        <v>-</v>
      </c>
      <c r="N12" s="51"/>
    </row>
    <row r="13" spans="1:14" ht="12.75">
      <c r="A13" s="60" t="s">
        <v>542</v>
      </c>
      <c r="B13" s="64">
        <f t="shared" ref="B13:M13" si="6">IFERROR(B12/C12-1,"-")</f>
        <v>2.9343426116432703E-3</v>
      </c>
      <c r="C13" s="64">
        <f t="shared" si="6"/>
        <v>5.048359448572004E-2</v>
      </c>
      <c r="D13" s="64">
        <f t="shared" si="6"/>
        <v>5.0628656403401529E-2</v>
      </c>
      <c r="E13" s="64">
        <f t="shared" si="6"/>
        <v>-2.9644428694092895E-2</v>
      </c>
      <c r="F13" s="64">
        <f t="shared" si="6"/>
        <v>4.2709333088630785E-4</v>
      </c>
      <c r="G13" s="64">
        <f t="shared" si="6"/>
        <v>2.2277359407044672E-2</v>
      </c>
      <c r="H13" s="64">
        <f t="shared" si="6"/>
        <v>-1.2444777032340704E-2</v>
      </c>
      <c r="I13" s="64">
        <f t="shared" si="6"/>
        <v>9.4336528826199029E-2</v>
      </c>
      <c r="J13" s="64">
        <f t="shared" si="6"/>
        <v>-2.0755717489609582E-2</v>
      </c>
      <c r="K13" s="64" t="str">
        <f t="shared" si="6"/>
        <v>-</v>
      </c>
      <c r="L13" s="64" t="str">
        <f t="shared" si="6"/>
        <v>-</v>
      </c>
      <c r="M13" s="65" t="str">
        <f t="shared" si="6"/>
        <v>-</v>
      </c>
      <c r="N13" s="51"/>
    </row>
    <row r="14" spans="1:14" ht="12.75">
      <c r="A14" s="66" t="s">
        <v>279</v>
      </c>
      <c r="B14" s="61">
        <f>_xlfn.XLOOKUP($A14,Inputs!$A:$A,Inputs!B:B,,0)</f>
        <v>97</v>
      </c>
      <c r="C14" s="61">
        <f>_xlfn.XLOOKUP($A14,Inputs!$A:$A,Inputs!C:C,,0)</f>
        <v>130</v>
      </c>
      <c r="D14" s="61">
        <f>_xlfn.XLOOKUP($A14,Inputs!$A:$A,Inputs!D:D,,0)</f>
        <v>71</v>
      </c>
      <c r="E14" s="61">
        <f>_xlfn.XLOOKUP($A14,Inputs!$A:$A,Inputs!E:E,,0)</f>
        <v>24</v>
      </c>
      <c r="F14" s="61">
        <f>_xlfn.XLOOKUP($A14,Inputs!$A:$A,Inputs!F:F,,0)</f>
        <v>84</v>
      </c>
      <c r="G14" s="61">
        <f>_xlfn.XLOOKUP($A14,Inputs!$A:$A,Inputs!G:G,,0)</f>
        <v>84</v>
      </c>
      <c r="H14" s="61">
        <f>_xlfn.XLOOKUP($A14,Inputs!$A:$A,Inputs!H:H,,0)</f>
        <v>92</v>
      </c>
      <c r="I14" s="61">
        <f>_xlfn.XLOOKUP($A14,Inputs!$A:$A,Inputs!I:I,,0)</f>
        <v>74</v>
      </c>
      <c r="J14" s="61">
        <f>_xlfn.XLOOKUP($A14,Inputs!$A:$A,Inputs!J:J,,0)</f>
        <v>61</v>
      </c>
      <c r="K14" s="61">
        <f>_xlfn.XLOOKUP($A14,Inputs!$A:$A,Inputs!K:K,,0)</f>
        <v>55</v>
      </c>
      <c r="L14" s="61">
        <f>_xlfn.XLOOKUP($A14,Inputs!$A:$A,Inputs!L:L,,0)</f>
        <v>0</v>
      </c>
      <c r="M14" s="62">
        <f>_xlfn.XLOOKUP($A14,Inputs!$A:$A,Inputs!M:M,,0)</f>
        <v>0</v>
      </c>
      <c r="N14" s="51"/>
    </row>
    <row r="15" spans="1:14" ht="12.75">
      <c r="A15" s="60" t="s">
        <v>543</v>
      </c>
      <c r="B15" s="61">
        <f>_xlfn.XLOOKUP($A15,Inputs!$A:$A,Inputs!B:B,,0)</f>
        <v>19653</v>
      </c>
      <c r="C15" s="61">
        <f>_xlfn.XLOOKUP($A15,Inputs!$A:$A,Inputs!C:C,,0)</f>
        <v>18435</v>
      </c>
      <c r="D15" s="61">
        <f>_xlfn.XLOOKUP($A15,Inputs!$A:$A,Inputs!D:D,,0)</f>
        <v>16384</v>
      </c>
      <c r="E15" s="61">
        <f>_xlfn.XLOOKUP($A15,Inputs!$A:$A,Inputs!E:E,,0)</f>
        <v>15028</v>
      </c>
      <c r="F15" s="61">
        <f>_xlfn.XLOOKUP($A15,Inputs!$A:$A,Inputs!F:F,,0)</f>
        <v>13898</v>
      </c>
      <c r="G15" s="61">
        <f>_xlfn.XLOOKUP($A15,Inputs!$A:$A,Inputs!G:G,,0)</f>
        <v>13020</v>
      </c>
      <c r="H15" s="61">
        <f>_xlfn.XLOOKUP($A15,Inputs!$A:$A,Inputs!H:H,,0)</f>
        <v>12107</v>
      </c>
      <c r="I15" s="61">
        <f>_xlfn.XLOOKUP($A15,Inputs!$A:$A,Inputs!I:I,,0)</f>
        <v>11456</v>
      </c>
      <c r="J15" s="61">
        <f>_xlfn.XLOOKUP($A15,Inputs!$A:$A,Inputs!J:J,,0)</f>
        <v>10924</v>
      </c>
      <c r="K15" s="61">
        <f>_xlfn.XLOOKUP($A15,Inputs!$A:$A,Inputs!K:K,,0)</f>
        <v>10102</v>
      </c>
      <c r="L15" s="61">
        <f>_xlfn.XLOOKUP($A15,Inputs!$A:$A,Inputs!L:L,,0)</f>
        <v>0</v>
      </c>
      <c r="M15" s="62">
        <f>_xlfn.XLOOKUP($A15,Inputs!$A:$A,Inputs!M:M,,0)</f>
        <v>0</v>
      </c>
      <c r="N15" s="51"/>
    </row>
    <row r="16" spans="1:14" ht="12.75">
      <c r="A16" s="66" t="s">
        <v>61</v>
      </c>
      <c r="B16" s="61">
        <f>B11-B15</f>
        <v>-11860</v>
      </c>
      <c r="C16" s="61">
        <f t="shared" ref="C16:M16" si="7">C11-C15</f>
        <v>-11727</v>
      </c>
      <c r="D16" s="61">
        <f t="shared" si="7"/>
        <v>-10949</v>
      </c>
      <c r="E16" s="61">
        <f t="shared" si="7"/>
        <v>-10291</v>
      </c>
      <c r="F16" s="61">
        <f t="shared" si="7"/>
        <v>-9372</v>
      </c>
      <c r="G16" s="61">
        <f t="shared" si="7"/>
        <v>-8897</v>
      </c>
      <c r="H16" s="61">
        <f t="shared" si="7"/>
        <v>-8396</v>
      </c>
      <c r="I16" s="61">
        <f t="shared" si="7"/>
        <v>-7778</v>
      </c>
      <c r="J16" s="61">
        <f t="shared" si="7"/>
        <v>-7666</v>
      </c>
      <c r="K16" s="61">
        <f t="shared" si="7"/>
        <v>-6996</v>
      </c>
      <c r="L16" s="61">
        <f t="shared" si="7"/>
        <v>0</v>
      </c>
      <c r="M16" s="62">
        <f t="shared" si="7"/>
        <v>0</v>
      </c>
      <c r="N16" s="51"/>
    </row>
    <row r="17" spans="1:14" ht="12.75">
      <c r="A17" s="60" t="s">
        <v>579</v>
      </c>
      <c r="B17" s="61">
        <f>'Fin. Data'!B17</f>
        <v>1900</v>
      </c>
      <c r="C17" s="61">
        <f>'Fin. Data'!C17</f>
        <v>1781</v>
      </c>
      <c r="D17" s="61">
        <f>'Fin. Data'!D17</f>
        <v>1645</v>
      </c>
      <c r="E17" s="61">
        <f>'Fin. Data'!E17</f>
        <v>1492</v>
      </c>
      <c r="F17" s="61">
        <f>'Fin. Data'!F17</f>
        <v>1437</v>
      </c>
      <c r="G17" s="61">
        <f>'Fin. Data'!G17</f>
        <v>1370</v>
      </c>
      <c r="H17" s="61">
        <f>'Fin. Data'!H17</f>
        <v>1255</v>
      </c>
      <c r="I17" s="61">
        <f>'Fin. Data'!I17</f>
        <v>1127</v>
      </c>
      <c r="J17" s="61">
        <f>'Fin. Data'!J17</f>
        <v>1029</v>
      </c>
      <c r="K17" s="61">
        <f>'Fin. Data'!K17</f>
        <v>946</v>
      </c>
      <c r="L17" s="61">
        <f>'Fin. Data'!L17</f>
        <v>0</v>
      </c>
      <c r="M17" s="62">
        <f>'Fin. Data'!M17</f>
        <v>0</v>
      </c>
      <c r="N17" s="51"/>
    </row>
    <row r="18" spans="1:14" ht="12.75">
      <c r="A18" s="66" t="s">
        <v>544</v>
      </c>
      <c r="B18" s="61">
        <f>_xlfn.XLOOKUP($A18,Inputs!$A:$A,Inputs!B:B,,0)</f>
        <v>1034</v>
      </c>
      <c r="C18" s="61">
        <f>_xlfn.XLOOKUP($A18,Inputs!$A:$A,Inputs!C:C,,0)</f>
        <v>-1378</v>
      </c>
      <c r="D18" s="61">
        <f>_xlfn.XLOOKUP($A18,Inputs!$A:$A,Inputs!D:D,,0)</f>
        <v>-2447</v>
      </c>
      <c r="E18" s="61">
        <f>_xlfn.XLOOKUP($A18,Inputs!$A:$A,Inputs!E:E,,0)</f>
        <v>-681</v>
      </c>
      <c r="F18" s="61">
        <f>_xlfn.XLOOKUP($A18,Inputs!$A:$A,Inputs!F:F,,0)</f>
        <v>-935</v>
      </c>
      <c r="G18" s="61">
        <f>_xlfn.XLOOKUP($A18,Inputs!$A:$A,Inputs!G:G,,0)</f>
        <v>-1885</v>
      </c>
      <c r="H18" s="61">
        <f>_xlfn.XLOOKUP($A18,Inputs!$A:$A,Inputs!H:H,,0)</f>
        <v>910</v>
      </c>
      <c r="I18" s="61">
        <f>_xlfn.XLOOKUP($A18,Inputs!$A:$A,Inputs!I:I,,0)</f>
        <v>-727</v>
      </c>
      <c r="J18" s="61">
        <f>_xlfn.XLOOKUP($A18,Inputs!$A:$A,Inputs!J:J,,0)</f>
        <v>-628</v>
      </c>
      <c r="K18" s="61">
        <f>_xlfn.XLOOKUP($A18,Inputs!$A:$A,Inputs!K:K,,0)</f>
        <v>-3541</v>
      </c>
      <c r="L18" s="61">
        <f>_xlfn.XLOOKUP($A18,Inputs!$A:$A,Inputs!L:L,,0)</f>
        <v>0</v>
      </c>
      <c r="M18" s="62">
        <f>_xlfn.XLOOKUP($A18,Inputs!$A:$A,Inputs!M:M,,0)</f>
        <v>0</v>
      </c>
      <c r="N18" s="51"/>
    </row>
    <row r="19" spans="1:14" ht="12.75">
      <c r="A19" s="60" t="s">
        <v>52</v>
      </c>
      <c r="B19" s="61">
        <f>B11-B15+B17</f>
        <v>-9960</v>
      </c>
      <c r="C19" s="61">
        <f t="shared" ref="C19:M19" si="8">C11-C15+C17</f>
        <v>-9946</v>
      </c>
      <c r="D19" s="61">
        <f t="shared" si="8"/>
        <v>-9304</v>
      </c>
      <c r="E19" s="61">
        <f t="shared" si="8"/>
        <v>-8799</v>
      </c>
      <c r="F19" s="61">
        <f t="shared" si="8"/>
        <v>-7935</v>
      </c>
      <c r="G19" s="61">
        <f t="shared" si="8"/>
        <v>-7527</v>
      </c>
      <c r="H19" s="61">
        <f t="shared" si="8"/>
        <v>-7141</v>
      </c>
      <c r="I19" s="61">
        <f t="shared" si="8"/>
        <v>-6651</v>
      </c>
      <c r="J19" s="61">
        <f t="shared" si="8"/>
        <v>-6637</v>
      </c>
      <c r="K19" s="61">
        <f t="shared" si="8"/>
        <v>-6050</v>
      </c>
      <c r="L19" s="61">
        <f t="shared" si="8"/>
        <v>0</v>
      </c>
      <c r="M19" s="62">
        <f t="shared" si="8"/>
        <v>0</v>
      </c>
      <c r="N19" s="51"/>
    </row>
    <row r="20" spans="1:14" ht="12.75">
      <c r="A20" s="63" t="s">
        <v>540</v>
      </c>
      <c r="B20" s="64">
        <f t="shared" ref="B20:M20" si="9">IFERROR(B19/B$5,"-")</f>
        <v>-4.3885545088432017E-2</v>
      </c>
      <c r="C20" s="64">
        <f t="shared" si="9"/>
        <v>-5.0763286700794677E-2</v>
      </c>
      <c r="D20" s="64">
        <f t="shared" si="9"/>
        <v>-5.5792421489436979E-2</v>
      </c>
      <c r="E20" s="64">
        <f t="shared" si="9"/>
        <v>-5.7621657727746016E-2</v>
      </c>
      <c r="F20" s="64">
        <f t="shared" si="9"/>
        <v>-5.6047635192405493E-2</v>
      </c>
      <c r="G20" s="64">
        <f t="shared" si="9"/>
        <v>-5.8337531486146094E-2</v>
      </c>
      <c r="H20" s="64">
        <f t="shared" si="9"/>
        <v>-6.0150439272567996E-2</v>
      </c>
      <c r="I20" s="64">
        <f t="shared" si="9"/>
        <v>-5.7238014096506855E-2</v>
      </c>
      <c r="J20" s="64">
        <f t="shared" si="9"/>
        <v>-5.8922230113636363E-2</v>
      </c>
      <c r="K20" s="64">
        <f t="shared" si="9"/>
        <v>-5.7533569173418543E-2</v>
      </c>
      <c r="L20" s="64" t="str">
        <f t="shared" si="9"/>
        <v>-</v>
      </c>
      <c r="M20" s="65" t="str">
        <f t="shared" si="9"/>
        <v>-</v>
      </c>
      <c r="N20" s="51"/>
    </row>
    <row r="21" spans="1:14" ht="12.75">
      <c r="A21" s="60" t="s">
        <v>280</v>
      </c>
      <c r="B21" s="61">
        <f>_xlfn.XLOOKUP($A21,Inputs!$A:$A,Inputs!B:B,,0)</f>
        <v>1925</v>
      </c>
      <c r="C21" s="61">
        <f>_xlfn.XLOOKUP($A21,Inputs!$A:$A,Inputs!C:C,,0)</f>
        <v>1601</v>
      </c>
      <c r="D21" s="61">
        <f>_xlfn.XLOOKUP($A21,Inputs!$A:$A,Inputs!D:D,,0)</f>
        <v>1308</v>
      </c>
      <c r="E21" s="61">
        <f>_xlfn.XLOOKUP($A21,Inputs!$A:$A,Inputs!E:E,,0)</f>
        <v>1061</v>
      </c>
      <c r="F21" s="61">
        <f>_xlfn.XLOOKUP($A21,Inputs!$A:$A,Inputs!F:F,,0)</f>
        <v>1263</v>
      </c>
      <c r="G21" s="61">
        <f>_xlfn.XLOOKUP($A21,Inputs!$A:$A,Inputs!G:G,,0)</f>
        <v>1325</v>
      </c>
      <c r="H21" s="61">
        <f>_xlfn.XLOOKUP($A21,Inputs!$A:$A,Inputs!H:H,,0)</f>
        <v>1243</v>
      </c>
      <c r="I21" s="61">
        <f>_xlfn.XLOOKUP($A21,Inputs!$A:$A,Inputs!I:I,,0)</f>
        <v>1195</v>
      </c>
      <c r="J21" s="61">
        <f>_xlfn.XLOOKUP($A21,Inputs!$A:$A,Inputs!J:J,,0)</f>
        <v>1109</v>
      </c>
      <c r="K21" s="61">
        <f>_xlfn.XLOOKUP($A21,Inputs!$A:$A,Inputs!K:K,,0)</f>
        <v>990</v>
      </c>
      <c r="L21" s="61">
        <f>_xlfn.XLOOKUP($A21,Inputs!$A:$A,Inputs!L:L,,0)</f>
        <v>0</v>
      </c>
      <c r="M21" s="62">
        <f>_xlfn.XLOOKUP($A21,Inputs!$A:$A,Inputs!M:M,,0)</f>
        <v>0</v>
      </c>
      <c r="N21" s="51"/>
    </row>
    <row r="22" spans="1:14" ht="12.75">
      <c r="A22" s="63" t="s">
        <v>546</v>
      </c>
      <c r="B22" s="64">
        <f t="shared" ref="B22:M22" si="10">IFERROR(B21/B$5,"-")</f>
        <v>8.4818950095614087E-3</v>
      </c>
      <c r="C22" s="64">
        <f t="shared" si="10"/>
        <v>8.1713273685876005E-3</v>
      </c>
      <c r="D22" s="64">
        <f t="shared" si="10"/>
        <v>7.8435605447316811E-3</v>
      </c>
      <c r="E22" s="64">
        <f t="shared" si="10"/>
        <v>6.9481280655913765E-3</v>
      </c>
      <c r="F22" s="64">
        <f t="shared" si="10"/>
        <v>8.9210035599254119E-3</v>
      </c>
      <c r="G22" s="64">
        <f t="shared" si="10"/>
        <v>1.0269327649680294E-2</v>
      </c>
      <c r="H22" s="64">
        <f t="shared" si="10"/>
        <v>1.0470101668646131E-2</v>
      </c>
      <c r="I22" s="64">
        <f t="shared" si="10"/>
        <v>1.0284081618602569E-2</v>
      </c>
      <c r="J22" s="64">
        <f t="shared" si="10"/>
        <v>9.8455255681818184E-3</v>
      </c>
      <c r="K22" s="64">
        <f t="shared" si="10"/>
        <v>9.4145840465593971E-3</v>
      </c>
      <c r="L22" s="64" t="str">
        <f t="shared" si="10"/>
        <v>-</v>
      </c>
      <c r="M22" s="65" t="str">
        <f t="shared" si="10"/>
        <v>-</v>
      </c>
      <c r="N22" s="51"/>
    </row>
    <row r="23" spans="1:14" ht="12.75">
      <c r="A23" s="60" t="s">
        <v>407</v>
      </c>
      <c r="B23" s="61">
        <f>_xlfn.XLOOKUP($A23,Inputs!$A:$A,Inputs!B:B,,0)</f>
        <v>5844</v>
      </c>
      <c r="C23" s="61">
        <f>_xlfn.XLOOKUP($A23,Inputs!$A:$A,Inputs!C:C,,0)</f>
        <v>5007</v>
      </c>
      <c r="D23" s="61">
        <f>_xlfn.XLOOKUP($A23,Inputs!$A:$A,Inputs!D:D,,0)</f>
        <v>4002</v>
      </c>
      <c r="E23" s="61">
        <f>_xlfn.XLOOKUP($A23,Inputs!$A:$A,Inputs!E:E,,0)</f>
        <v>3659</v>
      </c>
      <c r="F23" s="61">
        <f>_xlfn.XLOOKUP($A23,Inputs!$A:$A,Inputs!F:F,,0)</f>
        <v>3134</v>
      </c>
      <c r="G23" s="61">
        <f>_xlfn.XLOOKUP($A23,Inputs!$A:$A,Inputs!G:G,,0)</f>
        <v>2679</v>
      </c>
      <c r="H23" s="61">
        <f>_xlfn.XLOOKUP($A23,Inputs!$A:$A,Inputs!H:H,,0)</f>
        <v>2350</v>
      </c>
      <c r="I23" s="61">
        <f>_xlfn.XLOOKUP($A23,Inputs!$A:$A,Inputs!I:I,,0)</f>
        <v>2377</v>
      </c>
      <c r="J23" s="61">
        <f>_xlfn.XLOOKUP($A23,Inputs!$A:$A,Inputs!J:J,,0)</f>
        <v>2058</v>
      </c>
      <c r="K23" s="61">
        <f>_xlfn.XLOOKUP($A23,Inputs!$A:$A,Inputs!K:K,,0)</f>
        <v>2039</v>
      </c>
      <c r="L23" s="61">
        <f>_xlfn.XLOOKUP($A23,Inputs!$A:$A,Inputs!L:L,,0)</f>
        <v>0</v>
      </c>
      <c r="M23" s="62">
        <f>_xlfn.XLOOKUP($A23,Inputs!$A:$A,Inputs!M:M,,0)</f>
        <v>0</v>
      </c>
      <c r="N23" s="51"/>
    </row>
    <row r="24" spans="1:14" ht="12.75">
      <c r="A24" s="63" t="s">
        <v>540</v>
      </c>
      <c r="B24" s="64">
        <f t="shared" ref="B24:M24" si="11">IFERROR(B23/B$5,"-")</f>
        <v>2.5749711395260715E-2</v>
      </c>
      <c r="C24" s="64">
        <f t="shared" si="11"/>
        <v>2.5555175599324246E-2</v>
      </c>
      <c r="D24" s="64">
        <f t="shared" si="11"/>
        <v>2.3998416896036844E-2</v>
      </c>
      <c r="E24" s="64">
        <f t="shared" si="11"/>
        <v>2.3961546269555937E-2</v>
      </c>
      <c r="F24" s="64">
        <f t="shared" si="11"/>
        <v>2.2136520314177545E-2</v>
      </c>
      <c r="G24" s="64">
        <f t="shared" si="11"/>
        <v>2.0763417942259253E-2</v>
      </c>
      <c r="H24" s="64">
        <f t="shared" si="11"/>
        <v>1.9794641127367986E-2</v>
      </c>
      <c r="I24" s="64">
        <f t="shared" si="11"/>
        <v>2.0456286198676409E-2</v>
      </c>
      <c r="J24" s="64">
        <f t="shared" si="11"/>
        <v>1.8270596590909093E-2</v>
      </c>
      <c r="K24" s="64">
        <f t="shared" si="11"/>
        <v>1.9390239263570315E-2</v>
      </c>
      <c r="L24" s="64" t="str">
        <f t="shared" si="11"/>
        <v>-</v>
      </c>
      <c r="M24" s="65" t="str">
        <f t="shared" si="11"/>
        <v>-</v>
      </c>
      <c r="N24" s="51"/>
    </row>
    <row r="25" spans="1:14" ht="12.75">
      <c r="A25" s="60" t="s">
        <v>538</v>
      </c>
      <c r="B25" s="64">
        <f t="shared" ref="B25:M25" si="12">IFERROR(B24/C24-1,"-")</f>
        <v>7.6123834555694714E-3</v>
      </c>
      <c r="C25" s="64">
        <f t="shared" si="12"/>
        <v>6.4869224917269097E-2</v>
      </c>
      <c r="D25" s="64">
        <f t="shared" si="12"/>
        <v>1.5387415347127842E-3</v>
      </c>
      <c r="E25" s="64">
        <f t="shared" si="12"/>
        <v>8.2444120822798617E-2</v>
      </c>
      <c r="F25" s="64">
        <f t="shared" si="12"/>
        <v>6.6130844918535825E-2</v>
      </c>
      <c r="G25" s="64">
        <f t="shared" si="12"/>
        <v>4.8941367951947257E-2</v>
      </c>
      <c r="H25" s="64">
        <f t="shared" si="12"/>
        <v>-3.2344339773229924E-2</v>
      </c>
      <c r="I25" s="64">
        <f t="shared" si="12"/>
        <v>0.11962880341054927</v>
      </c>
      <c r="J25" s="64">
        <f t="shared" si="12"/>
        <v>-5.7742591901110085E-2</v>
      </c>
      <c r="K25" s="64" t="str">
        <f t="shared" si="12"/>
        <v>-</v>
      </c>
      <c r="L25" s="64" t="str">
        <f t="shared" si="12"/>
        <v>-</v>
      </c>
      <c r="M25" s="65" t="str">
        <f t="shared" si="12"/>
        <v>-</v>
      </c>
      <c r="N25" s="51"/>
    </row>
    <row r="26" spans="1:14" ht="12.75">
      <c r="A26" s="63" t="s">
        <v>547</v>
      </c>
      <c r="B26" s="67">
        <f>B39-C39</f>
        <v>-1126</v>
      </c>
      <c r="C26" s="67">
        <f t="shared" ref="C26:M26" si="13">C39-D39</f>
        <v>-1130</v>
      </c>
      <c r="D26" s="67">
        <f t="shared" si="13"/>
        <v>3861</v>
      </c>
      <c r="E26" s="67">
        <f t="shared" si="13"/>
        <v>2185</v>
      </c>
      <c r="F26" s="67">
        <f t="shared" si="13"/>
        <v>1480</v>
      </c>
      <c r="G26" s="67">
        <f t="shared" si="13"/>
        <v>1050</v>
      </c>
      <c r="H26" s="67">
        <f t="shared" si="13"/>
        <v>-1690</v>
      </c>
      <c r="I26" s="67">
        <f t="shared" si="13"/>
        <v>-896</v>
      </c>
      <c r="J26" s="67">
        <f t="shared" si="13"/>
        <v>1191</v>
      </c>
      <c r="K26" s="67">
        <f t="shared" si="13"/>
        <v>6124</v>
      </c>
      <c r="L26" s="67">
        <f t="shared" si="13"/>
        <v>0</v>
      </c>
      <c r="M26" s="68">
        <f t="shared" si="13"/>
        <v>0</v>
      </c>
      <c r="N26" s="51"/>
    </row>
    <row r="27" spans="1:14" ht="12.75">
      <c r="A27" s="60" t="s">
        <v>135</v>
      </c>
      <c r="B27" s="61">
        <f>_xlfn.XLOOKUP($A27,Inputs!$A:$A,Inputs!B:B,,0)</f>
        <v>-1498</v>
      </c>
      <c r="C27" s="61">
        <f>_xlfn.XLOOKUP($A27,Inputs!$A:$A,Inputs!C:C,,0)</f>
        <v>-1318</v>
      </c>
      <c r="D27" s="61">
        <f>_xlfn.XLOOKUP($A27,Inputs!$A:$A,Inputs!D:D,,0)</f>
        <v>-1479</v>
      </c>
      <c r="E27" s="61">
        <f>_xlfn.XLOOKUP($A27,Inputs!$A:$A,Inputs!E:E,,0)</f>
        <v>-1038</v>
      </c>
      <c r="F27" s="61">
        <f>_xlfn.XLOOKUP($A27,Inputs!$A:$A,Inputs!F:F,,0)</f>
        <v>-689</v>
      </c>
      <c r="G27" s="61">
        <f>_xlfn.XLOOKUP($A27,Inputs!$A:$A,Inputs!G:G,,0)</f>
        <v>-804</v>
      </c>
      <c r="H27" s="61">
        <f>_xlfn.XLOOKUP($A27,Inputs!$A:$A,Inputs!H:H,,0)</f>
        <v>-736</v>
      </c>
      <c r="I27" s="61">
        <f>_xlfn.XLOOKUP($A27,Inputs!$A:$A,Inputs!I:I,,0)</f>
        <v>-664</v>
      </c>
      <c r="J27" s="61">
        <f>_xlfn.XLOOKUP($A27,Inputs!$A:$A,Inputs!J:J,,0)</f>
        <v>-584</v>
      </c>
      <c r="K27" s="61">
        <f>_xlfn.XLOOKUP($A27,Inputs!$A:$A,Inputs!K:K,,0)</f>
        <v>-511</v>
      </c>
      <c r="L27" s="61">
        <f>_xlfn.XLOOKUP($A27,Inputs!$A:$A,Inputs!L:L,,0)</f>
        <v>0</v>
      </c>
      <c r="M27" s="62">
        <f>_xlfn.XLOOKUP($A27,Inputs!$A:$A,Inputs!M:M,,0)</f>
        <v>0</v>
      </c>
      <c r="N27" s="51"/>
    </row>
    <row r="28" spans="1:14" ht="12.75">
      <c r="A28" s="66" t="s">
        <v>548</v>
      </c>
      <c r="B28" s="61">
        <f>_xlfn.XLOOKUP($A28,Inputs!$A:$A,Inputs!B:B,,0)</f>
        <v>-802</v>
      </c>
      <c r="C28" s="61">
        <f>_xlfn.XLOOKUP($A28,Inputs!$A:$A,Inputs!C:C,,0)</f>
        <v>-808</v>
      </c>
      <c r="D28" s="61">
        <f>_xlfn.XLOOKUP($A28,Inputs!$A:$A,Inputs!D:D,,0)</f>
        <v>-526</v>
      </c>
      <c r="E28" s="61">
        <f>_xlfn.XLOOKUP($A28,Inputs!$A:$A,Inputs!E:E,,0)</f>
        <v>-519</v>
      </c>
      <c r="F28" s="61">
        <f>_xlfn.XLOOKUP($A28,Inputs!$A:$A,Inputs!F:F,,0)</f>
        <v>-545</v>
      </c>
      <c r="G28" s="61">
        <f>_xlfn.XLOOKUP($A28,Inputs!$A:$A,Inputs!G:G,,0)</f>
        <v>-671</v>
      </c>
      <c r="H28" s="61">
        <f>_xlfn.XLOOKUP($A28,Inputs!$A:$A,Inputs!H:H,,0)</f>
        <v>-706</v>
      </c>
      <c r="I28" s="61">
        <f>_xlfn.XLOOKUP($A28,Inputs!$A:$A,Inputs!I:I,,0)</f>
        <v>-659</v>
      </c>
      <c r="J28" s="61">
        <f>_xlfn.XLOOKUP($A28,Inputs!$A:$A,Inputs!J:J,,0)</f>
        <v>-498</v>
      </c>
      <c r="K28" s="61">
        <f>_xlfn.XLOOKUP($A28,Inputs!$A:$A,Inputs!K:K,,0)</f>
        <v>-157</v>
      </c>
      <c r="L28" s="61">
        <f>_xlfn.XLOOKUP($A28,Inputs!$A:$A,Inputs!L:L,,0)</f>
        <v>0</v>
      </c>
      <c r="M28" s="62">
        <f>_xlfn.XLOOKUP($A28,Inputs!$A:$A,Inputs!M:M,,0)</f>
        <v>0</v>
      </c>
      <c r="N28" s="51"/>
    </row>
    <row r="29" spans="1:14" ht="12.75">
      <c r="A29" s="60" t="s">
        <v>580</v>
      </c>
      <c r="B29" s="67">
        <f t="shared" ref="B29:M29" si="14">SUM(B26:B28)</f>
        <v>-3426</v>
      </c>
      <c r="C29" s="67">
        <f t="shared" si="14"/>
        <v>-3256</v>
      </c>
      <c r="D29" s="67">
        <f t="shared" si="14"/>
        <v>1856</v>
      </c>
      <c r="E29" s="67">
        <f t="shared" si="14"/>
        <v>628</v>
      </c>
      <c r="F29" s="67">
        <f t="shared" si="14"/>
        <v>246</v>
      </c>
      <c r="G29" s="67">
        <f t="shared" si="14"/>
        <v>-425</v>
      </c>
      <c r="H29" s="67">
        <f t="shared" si="14"/>
        <v>-3132</v>
      </c>
      <c r="I29" s="67">
        <f t="shared" si="14"/>
        <v>-2219</v>
      </c>
      <c r="J29" s="67">
        <f t="shared" si="14"/>
        <v>109</v>
      </c>
      <c r="K29" s="67">
        <f t="shared" si="14"/>
        <v>5456</v>
      </c>
      <c r="L29" s="67">
        <f t="shared" si="14"/>
        <v>0</v>
      </c>
      <c r="M29" s="68">
        <f t="shared" si="14"/>
        <v>0</v>
      </c>
      <c r="N29" s="51"/>
    </row>
    <row r="30" spans="1:14" ht="12.75">
      <c r="A30" s="66" t="s">
        <v>549</v>
      </c>
      <c r="B30" s="67">
        <f t="shared" ref="B30:M30" si="15">+B29-(B58-C29)</f>
        <v>-13239</v>
      </c>
      <c r="C30" s="67">
        <f t="shared" si="15"/>
        <v>-8891</v>
      </c>
      <c r="D30" s="67">
        <f t="shared" si="15"/>
        <v>-5125</v>
      </c>
      <c r="E30" s="67">
        <f t="shared" si="15"/>
        <v>-5949</v>
      </c>
      <c r="F30" s="67">
        <f t="shared" si="15"/>
        <v>-6756</v>
      </c>
      <c r="G30" s="67">
        <f t="shared" si="15"/>
        <v>-10216</v>
      </c>
      <c r="H30" s="67">
        <f t="shared" si="15"/>
        <v>-10512</v>
      </c>
      <c r="I30" s="67">
        <f t="shared" si="15"/>
        <v>-8245</v>
      </c>
      <c r="J30" s="67">
        <f t="shared" si="15"/>
        <v>472</v>
      </c>
      <c r="K30" s="67">
        <f t="shared" si="15"/>
        <v>458</v>
      </c>
      <c r="L30" s="67">
        <f t="shared" si="15"/>
        <v>0</v>
      </c>
      <c r="M30" s="68">
        <f t="shared" si="15"/>
        <v>0</v>
      </c>
      <c r="N30" s="51"/>
    </row>
    <row r="31" spans="1:14" ht="12.75">
      <c r="A31" s="60" t="s">
        <v>550</v>
      </c>
      <c r="B31" s="67">
        <f t="shared" ref="B31:M31" si="16">+B30+B33</f>
        <v>-13236</v>
      </c>
      <c r="C31" s="67">
        <f t="shared" si="16"/>
        <v>-8790</v>
      </c>
      <c r="D31" s="67">
        <f t="shared" si="16"/>
        <v>-6144</v>
      </c>
      <c r="E31" s="67">
        <f t="shared" si="16"/>
        <v>-5786</v>
      </c>
      <c r="F31" s="67">
        <f t="shared" si="16"/>
        <v>-6730</v>
      </c>
      <c r="G31" s="67">
        <f t="shared" si="16"/>
        <v>-10084</v>
      </c>
      <c r="H31" s="67">
        <f t="shared" si="16"/>
        <v>-10238</v>
      </c>
      <c r="I31" s="67">
        <f t="shared" si="16"/>
        <v>-8359</v>
      </c>
      <c r="J31" s="67">
        <f t="shared" si="16"/>
        <v>392</v>
      </c>
      <c r="K31" s="67">
        <f t="shared" si="16"/>
        <v>293</v>
      </c>
      <c r="L31" s="67">
        <f t="shared" si="16"/>
        <v>0</v>
      </c>
      <c r="M31" s="68">
        <f t="shared" si="16"/>
        <v>0</v>
      </c>
      <c r="N31" s="51"/>
    </row>
    <row r="32" spans="1:14" ht="12.75">
      <c r="A32" s="66" t="s">
        <v>132</v>
      </c>
      <c r="B32" s="61">
        <f>_xlfn.XLOOKUP($A32,Inputs!$A:$A,Inputs!B:B,,0)</f>
        <v>-3891</v>
      </c>
      <c r="C32" s="61">
        <f>_xlfn.XLOOKUP($A32,Inputs!$A:$A,Inputs!C:C,,0)</f>
        <v>-3588</v>
      </c>
      <c r="D32" s="61">
        <f>_xlfn.XLOOKUP($A32,Inputs!$A:$A,Inputs!D:D,,0)</f>
        <v>-2810</v>
      </c>
      <c r="E32" s="61">
        <f>_xlfn.XLOOKUP($A32,Inputs!$A:$A,Inputs!E:E,,0)</f>
        <v>-2998</v>
      </c>
      <c r="F32" s="61">
        <f>_xlfn.XLOOKUP($A32,Inputs!$A:$A,Inputs!F:F,,0)</f>
        <v>-2969</v>
      </c>
      <c r="G32" s="61">
        <f>_xlfn.XLOOKUP($A32,Inputs!$A:$A,Inputs!G:G,,0)</f>
        <v>-2502</v>
      </c>
      <c r="H32" s="61">
        <f>_xlfn.XLOOKUP($A32,Inputs!$A:$A,Inputs!H:H,,0)</f>
        <v>-2649</v>
      </c>
      <c r="I32" s="61">
        <f>_xlfn.XLOOKUP($A32,Inputs!$A:$A,Inputs!I:I,,0)</f>
        <v>-2393</v>
      </c>
      <c r="J32" s="61">
        <f>_xlfn.XLOOKUP($A32,Inputs!$A:$A,Inputs!J:J,,0)</f>
        <v>-1993</v>
      </c>
      <c r="K32" s="61">
        <f>_xlfn.XLOOKUP($A32,Inputs!$A:$A,Inputs!K:K,,0)</f>
        <v>-2083</v>
      </c>
      <c r="L32" s="61">
        <f>_xlfn.XLOOKUP($A32,Inputs!$A:$A,Inputs!L:L,,0)</f>
        <v>0</v>
      </c>
      <c r="M32" s="62">
        <f>_xlfn.XLOOKUP($A32,Inputs!$A:$A,Inputs!M:M,,0)</f>
        <v>0</v>
      </c>
      <c r="N32" s="51"/>
    </row>
    <row r="33" spans="1:14" ht="12.75">
      <c r="A33" s="60" t="s">
        <v>133</v>
      </c>
      <c r="B33" s="61">
        <f>_xlfn.XLOOKUP($A33,Inputs!$A:$A,Inputs!B:B,,0)</f>
        <v>3</v>
      </c>
      <c r="C33" s="61">
        <f>_xlfn.XLOOKUP($A33,Inputs!$A:$A,Inputs!C:C,,0)</f>
        <v>101</v>
      </c>
      <c r="D33" s="61">
        <f>_xlfn.XLOOKUP($A33,Inputs!$A:$A,Inputs!D:D,,0)</f>
        <v>-1019</v>
      </c>
      <c r="E33" s="61">
        <f>_xlfn.XLOOKUP($A33,Inputs!$A:$A,Inputs!E:E,,0)</f>
        <v>163</v>
      </c>
      <c r="F33" s="61">
        <f>_xlfn.XLOOKUP($A33,Inputs!$A:$A,Inputs!F:F,,0)</f>
        <v>26</v>
      </c>
      <c r="G33" s="61">
        <f>_xlfn.XLOOKUP($A33,Inputs!$A:$A,Inputs!G:G,,0)</f>
        <v>132</v>
      </c>
      <c r="H33" s="61">
        <f>_xlfn.XLOOKUP($A33,Inputs!$A:$A,Inputs!H:H,,0)</f>
        <v>274</v>
      </c>
      <c r="I33" s="61">
        <f>_xlfn.XLOOKUP($A33,Inputs!$A:$A,Inputs!I:I,,0)</f>
        <v>-114</v>
      </c>
      <c r="J33" s="61">
        <f>_xlfn.XLOOKUP($A33,Inputs!$A:$A,Inputs!J:J,,0)</f>
        <v>-80</v>
      </c>
      <c r="K33" s="61">
        <f>_xlfn.XLOOKUP($A33,Inputs!$A:$A,Inputs!K:K,,0)</f>
        <v>-165</v>
      </c>
      <c r="L33" s="61">
        <f>_xlfn.XLOOKUP($A33,Inputs!$A:$A,Inputs!L:L,,0)</f>
        <v>0</v>
      </c>
      <c r="M33" s="62">
        <f>_xlfn.XLOOKUP($A33,Inputs!$A:$A,Inputs!M:M,,0)</f>
        <v>0</v>
      </c>
      <c r="N33" s="51"/>
    </row>
    <row r="34" spans="1:14" ht="12.75">
      <c r="A34" s="63" t="s">
        <v>128</v>
      </c>
      <c r="B34" s="67">
        <f t="shared" ref="B34:M34" si="17">+B32+B33</f>
        <v>-3888</v>
      </c>
      <c r="C34" s="67">
        <f t="shared" si="17"/>
        <v>-3487</v>
      </c>
      <c r="D34" s="67">
        <f t="shared" si="17"/>
        <v>-3829</v>
      </c>
      <c r="E34" s="67">
        <f t="shared" si="17"/>
        <v>-2835</v>
      </c>
      <c r="F34" s="67">
        <f t="shared" si="17"/>
        <v>-2943</v>
      </c>
      <c r="G34" s="67">
        <f t="shared" si="17"/>
        <v>-2370</v>
      </c>
      <c r="H34" s="67">
        <f t="shared" si="17"/>
        <v>-2375</v>
      </c>
      <c r="I34" s="67">
        <f t="shared" si="17"/>
        <v>-2507</v>
      </c>
      <c r="J34" s="67">
        <f t="shared" si="17"/>
        <v>-2073</v>
      </c>
      <c r="K34" s="67">
        <f t="shared" si="17"/>
        <v>-2248</v>
      </c>
      <c r="L34" s="67">
        <f t="shared" si="17"/>
        <v>0</v>
      </c>
      <c r="M34" s="68">
        <f t="shared" si="17"/>
        <v>0</v>
      </c>
      <c r="N34" s="51"/>
    </row>
    <row r="35" spans="1:14" ht="12.75">
      <c r="A35" s="60" t="s">
        <v>126</v>
      </c>
      <c r="B35" s="67">
        <f t="shared" ref="B35:M35" si="18">+B27+B28</f>
        <v>-2300</v>
      </c>
      <c r="C35" s="67">
        <f t="shared" si="18"/>
        <v>-2126</v>
      </c>
      <c r="D35" s="67">
        <f t="shared" si="18"/>
        <v>-2005</v>
      </c>
      <c r="E35" s="67">
        <f t="shared" si="18"/>
        <v>-1557</v>
      </c>
      <c r="F35" s="67">
        <f t="shared" si="18"/>
        <v>-1234</v>
      </c>
      <c r="G35" s="67">
        <f t="shared" si="18"/>
        <v>-1475</v>
      </c>
      <c r="H35" s="67">
        <f t="shared" si="18"/>
        <v>-1442</v>
      </c>
      <c r="I35" s="67">
        <f t="shared" si="18"/>
        <v>-1323</v>
      </c>
      <c r="J35" s="67">
        <f t="shared" si="18"/>
        <v>-1082</v>
      </c>
      <c r="K35" s="67">
        <f t="shared" si="18"/>
        <v>-668</v>
      </c>
      <c r="L35" s="67">
        <f t="shared" si="18"/>
        <v>0</v>
      </c>
      <c r="M35" s="68">
        <f t="shared" si="18"/>
        <v>0</v>
      </c>
      <c r="N35" s="51"/>
    </row>
    <row r="36" spans="1:14" ht="12.75">
      <c r="A36" s="66" t="s">
        <v>523</v>
      </c>
      <c r="B36" s="64">
        <f>IFERROR(B35/B23,"-")</f>
        <v>-0.39356605065023959</v>
      </c>
      <c r="C36" s="64">
        <f t="shared" ref="C36:M36" si="19">IFERROR(C35/C23,"-")</f>
        <v>-0.42460555222688234</v>
      </c>
      <c r="D36" s="64">
        <f t="shared" si="19"/>
        <v>-0.50099950024987505</v>
      </c>
      <c r="E36" s="64">
        <f t="shared" si="19"/>
        <v>-0.42552610002732988</v>
      </c>
      <c r="F36" s="64">
        <f t="shared" si="19"/>
        <v>-0.39374601148691768</v>
      </c>
      <c r="G36" s="64">
        <f t="shared" si="19"/>
        <v>-0.55057857409481148</v>
      </c>
      <c r="H36" s="64">
        <f t="shared" si="19"/>
        <v>-0.61361702127659579</v>
      </c>
      <c r="I36" s="64">
        <f t="shared" si="19"/>
        <v>-0.55658392932267564</v>
      </c>
      <c r="J36" s="64">
        <f t="shared" si="19"/>
        <v>-0.52575315840621961</v>
      </c>
      <c r="K36" s="64">
        <f t="shared" si="19"/>
        <v>-0.32761157430112803</v>
      </c>
      <c r="L36" s="64" t="str">
        <f t="shared" si="19"/>
        <v>-</v>
      </c>
      <c r="M36" s="65" t="str">
        <f t="shared" si="19"/>
        <v>-</v>
      </c>
      <c r="N36" s="51"/>
    </row>
    <row r="37" spans="1:14" ht="9.75">
      <c r="A37" s="51"/>
      <c r="B37" s="51"/>
      <c r="C37" s="51"/>
      <c r="D37" s="51"/>
      <c r="E37" s="51"/>
      <c r="F37" s="51"/>
      <c r="G37" s="51"/>
      <c r="H37" s="51"/>
      <c r="I37" s="51"/>
      <c r="J37" s="51"/>
      <c r="K37" s="51"/>
      <c r="L37" s="51"/>
      <c r="M37" s="51"/>
      <c r="N37" s="51"/>
    </row>
    <row r="38" spans="1:14" ht="20.25">
      <c r="A38" s="1011" t="s">
        <v>551</v>
      </c>
      <c r="B38" s="1011"/>
      <c r="C38" s="1011"/>
      <c r="D38" s="1011"/>
      <c r="E38" s="1011"/>
      <c r="F38" s="1011"/>
      <c r="G38" s="1011"/>
      <c r="H38" s="1011"/>
      <c r="I38" s="1011"/>
      <c r="J38" s="1011"/>
      <c r="K38" s="1011"/>
      <c r="L38" s="1011"/>
      <c r="M38" s="1011"/>
      <c r="N38" s="51"/>
    </row>
    <row r="39" spans="1:14" ht="12.75">
      <c r="A39" s="69" t="s">
        <v>282</v>
      </c>
      <c r="B39" s="61">
        <f>_xlfn.XLOOKUP($A39,Inputs!$A:$A,Inputs!B:B,,0)</f>
        <v>11049</v>
      </c>
      <c r="C39" s="61">
        <f>_xlfn.XLOOKUP($A39,Inputs!$A:$A,Inputs!C:C,,0)</f>
        <v>12175</v>
      </c>
      <c r="D39" s="61">
        <f>_xlfn.XLOOKUP($A39,Inputs!$A:$A,Inputs!D:D,,0)</f>
        <v>13305</v>
      </c>
      <c r="E39" s="61">
        <f>_xlfn.XLOOKUP($A39,Inputs!$A:$A,Inputs!E:E,,0)</f>
        <v>9444</v>
      </c>
      <c r="F39" s="61">
        <f>_xlfn.XLOOKUP($A39,Inputs!$A:$A,Inputs!F:F,,0)</f>
        <v>7259</v>
      </c>
      <c r="G39" s="61">
        <f>_xlfn.XLOOKUP($A39,Inputs!$A:$A,Inputs!G:G,,0)</f>
        <v>5779</v>
      </c>
      <c r="H39" s="61">
        <f>_xlfn.XLOOKUP($A39,Inputs!$A:$A,Inputs!H:H,,0)</f>
        <v>4729</v>
      </c>
      <c r="I39" s="61">
        <f>_xlfn.XLOOKUP($A39,Inputs!$A:$A,Inputs!I:I,,0)</f>
        <v>6419</v>
      </c>
      <c r="J39" s="61">
        <f>_xlfn.XLOOKUP($A39,Inputs!$A:$A,Inputs!J:J,,0)</f>
        <v>7315</v>
      </c>
      <c r="K39" s="61">
        <f>_xlfn.XLOOKUP($A39,Inputs!$A:$A,Inputs!K:K,,0)</f>
        <v>6124</v>
      </c>
      <c r="L39" s="61">
        <f>_xlfn.XLOOKUP($A39,Inputs!$A:$A,Inputs!L:L,,0)</f>
        <v>0</v>
      </c>
      <c r="M39" s="62">
        <f>_xlfn.XLOOKUP($A39,Inputs!$A:$A,Inputs!M:M,,0)</f>
        <v>0</v>
      </c>
      <c r="N39" s="51"/>
    </row>
    <row r="40" spans="1:14" ht="12.75">
      <c r="A40" s="63" t="s">
        <v>552</v>
      </c>
      <c r="B40" s="61">
        <f>_xlfn.XLOOKUP($A40,Inputs!$A:$A,Inputs!B:B,,0)</f>
        <v>2241</v>
      </c>
      <c r="C40" s="61">
        <f>_xlfn.XLOOKUP($A40,Inputs!$A:$A,Inputs!C:C,,0)</f>
        <v>1803</v>
      </c>
      <c r="D40" s="61">
        <f>_xlfn.XLOOKUP($A40,Inputs!$A:$A,Inputs!D:D,,0)</f>
        <v>1550</v>
      </c>
      <c r="E40" s="61">
        <f>_xlfn.XLOOKUP($A40,Inputs!$A:$A,Inputs!E:E,,0)</f>
        <v>1535</v>
      </c>
      <c r="F40" s="61">
        <f>_xlfn.XLOOKUP($A40,Inputs!$A:$A,Inputs!F:F,,0)</f>
        <v>1669</v>
      </c>
      <c r="G40" s="61">
        <f>_xlfn.XLOOKUP($A40,Inputs!$A:$A,Inputs!G:G,,0)</f>
        <v>1432</v>
      </c>
      <c r="H40" s="61">
        <f>_xlfn.XLOOKUP($A40,Inputs!$A:$A,Inputs!H:H,,0)</f>
        <v>1252</v>
      </c>
      <c r="I40" s="61">
        <f>_xlfn.XLOOKUP($A40,Inputs!$A:$A,Inputs!I:I,,0)</f>
        <v>1224</v>
      </c>
      <c r="J40" s="61">
        <f>_xlfn.XLOOKUP($A40,Inputs!$A:$A,Inputs!J:J,,0)</f>
        <v>1148</v>
      </c>
      <c r="K40" s="61">
        <f>_xlfn.XLOOKUP($A40,Inputs!$A:$A,Inputs!K:K,,0)</f>
        <v>1201</v>
      </c>
      <c r="L40" s="61">
        <f>_xlfn.XLOOKUP($A40,Inputs!$A:$A,Inputs!L:L,,0)</f>
        <v>0</v>
      </c>
      <c r="M40" s="62">
        <f>_xlfn.XLOOKUP($A40,Inputs!$A:$A,Inputs!M:M,,0)</f>
        <v>0</v>
      </c>
      <c r="N40" s="51"/>
    </row>
    <row r="41" spans="1:14" ht="12.75">
      <c r="A41" s="69" t="s">
        <v>284</v>
      </c>
      <c r="B41" s="61">
        <f>_xlfn.XLOOKUP($A41,Inputs!$A:$A,Inputs!B:B,,0)</f>
        <v>17907</v>
      </c>
      <c r="C41" s="61">
        <f>_xlfn.XLOOKUP($A41,Inputs!$A:$A,Inputs!C:C,,0)</f>
        <v>14215</v>
      </c>
      <c r="D41" s="61">
        <f>_xlfn.XLOOKUP($A41,Inputs!$A:$A,Inputs!D:D,,0)</f>
        <v>12242</v>
      </c>
      <c r="E41" s="61">
        <f>_xlfn.XLOOKUP($A41,Inputs!$A:$A,Inputs!E:E,,0)</f>
        <v>11395</v>
      </c>
      <c r="F41" s="61">
        <f>_xlfn.XLOOKUP($A41,Inputs!$A:$A,Inputs!F:F,,0)</f>
        <v>11040</v>
      </c>
      <c r="G41" s="61">
        <f>_xlfn.XLOOKUP($A41,Inputs!$A:$A,Inputs!G:G,,0)</f>
        <v>9834</v>
      </c>
      <c r="H41" s="61">
        <f>_xlfn.XLOOKUP($A41,Inputs!$A:$A,Inputs!H:H,,0)</f>
        <v>8969</v>
      </c>
      <c r="I41" s="61">
        <f>_xlfn.XLOOKUP($A41,Inputs!$A:$A,Inputs!I:I,,0)</f>
        <v>8908</v>
      </c>
      <c r="J41" s="61">
        <f>_xlfn.XLOOKUP($A41,Inputs!$A:$A,Inputs!J:J,,0)</f>
        <v>8456</v>
      </c>
      <c r="K41" s="61">
        <f>_xlfn.XLOOKUP($A41,Inputs!$A:$A,Inputs!K:K,,0)</f>
        <v>7894</v>
      </c>
      <c r="L41" s="61">
        <f>_xlfn.XLOOKUP($A41,Inputs!$A:$A,Inputs!L:L,,0)</f>
        <v>0</v>
      </c>
      <c r="M41" s="62">
        <f>_xlfn.XLOOKUP($A41,Inputs!$A:$A,Inputs!M:M,,0)</f>
        <v>0</v>
      </c>
      <c r="N41" s="51"/>
    </row>
    <row r="42" spans="1:14" ht="12.75">
      <c r="A42" s="63" t="s">
        <v>553</v>
      </c>
      <c r="B42" s="61">
        <f>_xlfn.XLOOKUP($A42,Inputs!$A:$A,Inputs!B:B,,0)</f>
        <v>44326</v>
      </c>
      <c r="C42" s="61">
        <f>_xlfn.XLOOKUP($A42,Inputs!$A:$A,Inputs!C:C,,0)</f>
        <v>41258</v>
      </c>
      <c r="D42" s="61">
        <f>_xlfn.XLOOKUP($A42,Inputs!$A:$A,Inputs!D:D,,0)</f>
        <v>38083</v>
      </c>
      <c r="E42" s="61">
        <f>_xlfn.XLOOKUP($A42,Inputs!$A:$A,Inputs!E:E,,0)</f>
        <v>32626</v>
      </c>
      <c r="F42" s="61">
        <f>_xlfn.XLOOKUP($A42,Inputs!$A:$A,Inputs!F:F,,0)</f>
        <v>30714</v>
      </c>
      <c r="G42" s="61">
        <f>_xlfn.XLOOKUP($A42,Inputs!$A:$A,Inputs!G:G,,0)</f>
        <v>28341</v>
      </c>
      <c r="H42" s="61">
        <f>_xlfn.XLOOKUP($A42,Inputs!$A:$A,Inputs!H:H,,0)</f>
        <v>26167</v>
      </c>
      <c r="I42" s="61">
        <f>_xlfn.XLOOKUP($A42,Inputs!$A:$A,Inputs!I:I,,0)</f>
        <v>23664</v>
      </c>
      <c r="J42" s="61">
        <f>_xlfn.XLOOKUP($A42,Inputs!$A:$A,Inputs!J:J,,0)</f>
        <v>22675</v>
      </c>
      <c r="K42" s="61">
        <f>_xlfn.XLOOKUP($A42,Inputs!$A:$A,Inputs!K:K,,0)</f>
        <v>21022</v>
      </c>
      <c r="L42" s="61">
        <f>_xlfn.XLOOKUP($A42,Inputs!$A:$A,Inputs!L:L,,0)</f>
        <v>0</v>
      </c>
      <c r="M42" s="62">
        <f>_xlfn.XLOOKUP($A42,Inputs!$A:$A,Inputs!M:M,,0)</f>
        <v>0</v>
      </c>
      <c r="N42" s="51"/>
    </row>
    <row r="43" spans="1:14" ht="12.75">
      <c r="A43" s="69" t="s">
        <v>554</v>
      </c>
      <c r="B43" s="61">
        <f>_xlfn.XLOOKUP($A43,Inputs!$A:$A,Inputs!B:B,,0)</f>
        <v>2491</v>
      </c>
      <c r="C43" s="61">
        <f>_xlfn.XLOOKUP($A43,Inputs!$A:$A,Inputs!C:C,,0)</f>
        <v>2253</v>
      </c>
      <c r="D43" s="61">
        <f>_xlfn.XLOOKUP($A43,Inputs!$A:$A,Inputs!D:D,,0)</f>
        <v>1878</v>
      </c>
      <c r="E43" s="61">
        <f>_xlfn.XLOOKUP($A43,Inputs!$A:$A,Inputs!E:E,,0)</f>
        <v>1695</v>
      </c>
      <c r="F43" s="61">
        <f>_xlfn.XLOOKUP($A43,Inputs!$A:$A,Inputs!F:F,,0)</f>
        <v>865</v>
      </c>
      <c r="G43" s="61">
        <f>_xlfn.XLOOKUP($A43,Inputs!$A:$A,Inputs!G:G,,0)</f>
        <v>887</v>
      </c>
      <c r="H43" s="61">
        <f>_xlfn.XLOOKUP($A43,Inputs!$A:$A,Inputs!H:H,,0)</f>
        <v>968</v>
      </c>
      <c r="I43" s="61">
        <f>_xlfn.XLOOKUP($A43,Inputs!$A:$A,Inputs!I:I,,0)</f>
        <v>846</v>
      </c>
      <c r="J43" s="61">
        <f>_xlfn.XLOOKUP($A43,Inputs!$A:$A,Inputs!J:J,,0)</f>
        <v>1177</v>
      </c>
      <c r="K43" s="61">
        <f>_xlfn.XLOOKUP($A43,Inputs!$A:$A,Inputs!K:K,,0)</f>
        <v>1121</v>
      </c>
      <c r="L43" s="61">
        <f>_xlfn.XLOOKUP($A43,Inputs!$A:$A,Inputs!L:L,,0)</f>
        <v>0</v>
      </c>
      <c r="M43" s="62">
        <f>_xlfn.XLOOKUP($A43,Inputs!$A:$A,Inputs!M:M,,0)</f>
        <v>0</v>
      </c>
      <c r="N43" s="51"/>
    </row>
    <row r="44" spans="1:14" ht="12.75">
      <c r="A44" s="70" t="s">
        <v>40</v>
      </c>
      <c r="B44" s="71">
        <f>_xlfn.XLOOKUP($A44,Inputs!$A:$A,Inputs!B:B,,0)</f>
        <v>64166</v>
      </c>
      <c r="C44" s="71">
        <f>_xlfn.XLOOKUP($A44,Inputs!$A:$A,Inputs!C:C,,0)</f>
        <v>59268</v>
      </c>
      <c r="D44" s="71">
        <f>_xlfn.XLOOKUP($A44,Inputs!$A:$A,Inputs!D:D,,0)</f>
        <v>55556</v>
      </c>
      <c r="E44" s="71">
        <f>_xlfn.XLOOKUP($A44,Inputs!$A:$A,Inputs!E:E,,0)</f>
        <v>45400</v>
      </c>
      <c r="F44" s="71">
        <f>_xlfn.XLOOKUP($A44,Inputs!$A:$A,Inputs!F:F,,0)</f>
        <v>40830</v>
      </c>
      <c r="G44" s="71">
        <f>_xlfn.XLOOKUP($A44,Inputs!$A:$A,Inputs!G:G,,0)</f>
        <v>36347</v>
      </c>
      <c r="H44" s="71">
        <f>_xlfn.XLOOKUP($A44,Inputs!$A:$A,Inputs!H:H,,0)</f>
        <v>33163</v>
      </c>
      <c r="I44" s="71">
        <f>_xlfn.XLOOKUP($A44,Inputs!$A:$A,Inputs!I:I,,0)</f>
        <v>33017</v>
      </c>
      <c r="J44" s="71">
        <f>_xlfn.XLOOKUP($A44,Inputs!$A:$A,Inputs!J:J,,0)</f>
        <v>33024</v>
      </c>
      <c r="K44" s="71">
        <f>_xlfn.XLOOKUP($A44,Inputs!$A:$A,Inputs!K:K,,0)</f>
        <v>30283</v>
      </c>
      <c r="L44" s="71">
        <f>_xlfn.XLOOKUP($A44,Inputs!$A:$A,Inputs!L:L,,0)</f>
        <v>0</v>
      </c>
      <c r="M44" s="71">
        <f>_xlfn.XLOOKUP($A44,Inputs!$A:$A,Inputs!M:M,,0)</f>
        <v>0</v>
      </c>
      <c r="N44" s="51"/>
    </row>
    <row r="45" spans="1:14" ht="12.75">
      <c r="B45"/>
      <c r="C45"/>
      <c r="D45"/>
      <c r="E45"/>
      <c r="F45"/>
      <c r="G45"/>
      <c r="H45"/>
      <c r="I45"/>
      <c r="J45"/>
      <c r="K45"/>
      <c r="L45"/>
      <c r="M45"/>
      <c r="N45" s="51"/>
    </row>
    <row r="46" spans="1:14" ht="12.75">
      <c r="B46"/>
      <c r="C46"/>
      <c r="D46"/>
      <c r="E46"/>
      <c r="F46"/>
      <c r="G46"/>
      <c r="H46"/>
      <c r="I46"/>
      <c r="J46"/>
      <c r="K46"/>
      <c r="L46"/>
      <c r="M46"/>
      <c r="N46" s="51"/>
    </row>
    <row r="47" spans="1:14" ht="20.25">
      <c r="A47" s="1011" t="s">
        <v>555</v>
      </c>
      <c r="B47" s="1011"/>
      <c r="C47" s="1011"/>
      <c r="D47" s="1011"/>
      <c r="E47" s="1011"/>
      <c r="F47" s="1011"/>
      <c r="G47" s="1011"/>
      <c r="H47" s="1011"/>
      <c r="I47" s="1011"/>
      <c r="J47" s="1011"/>
      <c r="K47" s="1011"/>
      <c r="L47" s="1011"/>
      <c r="M47" s="1011"/>
      <c r="N47" s="51"/>
    </row>
    <row r="48" spans="1:14" ht="12.75">
      <c r="A48" s="73" t="s">
        <v>288</v>
      </c>
      <c r="B48" s="71">
        <f>_xlfn.XLOOKUP($A48,Inputs!$A:$A,Inputs!B:B,,0)</f>
        <v>31998</v>
      </c>
      <c r="C48" s="71">
        <f>_xlfn.XLOOKUP($A48,Inputs!$A:$A,Inputs!C:C,,0)</f>
        <v>29441</v>
      </c>
      <c r="D48" s="71">
        <f>_xlfn.XLOOKUP($A48,Inputs!$A:$A,Inputs!D:D,,0)</f>
        <v>24844</v>
      </c>
      <c r="E48" s="71">
        <f>_xlfn.XLOOKUP($A48,Inputs!$A:$A,Inputs!E:E,,0)</f>
        <v>23237</v>
      </c>
      <c r="F48" s="71">
        <f>_xlfn.XLOOKUP($A48,Inputs!$A:$A,Inputs!F:F,,0)</f>
        <v>19926</v>
      </c>
      <c r="G48" s="71">
        <f>_xlfn.XLOOKUP($A48,Inputs!$A:$A,Inputs!G:G,,0)</f>
        <v>17495</v>
      </c>
      <c r="H48" s="71">
        <f>_xlfn.XLOOKUP($A48,Inputs!$A:$A,Inputs!H:H,,0)</f>
        <v>15575</v>
      </c>
      <c r="I48" s="71">
        <f>_xlfn.XLOOKUP($A48,Inputs!$A:$A,Inputs!I:I,,0)</f>
        <v>16539</v>
      </c>
      <c r="J48" s="71">
        <f>_xlfn.XLOOKUP($A48,Inputs!$A:$A,Inputs!J:J,,0)</f>
        <v>14412</v>
      </c>
      <c r="K48" s="71">
        <f>_xlfn.XLOOKUP($A48,Inputs!$A:$A,Inputs!K:K,,0)</f>
        <v>13257</v>
      </c>
      <c r="L48" s="71">
        <f>_xlfn.XLOOKUP($A48,Inputs!$A:$A,Inputs!L:L,,0)</f>
        <v>0</v>
      </c>
      <c r="M48" s="71">
        <f>_xlfn.XLOOKUP($A48,Inputs!$A:$A,Inputs!M:M,,0)</f>
        <v>0</v>
      </c>
      <c r="N48" s="51"/>
    </row>
    <row r="49" spans="1:14" ht="12.75">
      <c r="A49" s="74" t="s">
        <v>556</v>
      </c>
      <c r="B49" s="61">
        <f>_xlfn.XLOOKUP($A49,Inputs!$A:$A,Inputs!B:B,,0)</f>
        <v>73</v>
      </c>
      <c r="C49" s="61">
        <f>_xlfn.XLOOKUP($A49,Inputs!$A:$A,Inputs!C:C,,0)</f>
        <v>799</v>
      </c>
      <c r="D49" s="61">
        <f>_xlfn.XLOOKUP($A49,Inputs!$A:$A,Inputs!D:D,,0)</f>
        <v>95</v>
      </c>
      <c r="E49" s="61">
        <f>_xlfn.XLOOKUP($A49,Inputs!$A:$A,Inputs!E:E,,0)</f>
        <v>1699</v>
      </c>
      <c r="F49" s="61">
        <f>_xlfn.XLOOKUP($A49,Inputs!$A:$A,Inputs!F:F,,0)</f>
        <v>90</v>
      </c>
      <c r="G49" s="61">
        <f>_xlfn.XLOOKUP($A49,Inputs!$A:$A,Inputs!G:G,,0)</f>
        <v>86</v>
      </c>
      <c r="H49" s="61">
        <f>_xlfn.XLOOKUP($A49,Inputs!$A:$A,Inputs!H:H,,0)</f>
        <v>1100</v>
      </c>
      <c r="I49" s="61">
        <f>_xlfn.XLOOKUP($A49,Inputs!$A:$A,Inputs!I:I,,0)</f>
        <v>1283</v>
      </c>
      <c r="J49" s="61">
        <f>_xlfn.XLOOKUP($A49,Inputs!$A:$A,Inputs!J:J,,0)</f>
        <v>0</v>
      </c>
      <c r="K49" s="61">
        <f>_xlfn.XLOOKUP($A49,Inputs!$A:$A,Inputs!K:K,,0)</f>
        <v>0</v>
      </c>
      <c r="L49" s="61">
        <f>_xlfn.XLOOKUP($A49,Inputs!$A:$A,Inputs!L:L,,0)</f>
        <v>0</v>
      </c>
      <c r="M49" s="61">
        <f>_xlfn.XLOOKUP($A49,Inputs!$A:$A,Inputs!M:M,,0)</f>
        <v>0</v>
      </c>
      <c r="N49" s="51"/>
    </row>
    <row r="50" spans="1:14" ht="12.75">
      <c r="A50" s="60" t="s">
        <v>557</v>
      </c>
      <c r="B50" s="61">
        <f>_xlfn.XLOOKUP($A50,Inputs!$A:$A,Inputs!B:B,,0)</f>
        <v>484</v>
      </c>
      <c r="C50" s="61">
        <f>_xlfn.XLOOKUP($A50,Inputs!$A:$A,Inputs!C:C,,0)</f>
        <v>294</v>
      </c>
      <c r="D50" s="61">
        <f>_xlfn.XLOOKUP($A50,Inputs!$A:$A,Inputs!D:D,,0)</f>
        <v>262</v>
      </c>
      <c r="E50" s="61">
        <f>_xlfn.XLOOKUP($A50,Inputs!$A:$A,Inputs!E:E,,0)</f>
        <v>51</v>
      </c>
      <c r="F50" s="61" t="str">
        <f>_xlfn.XLOOKUP($A50,Inputs!$A:$A,Inputs!F:F,,0)</f>
        <v>-</v>
      </c>
      <c r="G50" s="61" t="str">
        <f>_xlfn.XLOOKUP($A50,Inputs!$A:$A,Inputs!G:G,,0)</f>
        <v>-</v>
      </c>
      <c r="H50" s="61" t="str">
        <f>_xlfn.XLOOKUP($A50,Inputs!$A:$A,Inputs!H:H,,0)</f>
        <v>-</v>
      </c>
      <c r="I50" s="61" t="str">
        <f>_xlfn.XLOOKUP($A50,Inputs!$A:$A,Inputs!I:I,,0)</f>
        <v>-</v>
      </c>
      <c r="J50" s="61" t="str">
        <f>_xlfn.XLOOKUP($A50,Inputs!$A:$A,Inputs!J:J,,0)</f>
        <v>-</v>
      </c>
      <c r="K50" s="61" t="str">
        <f>_xlfn.XLOOKUP($A50,Inputs!$A:$A,Inputs!K:K,,0)</f>
        <v>-</v>
      </c>
      <c r="L50" s="61">
        <f>_xlfn.XLOOKUP($A50,Inputs!$A:$A,Inputs!L:L,,0)</f>
        <v>0</v>
      </c>
      <c r="M50" s="61">
        <f>_xlfn.XLOOKUP($A50,Inputs!$A:$A,Inputs!M:M,,0)</f>
        <v>0</v>
      </c>
      <c r="N50" s="51"/>
    </row>
    <row r="51" spans="1:14" ht="12.75">
      <c r="A51" s="63" t="s">
        <v>558</v>
      </c>
      <c r="B51" s="61">
        <f>_xlfn.XLOOKUP($A51,Inputs!$A:$A,Inputs!B:B,,0)</f>
        <v>13593</v>
      </c>
      <c r="C51" s="61">
        <f>_xlfn.XLOOKUP($A51,Inputs!$A:$A,Inputs!C:C,,0)</f>
        <v>12070</v>
      </c>
      <c r="D51" s="61">
        <f>_xlfn.XLOOKUP($A51,Inputs!$A:$A,Inputs!D:D,,0)</f>
        <v>10315</v>
      </c>
      <c r="E51" s="61">
        <f>_xlfn.XLOOKUP($A51,Inputs!$A:$A,Inputs!E:E,,0)</f>
        <v>9808</v>
      </c>
      <c r="F51" s="61">
        <f>_xlfn.XLOOKUP($A51,Inputs!$A:$A,Inputs!F:F,,0)</f>
        <v>8599</v>
      </c>
      <c r="G51" s="61">
        <f>_xlfn.XLOOKUP($A51,Inputs!$A:$A,Inputs!G:G,,0)</f>
        <v>7801</v>
      </c>
      <c r="H51" s="61">
        <f>_xlfn.XLOOKUP($A51,Inputs!$A:$A,Inputs!H:H,,0)</f>
        <v>6863</v>
      </c>
      <c r="I51" s="61">
        <f>_xlfn.XLOOKUP($A51,Inputs!$A:$A,Inputs!I:I,,0)</f>
        <v>6245</v>
      </c>
      <c r="J51" s="61">
        <f>_xlfn.XLOOKUP($A51,Inputs!$A:$A,Inputs!J:J,,0)</f>
        <v>5921</v>
      </c>
      <c r="K51" s="61">
        <f>_xlfn.XLOOKUP($A51,Inputs!$A:$A,Inputs!K:K,,0)</f>
        <v>5385</v>
      </c>
      <c r="L51" s="61">
        <f>_xlfn.XLOOKUP($A51,Inputs!$A:$A,Inputs!L:L,,0)</f>
        <v>0</v>
      </c>
      <c r="M51" s="61">
        <f>_xlfn.XLOOKUP($A51,Inputs!$A:$A,Inputs!M:M,,0)</f>
        <v>0</v>
      </c>
      <c r="N51" s="51"/>
    </row>
    <row r="52" spans="1:14" ht="12.75">
      <c r="A52" s="73" t="s">
        <v>559</v>
      </c>
      <c r="B52" s="71">
        <f>_xlfn.XLOOKUP($A52,Inputs!$A:$A,Inputs!B:B,,0)</f>
        <v>11521</v>
      </c>
      <c r="C52" s="71">
        <f>_xlfn.XLOOKUP($A52,Inputs!$A:$A,Inputs!C:C,,0)</f>
        <v>11749</v>
      </c>
      <c r="D52" s="71">
        <f>_xlfn.XLOOKUP($A52,Inputs!$A:$A,Inputs!D:D,,0)</f>
        <v>12007</v>
      </c>
      <c r="E52" s="71">
        <f>_xlfn.XLOOKUP($A52,Inputs!$A:$A,Inputs!E:E,,0)</f>
        <v>6579</v>
      </c>
      <c r="F52" s="71">
        <f>_xlfn.XLOOKUP($A52,Inputs!$A:$A,Inputs!F:F,,0)</f>
        <v>7801</v>
      </c>
      <c r="G52" s="71">
        <f>_xlfn.XLOOKUP($A52,Inputs!$A:$A,Inputs!G:G,,0)</f>
        <v>7773</v>
      </c>
      <c r="H52" s="71">
        <f>_xlfn.XLOOKUP($A52,Inputs!$A:$A,Inputs!H:H,,0)</f>
        <v>5256</v>
      </c>
      <c r="I52" s="71">
        <f>_xlfn.XLOOKUP($A52,Inputs!$A:$A,Inputs!I:I,,0)</f>
        <v>5635</v>
      </c>
      <c r="J52" s="71">
        <f>_xlfn.XLOOKUP($A52,Inputs!$A:$A,Inputs!J:J,,0)</f>
        <v>6097</v>
      </c>
      <c r="K52" s="71">
        <f>_xlfn.XLOOKUP($A52,Inputs!$A:$A,Inputs!K:K,,0)</f>
        <v>6014</v>
      </c>
      <c r="L52" s="71">
        <f>_xlfn.XLOOKUP($A52,Inputs!$A:$A,Inputs!L:L,,0)</f>
        <v>0</v>
      </c>
      <c r="M52" s="71">
        <f>_xlfn.XLOOKUP($A52,Inputs!$A:$A,Inputs!M:M,,0)</f>
        <v>0</v>
      </c>
      <c r="N52" s="51"/>
    </row>
    <row r="53" spans="1:14" ht="12.75">
      <c r="A53" s="74" t="s">
        <v>560</v>
      </c>
      <c r="B53" s="61">
        <f>_xlfn.XLOOKUP($A53,Inputs!$A:$A,Inputs!B:B,,0)</f>
        <v>6484</v>
      </c>
      <c r="C53" s="61">
        <f>_xlfn.XLOOKUP($A53,Inputs!$A:$A,Inputs!C:C,,0)</f>
        <v>6692</v>
      </c>
      <c r="D53" s="61">
        <f>_xlfn.XLOOKUP($A53,Inputs!$A:$A,Inputs!D:D,,0)</f>
        <v>7514</v>
      </c>
      <c r="E53" s="61">
        <f>_xlfn.XLOOKUP($A53,Inputs!$A:$A,Inputs!E:E,,0)</f>
        <v>5124</v>
      </c>
      <c r="F53" s="61">
        <f>_xlfn.XLOOKUP($A53,Inputs!$A:$A,Inputs!F:F,,0)</f>
        <v>6487</v>
      </c>
      <c r="G53" s="61">
        <f>_xlfn.XLOOKUP($A53,Inputs!$A:$A,Inputs!G:G,,0)</f>
        <v>6573</v>
      </c>
      <c r="H53" s="61">
        <f>_xlfn.XLOOKUP($A53,Inputs!$A:$A,Inputs!H:H,,0)</f>
        <v>4061</v>
      </c>
      <c r="I53" s="61">
        <f>_xlfn.XLOOKUP($A53,Inputs!$A:$A,Inputs!I:I,,0)</f>
        <v>4852</v>
      </c>
      <c r="J53" s="61">
        <f>_xlfn.XLOOKUP($A53,Inputs!$A:$A,Inputs!J:J,,0)</f>
        <v>5093</v>
      </c>
      <c r="K53" s="61">
        <f>_xlfn.XLOOKUP($A53,Inputs!$A:$A,Inputs!K:K,,0)</f>
        <v>4998</v>
      </c>
      <c r="L53" s="61">
        <f>_xlfn.XLOOKUP($A53,Inputs!$A:$A,Inputs!L:L,,0)</f>
        <v>0</v>
      </c>
      <c r="M53" s="61">
        <f>_xlfn.XLOOKUP($A53,Inputs!$A:$A,Inputs!M:M,,0)</f>
        <v>0</v>
      </c>
      <c r="N53" s="51"/>
    </row>
    <row r="54" spans="1:14" ht="12.75">
      <c r="A54" s="60" t="s">
        <v>561</v>
      </c>
      <c r="B54" s="61">
        <f>_xlfn.XLOOKUP($A54,Inputs!$A:$A,Inputs!B:B,,0)</f>
        <v>3865</v>
      </c>
      <c r="C54" s="61">
        <f>_xlfn.XLOOKUP($A54,Inputs!$A:$A,Inputs!C:C,,0)</f>
        <v>3622</v>
      </c>
      <c r="D54" s="61">
        <f>_xlfn.XLOOKUP($A54,Inputs!$A:$A,Inputs!D:D,,0)</f>
        <v>3215</v>
      </c>
      <c r="E54" s="61">
        <f>_xlfn.XLOOKUP($A54,Inputs!$A:$A,Inputs!E:E,,0)</f>
        <v>370</v>
      </c>
      <c r="F54" s="61" t="str">
        <f>_xlfn.XLOOKUP($A54,Inputs!$A:$A,Inputs!F:F,,0)</f>
        <v>-</v>
      </c>
      <c r="G54" s="61" t="str">
        <f>_xlfn.XLOOKUP($A54,Inputs!$A:$A,Inputs!G:G,,0)</f>
        <v>-</v>
      </c>
      <c r="H54" s="61" t="str">
        <f>_xlfn.XLOOKUP($A54,Inputs!$A:$A,Inputs!H:H,,0)</f>
        <v>-</v>
      </c>
      <c r="I54" s="61" t="str">
        <f>_xlfn.XLOOKUP($A54,Inputs!$A:$A,Inputs!I:I,,0)</f>
        <v>-</v>
      </c>
      <c r="J54" s="61" t="str">
        <f>_xlfn.XLOOKUP($A54,Inputs!$A:$A,Inputs!J:J,,0)</f>
        <v>-</v>
      </c>
      <c r="K54" s="61" t="str">
        <f>_xlfn.XLOOKUP($A54,Inputs!$A:$A,Inputs!K:K,,0)</f>
        <v>-</v>
      </c>
      <c r="L54" s="61">
        <f>_xlfn.XLOOKUP($A54,Inputs!$A:$A,Inputs!L:L,,0)</f>
        <v>0</v>
      </c>
      <c r="M54" s="61">
        <f>_xlfn.XLOOKUP($A54,Inputs!$A:$A,Inputs!M:M,,0)</f>
        <v>0</v>
      </c>
      <c r="N54" s="51"/>
    </row>
    <row r="55" spans="1:14" ht="12.75">
      <c r="A55" s="63" t="s">
        <v>562</v>
      </c>
      <c r="B55" s="61">
        <f>_xlfn.XLOOKUP($A55,Inputs!$A:$A,Inputs!B:B,,0)</f>
        <v>1172</v>
      </c>
      <c r="C55" s="61">
        <f>_xlfn.XLOOKUP($A55,Inputs!$A:$A,Inputs!C:C,,0)</f>
        <v>1435</v>
      </c>
      <c r="D55" s="61">
        <f>_xlfn.XLOOKUP($A55,Inputs!$A:$A,Inputs!D:D,,0)</f>
        <v>1278</v>
      </c>
      <c r="E55" s="61">
        <f>_xlfn.XLOOKUP($A55,Inputs!$A:$A,Inputs!E:E,,0)</f>
        <v>1085</v>
      </c>
      <c r="F55" s="61">
        <f>_xlfn.XLOOKUP($A55,Inputs!$A:$A,Inputs!F:F,,0)</f>
        <v>1314</v>
      </c>
      <c r="G55" s="61">
        <f>_xlfn.XLOOKUP($A55,Inputs!$A:$A,Inputs!G:G,,0)</f>
        <v>1200</v>
      </c>
      <c r="H55" s="61">
        <f>_xlfn.XLOOKUP($A55,Inputs!$A:$A,Inputs!H:H,,0)</f>
        <v>1195</v>
      </c>
      <c r="I55" s="61">
        <f>_xlfn.XLOOKUP($A55,Inputs!$A:$A,Inputs!I:I,,0)</f>
        <v>783</v>
      </c>
      <c r="J55" s="61">
        <f>_xlfn.XLOOKUP($A55,Inputs!$A:$A,Inputs!J:J,,0)</f>
        <v>1004</v>
      </c>
      <c r="K55" s="61">
        <f>_xlfn.XLOOKUP($A55,Inputs!$A:$A,Inputs!K:K,,0)</f>
        <v>1016</v>
      </c>
      <c r="L55" s="61">
        <f>_xlfn.XLOOKUP($A55,Inputs!$A:$A,Inputs!L:L,,0)</f>
        <v>0</v>
      </c>
      <c r="M55" s="61">
        <f>_xlfn.XLOOKUP($A55,Inputs!$A:$A,Inputs!M:M,,0)</f>
        <v>0</v>
      </c>
      <c r="N55" s="51"/>
    </row>
    <row r="56" spans="1:14" ht="12.75">
      <c r="A56" s="73" t="s">
        <v>46</v>
      </c>
      <c r="B56" s="71">
        <f>_xlfn.XLOOKUP($A56,Inputs!$A:$A,Inputs!B:B,,0)</f>
        <v>43519</v>
      </c>
      <c r="C56" s="71">
        <f>_xlfn.XLOOKUP($A56,Inputs!$A:$A,Inputs!C:C,,0)</f>
        <v>41190</v>
      </c>
      <c r="D56" s="71">
        <f>_xlfn.XLOOKUP($A56,Inputs!$A:$A,Inputs!D:D,,0)</f>
        <v>36851</v>
      </c>
      <c r="E56" s="71">
        <f>_xlfn.XLOOKUP($A56,Inputs!$A:$A,Inputs!E:E,,0)</f>
        <v>29816</v>
      </c>
      <c r="F56" s="71">
        <f>_xlfn.XLOOKUP($A56,Inputs!$A:$A,Inputs!F:F,,0)</f>
        <v>27727</v>
      </c>
      <c r="G56" s="71">
        <f>_xlfn.XLOOKUP($A56,Inputs!$A:$A,Inputs!G:G,,0)</f>
        <v>25268</v>
      </c>
      <c r="H56" s="71">
        <f>_xlfn.XLOOKUP($A56,Inputs!$A:$A,Inputs!H:H,,0)</f>
        <v>20831</v>
      </c>
      <c r="I56" s="71">
        <f>_xlfn.XLOOKUP($A56,Inputs!$A:$A,Inputs!I:I,,0)</f>
        <v>22174</v>
      </c>
      <c r="J56" s="71">
        <f>_xlfn.XLOOKUP($A56,Inputs!$A:$A,Inputs!J:J,,0)</f>
        <v>20509</v>
      </c>
      <c r="K56" s="71">
        <f>_xlfn.XLOOKUP($A56,Inputs!$A:$A,Inputs!K:K,,0)</f>
        <v>19271</v>
      </c>
      <c r="L56" s="71">
        <f>_xlfn.XLOOKUP($A56,Inputs!$A:$A,Inputs!L:L,,0)</f>
        <v>0</v>
      </c>
      <c r="M56" s="71">
        <f>_xlfn.XLOOKUP($A56,Inputs!$A:$A,Inputs!M:M,,0)</f>
        <v>0</v>
      </c>
      <c r="N56" s="51"/>
    </row>
    <row r="57" spans="1:14" ht="12.75">
      <c r="B57"/>
      <c r="C57"/>
      <c r="D57"/>
      <c r="E57"/>
      <c r="F57"/>
      <c r="G57"/>
      <c r="H57"/>
      <c r="I57"/>
      <c r="J57"/>
      <c r="K57"/>
      <c r="L57"/>
      <c r="M57"/>
      <c r="N57" s="51"/>
    </row>
    <row r="58" spans="1:14" ht="12.75">
      <c r="A58" s="73" t="s">
        <v>581</v>
      </c>
      <c r="B58" s="71">
        <f t="shared" ref="B58:M58" si="20">B49+B53</f>
        <v>6557</v>
      </c>
      <c r="C58" s="71">
        <f t="shared" si="20"/>
        <v>7491</v>
      </c>
      <c r="D58" s="71">
        <f t="shared" si="20"/>
        <v>7609</v>
      </c>
      <c r="E58" s="71">
        <f t="shared" si="20"/>
        <v>6823</v>
      </c>
      <c r="F58" s="71">
        <f t="shared" si="20"/>
        <v>6577</v>
      </c>
      <c r="G58" s="71">
        <f t="shared" si="20"/>
        <v>6659</v>
      </c>
      <c r="H58" s="71">
        <f t="shared" si="20"/>
        <v>5161</v>
      </c>
      <c r="I58" s="71">
        <f t="shared" si="20"/>
        <v>6135</v>
      </c>
      <c r="J58" s="71">
        <f t="shared" si="20"/>
        <v>5093</v>
      </c>
      <c r="K58" s="71">
        <f t="shared" si="20"/>
        <v>4998</v>
      </c>
      <c r="L58" s="71">
        <f t="shared" si="20"/>
        <v>0</v>
      </c>
      <c r="M58" s="72">
        <f t="shared" si="20"/>
        <v>0</v>
      </c>
      <c r="N58" s="51"/>
    </row>
    <row r="59" spans="1:14" ht="12.75">
      <c r="A59" s="74" t="s">
        <v>69</v>
      </c>
      <c r="B59" s="64">
        <f>IFERROR(B58/B44,"-")</f>
        <v>0.10218807468129538</v>
      </c>
      <c r="C59" s="64">
        <f t="shared" ref="C59:M59" si="21">IFERROR(C58/C44,"-")</f>
        <v>0.12639198218262807</v>
      </c>
      <c r="D59" s="64">
        <f t="shared" si="21"/>
        <v>0.1369609043127655</v>
      </c>
      <c r="E59" s="64">
        <f t="shared" si="21"/>
        <v>0.15028634361233481</v>
      </c>
      <c r="F59" s="64">
        <f t="shared" si="21"/>
        <v>0.16108253734998776</v>
      </c>
      <c r="G59" s="64">
        <f t="shared" si="21"/>
        <v>0.18320631688997716</v>
      </c>
      <c r="H59" s="64">
        <f t="shared" si="21"/>
        <v>0.15562524500196001</v>
      </c>
      <c r="I59" s="64">
        <f t="shared" si="21"/>
        <v>0.18581336887058181</v>
      </c>
      <c r="J59" s="64">
        <f t="shared" si="21"/>
        <v>0.15422117248062014</v>
      </c>
      <c r="K59" s="64">
        <f t="shared" si="21"/>
        <v>0.16504309348479346</v>
      </c>
      <c r="L59" s="64" t="str">
        <f t="shared" si="21"/>
        <v>-</v>
      </c>
      <c r="M59" s="64" t="str">
        <f t="shared" si="21"/>
        <v>-</v>
      </c>
      <c r="N59" s="51"/>
    </row>
    <row r="60" spans="1:14" ht="12.75">
      <c r="B60"/>
      <c r="C60"/>
      <c r="D60"/>
      <c r="E60"/>
      <c r="F60"/>
      <c r="G60"/>
      <c r="H60"/>
      <c r="I60"/>
      <c r="J60"/>
      <c r="K60"/>
      <c r="L60"/>
      <c r="M60"/>
      <c r="N60" s="51"/>
    </row>
    <row r="61" spans="1:14" s="52" customFormat="1" ht="12.75">
      <c r="A61" s="73" t="s">
        <v>564</v>
      </c>
      <c r="B61" s="71">
        <f>_xlfn.XLOOKUP($A61,Inputs!$A:$A,Inputs!B:B,,0)</f>
        <v>5</v>
      </c>
      <c r="C61" s="71">
        <f>_xlfn.XLOOKUP($A61,Inputs!$A:$A,Inputs!C:C,,0)</f>
        <v>514</v>
      </c>
      <c r="D61" s="71">
        <f>_xlfn.XLOOKUP($A61,Inputs!$A:$A,Inputs!D:D,,0)</f>
        <v>421</v>
      </c>
      <c r="E61" s="71">
        <f>_xlfn.XLOOKUP($A61,Inputs!$A:$A,Inputs!E:E,,0)</f>
        <v>341</v>
      </c>
      <c r="F61" s="71">
        <f>_xlfn.XLOOKUP($A61,Inputs!$A:$A,Inputs!F:F,,0)</f>
        <v>304</v>
      </c>
      <c r="G61" s="71">
        <f>_xlfn.XLOOKUP($A61,Inputs!$A:$A,Inputs!G:G,,0)</f>
        <v>301</v>
      </c>
      <c r="H61" s="71">
        <f>_xlfn.XLOOKUP($A61,Inputs!$A:$A,Inputs!H:H,,0)</f>
        <v>253</v>
      </c>
      <c r="I61" s="71">
        <f>_xlfn.XLOOKUP($A61,Inputs!$A:$A,Inputs!I:I,,0)</f>
        <v>226</v>
      </c>
      <c r="J61" s="71">
        <f>_xlfn.XLOOKUP($A61,Inputs!$A:$A,Inputs!J:J,,0)</f>
        <v>212</v>
      </c>
      <c r="K61" s="71">
        <f>_xlfn.XLOOKUP($A61,Inputs!$A:$A,Inputs!K:K,,0)</f>
        <v>179</v>
      </c>
      <c r="L61" s="71">
        <f>_xlfn.XLOOKUP($A61,Inputs!$A:$A,Inputs!L:L,,0)</f>
        <v>0</v>
      </c>
      <c r="M61" s="71">
        <f>_xlfn.XLOOKUP($A61,Inputs!$A:$A,Inputs!M:M,,0)</f>
        <v>0</v>
      </c>
      <c r="N61" s="53"/>
    </row>
    <row r="62" spans="1:14" ht="12.75">
      <c r="B62"/>
      <c r="C62"/>
      <c r="D62"/>
      <c r="E62"/>
      <c r="F62"/>
      <c r="G62"/>
      <c r="H62"/>
      <c r="I62"/>
      <c r="J62"/>
      <c r="K62"/>
      <c r="L62"/>
      <c r="M62"/>
      <c r="N62" s="51"/>
    </row>
    <row r="63" spans="1:14" ht="12.75">
      <c r="A63" s="73" t="s">
        <v>565</v>
      </c>
      <c r="B63" s="71">
        <f>_xlfn.XLOOKUP($A63,Inputs!$A:$A,Inputs!B:B,,0)</f>
        <v>20642</v>
      </c>
      <c r="C63" s="71">
        <f>_xlfn.XLOOKUP($A63,Inputs!$A:$A,Inputs!C:C,,0)</f>
        <v>17564</v>
      </c>
      <c r="D63" s="71">
        <f>_xlfn.XLOOKUP($A63,Inputs!$A:$A,Inputs!D:D,,0)</f>
        <v>18284</v>
      </c>
      <c r="E63" s="71">
        <f>_xlfn.XLOOKUP($A63,Inputs!$A:$A,Inputs!E:E,,0)</f>
        <v>15243</v>
      </c>
      <c r="F63" s="71">
        <f>_xlfn.XLOOKUP($A63,Inputs!$A:$A,Inputs!F:F,,0)</f>
        <v>12799</v>
      </c>
      <c r="G63" s="71">
        <f>_xlfn.XLOOKUP($A63,Inputs!$A:$A,Inputs!G:G,,0)</f>
        <v>10778</v>
      </c>
      <c r="H63" s="71">
        <f>_xlfn.XLOOKUP($A63,Inputs!$A:$A,Inputs!H:H,,0)</f>
        <v>12079</v>
      </c>
      <c r="I63" s="71">
        <f>_xlfn.XLOOKUP($A63,Inputs!$A:$A,Inputs!I:I,,0)</f>
        <v>10617</v>
      </c>
      <c r="J63" s="71">
        <f>_xlfn.XLOOKUP($A63,Inputs!$A:$A,Inputs!J:J,,0)</f>
        <v>12303</v>
      </c>
      <c r="K63" s="71">
        <f>_xlfn.XLOOKUP($A63,Inputs!$A:$A,Inputs!K:K,,0)</f>
        <v>10833</v>
      </c>
      <c r="L63" s="71">
        <f>_xlfn.XLOOKUP($A63,Inputs!$A:$A,Inputs!L:L,,0)</f>
        <v>0</v>
      </c>
      <c r="M63" s="71">
        <f>_xlfn.XLOOKUP($A63,Inputs!$A:$A,Inputs!M:M,,0)</f>
        <v>0</v>
      </c>
      <c r="N63" s="51"/>
    </row>
    <row r="64" spans="1:14" ht="12" customHeight="1">
      <c r="K64" s="47"/>
      <c r="L64" s="47"/>
      <c r="M64" s="47"/>
      <c r="N64" s="51"/>
    </row>
    <row r="65" spans="1:236" ht="12" customHeight="1">
      <c r="K65" s="47"/>
      <c r="L65" s="47"/>
      <c r="M65" s="47"/>
      <c r="N65" s="51"/>
    </row>
    <row r="66" spans="1:236" ht="20.25">
      <c r="A66" s="1011" t="s">
        <v>567</v>
      </c>
      <c r="B66" s="1011"/>
      <c r="C66" s="1011"/>
      <c r="D66" s="1011"/>
      <c r="E66" s="1011"/>
      <c r="F66" s="1011"/>
      <c r="G66" s="1011"/>
      <c r="H66" s="1011"/>
      <c r="I66" s="1011"/>
      <c r="J66" s="1011"/>
      <c r="K66" s="1011"/>
      <c r="L66" s="1011"/>
      <c r="M66" s="1011"/>
    </row>
    <row r="67" spans="1:236" ht="12.75">
      <c r="A67" s="60" t="s">
        <v>568</v>
      </c>
      <c r="B67" s="61">
        <f>_xlfn.XLOOKUP($A67,Inputs!$A:$A,Inputs!B:B,,0)</f>
        <v>304000</v>
      </c>
      <c r="C67" s="61">
        <v>0</v>
      </c>
      <c r="D67" s="61">
        <f>_xlfn.XLOOKUP($A67,Inputs!$A:$A,Inputs!D:D,,0)</f>
        <v>0</v>
      </c>
      <c r="E67" s="61">
        <f>_xlfn.XLOOKUP($A67,Inputs!$A:$A,Inputs!E:E,,0)</f>
        <v>0</v>
      </c>
      <c r="F67" s="61">
        <f>_xlfn.XLOOKUP($A67,Inputs!$A:$A,Inputs!F:F,,0)</f>
        <v>0</v>
      </c>
      <c r="G67" s="61">
        <f>_xlfn.XLOOKUP($A67,Inputs!$A:$A,Inputs!G:G,,0)</f>
        <v>0</v>
      </c>
      <c r="H67" s="61">
        <f>_xlfn.XLOOKUP($A67,Inputs!$A:$A,Inputs!H:H,,0)</f>
        <v>0</v>
      </c>
      <c r="I67" s="61">
        <f>_xlfn.XLOOKUP($A67,Inputs!$A:$A,Inputs!I:I,,0)</f>
        <v>0</v>
      </c>
      <c r="J67" s="61">
        <f>_xlfn.XLOOKUP($A67,Inputs!$A:$A,Inputs!J:J,,0)</f>
        <v>0</v>
      </c>
      <c r="K67" s="61">
        <f>_xlfn.XLOOKUP($A67,Inputs!$A:$A,Inputs!K:K,,0)</f>
        <v>0</v>
      </c>
      <c r="L67" s="61">
        <f>_xlfn.XLOOKUP($A67,Inputs!$A:$A,Inputs!L:L,,0)</f>
        <v>0</v>
      </c>
      <c r="M67" s="61">
        <f>_xlfn.XLOOKUP($A67,Inputs!$A:$A,Inputs!M:M,,0)</f>
        <v>0</v>
      </c>
    </row>
    <row r="68" spans="1:236" ht="12.75">
      <c r="A68" s="74" t="s">
        <v>569</v>
      </c>
      <c r="B68" s="61" t="e">
        <f>_xlfn.XLOOKUP($A68,Inputs!$A:$A,Inputs!B:B,,0)</f>
        <v>#N/A</v>
      </c>
      <c r="C68" s="61" t="e">
        <f>_xlfn.XLOOKUP($A68,Inputs!$A:$A,Inputs!C:C,,0)</f>
        <v>#N/A</v>
      </c>
      <c r="D68" s="61" t="e">
        <f>_xlfn.XLOOKUP($A68,Inputs!$A:$A,Inputs!D:D,,0)</f>
        <v>#N/A</v>
      </c>
      <c r="E68" s="61" t="e">
        <f>_xlfn.XLOOKUP($A68,Inputs!$A:$A,Inputs!E:E,,0)</f>
        <v>#N/A</v>
      </c>
      <c r="F68" s="61" t="e">
        <f>_xlfn.XLOOKUP($A68,Inputs!$A:$A,Inputs!F:F,,0)</f>
        <v>#N/A</v>
      </c>
      <c r="G68" s="61" t="e">
        <f>_xlfn.XLOOKUP($A68,Inputs!$A:$A,Inputs!G:G,,0)</f>
        <v>#N/A</v>
      </c>
      <c r="H68" s="61" t="e">
        <f>_xlfn.XLOOKUP($A68,Inputs!$A:$A,Inputs!H:H,,0)</f>
        <v>#N/A</v>
      </c>
      <c r="I68" s="61" t="e">
        <f>_xlfn.XLOOKUP($A68,Inputs!$A:$A,Inputs!I:I,,0)</f>
        <v>#N/A</v>
      </c>
      <c r="J68" s="61" t="e">
        <f>_xlfn.XLOOKUP($A68,Inputs!$A:$A,Inputs!J:J,,0)</f>
        <v>#N/A</v>
      </c>
      <c r="K68" s="61" t="e">
        <f>_xlfn.XLOOKUP($A68,Inputs!$A:$A,Inputs!K:K,,0)</f>
        <v>#N/A</v>
      </c>
      <c r="L68" s="61" t="e">
        <f>_xlfn.XLOOKUP($A68,Inputs!$A:$A,Inputs!L:L,,0)</f>
        <v>#N/A</v>
      </c>
      <c r="M68" s="61" t="e">
        <f>_xlfn.XLOOKUP($A68,Inputs!$A:$A,Inputs!M:M,,0)</f>
        <v>#N/A</v>
      </c>
    </row>
    <row r="69" spans="1:236" ht="12.75">
      <c r="A69" s="60" t="s">
        <v>44</v>
      </c>
      <c r="B69" s="61">
        <f>_xlfn.XLOOKUP($A69,Inputs!$A:$A,Inputs!B:B,,0)</f>
        <v>0.99738237617059688</v>
      </c>
      <c r="C69" s="61" t="str">
        <f>_xlfn.XLOOKUP($A69,Inputs!$A:$A,Inputs!C:C,,0)</f>
        <v>Yahoo finance</v>
      </c>
      <c r="D69" s="61">
        <f>_xlfn.XLOOKUP($A69,Inputs!$A:$A,Inputs!D:D,,0)</f>
        <v>0</v>
      </c>
      <c r="E69" s="61">
        <f>_xlfn.XLOOKUP($A69,Inputs!$A:$A,Inputs!E:E,,0)</f>
        <v>0</v>
      </c>
      <c r="F69" s="61">
        <f>_xlfn.XLOOKUP($A69,Inputs!$A:$A,Inputs!F:F,,0)</f>
        <v>0</v>
      </c>
      <c r="G69" s="61">
        <f>_xlfn.XLOOKUP($A69,Inputs!$A:$A,Inputs!G:G,,0)</f>
        <v>0</v>
      </c>
      <c r="H69" s="61">
        <f>_xlfn.XLOOKUP($A69,Inputs!$A:$A,Inputs!H:H,,0)</f>
        <v>0</v>
      </c>
      <c r="I69" s="61">
        <f>_xlfn.XLOOKUP($A69,Inputs!$A:$A,Inputs!I:I,,0)</f>
        <v>0</v>
      </c>
      <c r="J69" s="61">
        <f>_xlfn.XLOOKUP($A69,Inputs!$A:$A,Inputs!J:J,,0)</f>
        <v>0</v>
      </c>
      <c r="K69" s="61">
        <f>_xlfn.XLOOKUP($A69,Inputs!$A:$A,Inputs!K:K,,0)</f>
        <v>0</v>
      </c>
      <c r="L69" s="61">
        <f>_xlfn.XLOOKUP($A69,Inputs!$A:$A,Inputs!L:L,,0)</f>
        <v>0</v>
      </c>
      <c r="M69" s="61">
        <f>_xlfn.XLOOKUP($A69,Inputs!$A:$A,Inputs!M:M,,0)</f>
        <v>0</v>
      </c>
    </row>
    <row r="70" spans="1:236" ht="12.75">
      <c r="A70" s="74" t="s">
        <v>49</v>
      </c>
      <c r="B70" s="61">
        <f>_xlfn.XLOOKUP($A70,Inputs!$A:$A,Inputs!B:B,,0)</f>
        <v>2E-3</v>
      </c>
      <c r="C70" s="61" t="str">
        <f>_xlfn.XLOOKUP($A70,Inputs!$A:$A,Inputs!C:C,,0)</f>
        <v>Yahoo finance</v>
      </c>
      <c r="D70" s="61">
        <f>_xlfn.XLOOKUP($A70,Inputs!$A:$A,Inputs!D:D,,0)</f>
        <v>0</v>
      </c>
      <c r="E70" s="61">
        <f>_xlfn.XLOOKUP($A70,Inputs!$A:$A,Inputs!E:E,,0)</f>
        <v>0</v>
      </c>
      <c r="F70" s="61">
        <f>_xlfn.XLOOKUP($A70,Inputs!$A:$A,Inputs!F:F,,0)</f>
        <v>0</v>
      </c>
      <c r="G70" s="61">
        <f>_xlfn.XLOOKUP($A70,Inputs!$A:$A,Inputs!G:G,,0)</f>
        <v>0</v>
      </c>
      <c r="H70" s="61">
        <f>_xlfn.XLOOKUP($A70,Inputs!$A:$A,Inputs!H:H,,0)</f>
        <v>0</v>
      </c>
      <c r="I70" s="61">
        <f>_xlfn.XLOOKUP($A70,Inputs!$A:$A,Inputs!I:I,,0)</f>
        <v>0</v>
      </c>
      <c r="J70" s="61">
        <f>_xlfn.XLOOKUP($A70,Inputs!$A:$A,Inputs!J:J,,0)</f>
        <v>0</v>
      </c>
      <c r="K70" s="61">
        <f>_xlfn.XLOOKUP($A70,Inputs!$A:$A,Inputs!K:K,,0)</f>
        <v>0</v>
      </c>
      <c r="L70" s="61">
        <f>_xlfn.XLOOKUP($A70,Inputs!$A:$A,Inputs!L:L,,0)</f>
        <v>0</v>
      </c>
      <c r="M70" s="61">
        <f>_xlfn.XLOOKUP($A70,Inputs!$A:$A,Inputs!M:M,,0)</f>
        <v>0</v>
      </c>
    </row>
    <row r="71" spans="1:236" ht="12.75">
      <c r="A71" s="60" t="s">
        <v>570</v>
      </c>
      <c r="B71" s="61">
        <f>_xlfn.XLOOKUP($A71,Inputs!$A:$A,Inputs!B:B,,0)</f>
        <v>0.79</v>
      </c>
      <c r="C71" s="61" t="str">
        <f>_xlfn.XLOOKUP($A71,Inputs!$A:$A,Inputs!C:C,,0)</f>
        <v>10-K</v>
      </c>
      <c r="D71" s="61">
        <f>_xlfn.XLOOKUP($A71,Inputs!$A:$A,Inputs!D:D,,0)</f>
        <v>0</v>
      </c>
      <c r="E71" s="61">
        <f>_xlfn.XLOOKUP($A71,Inputs!$A:$A,Inputs!E:E,,0)</f>
        <v>0</v>
      </c>
      <c r="F71" s="61">
        <f>_xlfn.XLOOKUP($A71,Inputs!$A:$A,Inputs!F:F,,0)</f>
        <v>0</v>
      </c>
      <c r="G71" s="61">
        <f>_xlfn.XLOOKUP($A71,Inputs!$A:$A,Inputs!G:G,,0)</f>
        <v>0</v>
      </c>
      <c r="H71" s="61">
        <f>_xlfn.XLOOKUP($A71,Inputs!$A:$A,Inputs!H:H,,0)</f>
        <v>0</v>
      </c>
      <c r="I71" s="61">
        <f>_xlfn.XLOOKUP($A71,Inputs!$A:$A,Inputs!I:I,,0)</f>
        <v>0</v>
      </c>
      <c r="J71" s="61">
        <f>_xlfn.XLOOKUP($A71,Inputs!$A:$A,Inputs!J:J,,0)</f>
        <v>0</v>
      </c>
      <c r="K71" s="61">
        <f>_xlfn.XLOOKUP($A71,Inputs!$A:$A,Inputs!K:K,,0)</f>
        <v>0</v>
      </c>
      <c r="L71" s="61">
        <f>_xlfn.XLOOKUP($A71,Inputs!$A:$A,Inputs!L:L,,0)</f>
        <v>0</v>
      </c>
      <c r="M71" s="61">
        <f>_xlfn.XLOOKUP($A71,Inputs!$A:$A,Inputs!M:M,,0)</f>
        <v>0</v>
      </c>
    </row>
    <row r="72" spans="1:236" ht="12.75">
      <c r="A72" s="60" t="s">
        <v>571</v>
      </c>
      <c r="B72" s="61" t="e">
        <f>_xlfn.XLOOKUP($A72,Inputs!$A:$A,Inputs!B:B,,0)</f>
        <v>#N/A</v>
      </c>
      <c r="C72" s="61" t="e">
        <f>_xlfn.XLOOKUP($A72,Inputs!$A:$A,Inputs!C:C,,0)</f>
        <v>#N/A</v>
      </c>
      <c r="D72" s="61" t="e">
        <f>_xlfn.XLOOKUP($A72,Inputs!$A:$A,Inputs!D:D,,0)</f>
        <v>#N/A</v>
      </c>
      <c r="E72" s="61" t="e">
        <f>_xlfn.XLOOKUP($A72,Inputs!$A:$A,Inputs!E:E,,0)</f>
        <v>#N/A</v>
      </c>
      <c r="F72" s="61" t="e">
        <f>_xlfn.XLOOKUP($A72,Inputs!$A:$A,Inputs!F:F,,0)</f>
        <v>#N/A</v>
      </c>
      <c r="G72" s="61" t="e">
        <f>_xlfn.XLOOKUP($A72,Inputs!$A:$A,Inputs!G:G,,0)</f>
        <v>#N/A</v>
      </c>
      <c r="H72" s="61" t="e">
        <f>_xlfn.XLOOKUP($A72,Inputs!$A:$A,Inputs!H:H,,0)</f>
        <v>#N/A</v>
      </c>
      <c r="I72" s="61" t="e">
        <f>_xlfn.XLOOKUP($A72,Inputs!$A:$A,Inputs!I:I,,0)</f>
        <v>#N/A</v>
      </c>
      <c r="J72" s="61" t="e">
        <f>_xlfn.XLOOKUP($A72,Inputs!$A:$A,Inputs!J:J,,0)</f>
        <v>#N/A</v>
      </c>
      <c r="K72" s="61" t="e">
        <f>_xlfn.XLOOKUP($A72,Inputs!$A:$A,Inputs!K:K,,0)</f>
        <v>#N/A</v>
      </c>
      <c r="L72" s="61" t="e">
        <f>_xlfn.XLOOKUP($A72,Inputs!$A:$A,Inputs!L:L,,0)</f>
        <v>#N/A</v>
      </c>
      <c r="M72" s="61" t="e">
        <f>_xlfn.XLOOKUP($A72,Inputs!$A:$A,Inputs!M:M,,0)</f>
        <v>#N/A</v>
      </c>
    </row>
    <row r="73" spans="1:236" ht="12.75">
      <c r="A73" s="74" t="s">
        <v>572</v>
      </c>
      <c r="B73" s="61">
        <f>_xlfn.XLOOKUP($A73,Inputs!$A:$A,Inputs!B:B,,0)</f>
        <v>0</v>
      </c>
      <c r="C73" s="61" t="str">
        <f>_xlfn.XLOOKUP($A73,Inputs!$A:$A,Inputs!C:C,,0)</f>
        <v>Yahoo Finance</v>
      </c>
      <c r="D73" s="61">
        <f>_xlfn.XLOOKUP($A73,Inputs!$A:$A,Inputs!D:D,,0)</f>
        <v>0</v>
      </c>
      <c r="E73" s="61">
        <f>_xlfn.XLOOKUP($A73,Inputs!$A:$A,Inputs!E:E,,0)</f>
        <v>0</v>
      </c>
      <c r="F73" s="61">
        <f>_xlfn.XLOOKUP($A73,Inputs!$A:$A,Inputs!F:F,,0)</f>
        <v>0</v>
      </c>
      <c r="G73" s="61">
        <f>_xlfn.XLOOKUP($A73,Inputs!$A:$A,Inputs!G:G,,0)</f>
        <v>0</v>
      </c>
      <c r="H73" s="61">
        <f>_xlfn.XLOOKUP($A73,Inputs!$A:$A,Inputs!H:H,,0)</f>
        <v>0</v>
      </c>
      <c r="I73" s="61">
        <f>_xlfn.XLOOKUP($A73,Inputs!$A:$A,Inputs!I:I,,0)</f>
        <v>0</v>
      </c>
      <c r="J73" s="61">
        <f>_xlfn.XLOOKUP($A73,Inputs!$A:$A,Inputs!J:J,,0)</f>
        <v>0</v>
      </c>
      <c r="K73" s="61">
        <f>_xlfn.XLOOKUP($A73,Inputs!$A:$A,Inputs!K:K,,0)</f>
        <v>0</v>
      </c>
      <c r="L73" s="61">
        <f>_xlfn.XLOOKUP($A73,Inputs!$A:$A,Inputs!L:L,,0)</f>
        <v>0</v>
      </c>
      <c r="M73" s="61">
        <f>_xlfn.XLOOKUP($A73,Inputs!$A:$A,Inputs!M:M,,0)</f>
        <v>0</v>
      </c>
      <c r="IB73" s="47"/>
    </row>
    <row r="74" spans="1:236" ht="12" customHeight="1">
      <c r="B74" s="50"/>
      <c r="C74" s="50"/>
      <c r="D74" s="50"/>
      <c r="E74" s="50"/>
      <c r="F74" s="50"/>
      <c r="G74" s="50"/>
      <c r="H74" s="50"/>
      <c r="I74" s="50"/>
      <c r="J74" s="50"/>
      <c r="K74" s="50"/>
      <c r="L74" s="50"/>
      <c r="M74" s="50"/>
      <c r="IB74" s="47"/>
    </row>
    <row r="75" spans="1:236" ht="12" customHeight="1">
      <c r="B75" s="48">
        <v>2020</v>
      </c>
      <c r="C75" s="48">
        <v>2021</v>
      </c>
      <c r="D75" s="48">
        <v>2022</v>
      </c>
      <c r="G75" s="48"/>
      <c r="H75" s="50"/>
      <c r="I75" s="50"/>
      <c r="J75" s="50"/>
      <c r="K75" s="50"/>
      <c r="L75" s="50"/>
      <c r="M75" s="50"/>
      <c r="IB75" s="47"/>
    </row>
    <row r="76" spans="1:236" ht="12.75">
      <c r="A76" s="60" t="s">
        <v>573</v>
      </c>
      <c r="B76" s="67">
        <v>0</v>
      </c>
      <c r="C76" s="67">
        <v>0</v>
      </c>
      <c r="D76" s="68">
        <v>0</v>
      </c>
      <c r="G76" s="50"/>
      <c r="H76" s="50"/>
      <c r="I76" s="50"/>
      <c r="J76" s="50"/>
      <c r="K76" s="50"/>
      <c r="L76" s="50"/>
      <c r="M76" s="50"/>
      <c r="IB76" s="47"/>
    </row>
    <row r="77" spans="1:236" ht="12.75">
      <c r="A77" s="74" t="s">
        <v>71</v>
      </c>
      <c r="B77" s="67">
        <v>0</v>
      </c>
      <c r="C77" s="67">
        <v>0</v>
      </c>
      <c r="D77" s="68">
        <v>0</v>
      </c>
    </row>
    <row r="78" spans="1:236" ht="12" customHeight="1"/>
    <row r="79" spans="1:236">
      <c r="A79" s="49" t="s">
        <v>574</v>
      </c>
      <c r="B79" s="48" t="s">
        <v>575</v>
      </c>
      <c r="C79" s="48" t="s">
        <v>576</v>
      </c>
      <c r="D79" s="48" t="s">
        <v>577</v>
      </c>
      <c r="E79" s="48" t="s">
        <v>578</v>
      </c>
      <c r="G79" s="48"/>
    </row>
    <row r="80" spans="1:236" ht="12.75">
      <c r="B80" s="75" t="e">
        <f>VLOOKUP($A80,Inputs!$A$5:$M$98,MATCH(B$4,Inputs!$B$5:$M$5,0)+1,FALSE)</f>
        <v>#N/A</v>
      </c>
      <c r="C80" s="75" t="e">
        <f>VLOOKUP($A80,Inputs!$A$5:$M$98,MATCH(C$4,Inputs!$B$5:$M$5,0)+1,FALSE)</f>
        <v>#N/A</v>
      </c>
      <c r="D80" s="75" t="e">
        <f>VLOOKUP($A80,Inputs!$A$5:$M$98,MATCH(D$4,Inputs!$B$5:$M$5,0)+1,FALSE)</f>
        <v>#N/A</v>
      </c>
      <c r="E80" s="75" t="e">
        <f>VLOOKUP($A80,Inputs!$A$5:$M$98,MATCH(E$4,Inputs!$B$5:$M$5,0)+1,FALSE)</f>
        <v>#N/A</v>
      </c>
    </row>
    <row r="81" spans="2:6" ht="12.75">
      <c r="B81" s="76"/>
      <c r="C81" s="76"/>
      <c r="D81" s="2"/>
      <c r="E81" s="76"/>
      <c r="F81" s="2"/>
    </row>
    <row r="82" spans="2:6" ht="12.75">
      <c r="B82" s="76"/>
      <c r="C82" s="76"/>
      <c r="D82" s="2"/>
      <c r="E82" s="76"/>
      <c r="F82" s="2"/>
    </row>
    <row r="83" spans="2:6" ht="12.75">
      <c r="B83" s="76"/>
      <c r="C83" s="76"/>
      <c r="D83" s="2"/>
      <c r="E83" s="76"/>
      <c r="F83" s="2"/>
    </row>
    <row r="84" spans="2:6" ht="12.75">
      <c r="B84" s="76"/>
      <c r="C84" s="76"/>
      <c r="D84" s="2"/>
      <c r="E84" s="76"/>
      <c r="F84" s="2"/>
    </row>
    <row r="85" spans="2:6" ht="12.75">
      <c r="B85" s="76"/>
      <c r="C85" s="76"/>
      <c r="D85" s="2"/>
      <c r="E85" s="76"/>
      <c r="F85" s="2"/>
    </row>
    <row r="86" spans="2:6" ht="12.75">
      <c r="B86" s="76"/>
      <c r="C86" s="76"/>
      <c r="D86" s="2"/>
      <c r="E86" s="76"/>
      <c r="F86" s="2"/>
    </row>
    <row r="87" spans="2:6" ht="12.75">
      <c r="B87" s="76"/>
      <c r="C87" s="76"/>
      <c r="D87" s="2"/>
      <c r="E87" s="76"/>
      <c r="F87" s="2"/>
    </row>
    <row r="88" spans="2:6" ht="12.75">
      <c r="B88" s="76"/>
      <c r="C88" s="76"/>
      <c r="D88" s="2"/>
      <c r="E88" s="76"/>
      <c r="F88" s="2"/>
    </row>
  </sheetData>
  <mergeCells count="6">
    <mergeCell ref="A66:M66"/>
    <mergeCell ref="A1:M1"/>
    <mergeCell ref="A2:M2"/>
    <mergeCell ref="A3:M3"/>
    <mergeCell ref="A38:M38"/>
    <mergeCell ref="A47:M47"/>
  </mergeCells>
  <pageMargins left="0.7" right="0.7" top="0.75" bottom="0.75" header="0.3" footer="0.3"/>
  <pageSetup paperSize="9"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EV100"/>
  <sheetViews>
    <sheetView zoomScale="110" zoomScaleNormal="110" workbookViewId="0">
      <pane xSplit="1" ySplit="5" topLeftCell="C6" activePane="bottomRight" state="frozen"/>
      <selection pane="bottomRight" activeCell="C39" sqref="C39"/>
      <selection pane="bottomLeft" activeCell="A6" sqref="A6"/>
      <selection pane="topRight" activeCell="B1" sqref="B1"/>
    </sheetView>
  </sheetViews>
  <sheetFormatPr defaultColWidth="10.42578125" defaultRowHeight="14.25"/>
  <cols>
    <col min="1" max="1" width="40.140625" style="24" bestFit="1" customWidth="1"/>
    <col min="2" max="2" width="18.140625" style="24" customWidth="1"/>
    <col min="3" max="5" width="13.42578125" style="24" customWidth="1"/>
    <col min="6" max="6" width="13.140625" style="24" customWidth="1"/>
    <col min="7" max="9" width="13.85546875" style="24" customWidth="1"/>
    <col min="10" max="10" width="14.140625" style="24" customWidth="1"/>
    <col min="11" max="11" width="15.140625" style="26" customWidth="1"/>
    <col min="12" max="12" width="17" style="26" customWidth="1"/>
    <col min="13" max="13" width="14.140625" style="24" customWidth="1"/>
    <col min="14" max="14" width="21.42578125" style="24" bestFit="1" customWidth="1"/>
    <col min="15" max="15" width="32.140625" style="24" customWidth="1"/>
    <col min="16" max="16" width="11.42578125" style="24" customWidth="1"/>
    <col min="17" max="23" width="0" style="24" hidden="1" customWidth="1"/>
    <col min="24" max="24" width="15.42578125" style="24" bestFit="1" customWidth="1"/>
    <col min="25" max="25" width="17.42578125" style="24" bestFit="1" customWidth="1"/>
    <col min="26" max="33" width="0" style="24" hidden="1" customWidth="1"/>
    <col min="34" max="16384" width="10.42578125" style="24"/>
  </cols>
  <sheetData>
    <row r="1" spans="1:33" ht="15">
      <c r="B1" s="55"/>
      <c r="C1" s="55"/>
      <c r="D1" s="55"/>
      <c r="E1" s="55"/>
      <c r="F1" s="55"/>
      <c r="G1" s="55"/>
      <c r="H1" s="55"/>
      <c r="I1" s="55"/>
      <c r="J1" s="55"/>
      <c r="K1" s="55"/>
      <c r="L1" s="55"/>
      <c r="M1" s="55"/>
      <c r="N1"/>
      <c r="O1"/>
    </row>
    <row r="2" spans="1:33">
      <c r="G2" s="1016" t="s">
        <v>582</v>
      </c>
      <c r="H2" s="1016"/>
      <c r="I2" s="1016"/>
      <c r="J2" s="1016"/>
      <c r="K2" s="27"/>
      <c r="L2" s="27"/>
      <c r="M2" s="27"/>
      <c r="N2" s="27"/>
      <c r="O2" s="27"/>
    </row>
    <row r="3" spans="1:33">
      <c r="G3" s="24" t="s">
        <v>583</v>
      </c>
      <c r="H3" s="24" t="e" vm="1">
        <v>#VALUE!</v>
      </c>
      <c r="M3"/>
      <c r="N3"/>
      <c r="O3"/>
    </row>
    <row r="4" spans="1:33">
      <c r="D4" s="1016" t="s">
        <v>584</v>
      </c>
      <c r="E4" s="1016"/>
      <c r="F4" s="1016"/>
      <c r="G4" s="1016"/>
      <c r="H4" s="1016"/>
      <c r="I4" s="1016"/>
      <c r="J4" s="1016"/>
      <c r="K4" s="1016"/>
      <c r="L4" s="1016"/>
      <c r="M4" s="1016"/>
      <c r="N4"/>
      <c r="O4"/>
    </row>
    <row r="5" spans="1:33" ht="15">
      <c r="A5" s="55" t="s">
        <v>585</v>
      </c>
      <c r="B5" s="466">
        <f>OP!J20</f>
        <v>2022</v>
      </c>
      <c r="C5" s="350">
        <f>B5-1</f>
        <v>2021</v>
      </c>
      <c r="D5" s="466">
        <f t="shared" ref="D5:M5" si="0">C5-1</f>
        <v>2020</v>
      </c>
      <c r="E5" s="466">
        <f t="shared" si="0"/>
        <v>2019</v>
      </c>
      <c r="F5" s="466">
        <f t="shared" si="0"/>
        <v>2018</v>
      </c>
      <c r="G5" s="466">
        <f t="shared" si="0"/>
        <v>2017</v>
      </c>
      <c r="H5" s="466">
        <f t="shared" si="0"/>
        <v>2016</v>
      </c>
      <c r="I5" s="466">
        <f t="shared" si="0"/>
        <v>2015</v>
      </c>
      <c r="J5" s="466">
        <f t="shared" si="0"/>
        <v>2014</v>
      </c>
      <c r="K5" s="466">
        <f t="shared" si="0"/>
        <v>2013</v>
      </c>
      <c r="L5" s="466">
        <f t="shared" si="0"/>
        <v>2012</v>
      </c>
      <c r="M5" s="466">
        <f t="shared" si="0"/>
        <v>2011</v>
      </c>
      <c r="N5"/>
      <c r="O5"/>
      <c r="Q5" s="10" t="s">
        <v>586</v>
      </c>
      <c r="R5" s="1017" t="s">
        <v>587</v>
      </c>
      <c r="S5" s="1017"/>
      <c r="T5" s="24" t="s">
        <v>588</v>
      </c>
      <c r="Z5" s="55">
        <v>2016</v>
      </c>
      <c r="AA5" s="55">
        <v>2015</v>
      </c>
      <c r="AB5" s="55">
        <v>2014</v>
      </c>
      <c r="AC5" s="55">
        <v>2013</v>
      </c>
      <c r="AD5" s="55">
        <v>2012</v>
      </c>
      <c r="AE5" s="55">
        <v>2011</v>
      </c>
      <c r="AF5" s="55">
        <v>2010</v>
      </c>
      <c r="AG5" s="55">
        <v>2009</v>
      </c>
    </row>
    <row r="6" spans="1:33">
      <c r="A6" s="28" t="s">
        <v>124</v>
      </c>
      <c r="B6" s="351">
        <v>226954</v>
      </c>
      <c r="C6" s="351">
        <v>195929</v>
      </c>
      <c r="D6" s="351">
        <v>166761</v>
      </c>
      <c r="E6" s="351">
        <v>152703</v>
      </c>
      <c r="F6" s="351">
        <v>141576</v>
      </c>
      <c r="G6" s="351">
        <v>129025</v>
      </c>
      <c r="H6" s="467">
        <v>118719</v>
      </c>
      <c r="I6" s="351">
        <v>116199</v>
      </c>
      <c r="J6" s="351">
        <v>112640</v>
      </c>
      <c r="K6" s="351">
        <v>105156</v>
      </c>
      <c r="L6" s="351"/>
      <c r="M6" s="351"/>
      <c r="N6" s="30" t="s">
        <v>589</v>
      </c>
      <c r="O6" t="s">
        <v>590</v>
      </c>
      <c r="P6"/>
      <c r="Q6" s="24" t="s">
        <v>591</v>
      </c>
      <c r="R6" s="24" t="s">
        <v>591</v>
      </c>
      <c r="X6" s="31"/>
      <c r="Y6" s="31"/>
      <c r="Z6" s="29">
        <v>38537</v>
      </c>
      <c r="AA6" s="29">
        <v>47011</v>
      </c>
      <c r="AB6" s="29">
        <v>55184</v>
      </c>
      <c r="AC6" s="29">
        <v>55656</v>
      </c>
      <c r="AD6" s="29">
        <v>65875</v>
      </c>
      <c r="AE6" s="29">
        <v>60138</v>
      </c>
      <c r="AF6" s="29">
        <v>42588</v>
      </c>
      <c r="AG6" s="29">
        <v>32396</v>
      </c>
    </row>
    <row r="7" spans="1:33">
      <c r="A7" s="28" t="s">
        <v>539</v>
      </c>
      <c r="B7" s="351">
        <v>27572</v>
      </c>
      <c r="C7" s="351">
        <v>25245</v>
      </c>
      <c r="D7" s="351">
        <v>21822</v>
      </c>
      <c r="E7" s="351">
        <v>19817</v>
      </c>
      <c r="F7" s="351">
        <v>18424</v>
      </c>
      <c r="G7" s="351">
        <v>17143</v>
      </c>
      <c r="H7" s="468">
        <v>15818</v>
      </c>
      <c r="I7" s="469">
        <v>15134</v>
      </c>
      <c r="J7" s="351">
        <v>14182</v>
      </c>
      <c r="K7" s="351">
        <v>13208</v>
      </c>
      <c r="L7" s="351"/>
      <c r="M7" s="351"/>
      <c r="N7" s="30" t="s">
        <v>589</v>
      </c>
      <c r="O7" t="str">
        <f>+A7</f>
        <v>Gross Profit</v>
      </c>
      <c r="P7"/>
      <c r="Q7" s="24" t="s">
        <v>591</v>
      </c>
      <c r="R7" s="24" t="s">
        <v>592</v>
      </c>
      <c r="Z7" s="33">
        <f>Z6-28044</f>
        <v>10493</v>
      </c>
      <c r="AA7" s="33">
        <f>AA6-33546</f>
        <v>13465</v>
      </c>
      <c r="AB7" s="33">
        <f>AB6-40718</f>
        <v>14466</v>
      </c>
      <c r="AC7" s="33">
        <f>AC6-40727</f>
        <v>14929</v>
      </c>
      <c r="AD7" s="34">
        <f>+AD6-47055</f>
        <v>18820</v>
      </c>
      <c r="AE7" s="34">
        <f>+AE6-43578</f>
        <v>16560</v>
      </c>
      <c r="AF7" s="34">
        <f>+AF6-30367</f>
        <v>12221</v>
      </c>
      <c r="AG7" s="34">
        <f>+AG6-23886</f>
        <v>8510</v>
      </c>
    </row>
    <row r="8" spans="1:33">
      <c r="A8" s="28" t="s">
        <v>278</v>
      </c>
      <c r="B8" s="351">
        <v>7793</v>
      </c>
      <c r="C8" s="351">
        <v>6708</v>
      </c>
      <c r="D8" s="351">
        <v>5435</v>
      </c>
      <c r="E8" s="351">
        <v>4737</v>
      </c>
      <c r="F8" s="351">
        <v>4526</v>
      </c>
      <c r="G8" s="351">
        <v>4123</v>
      </c>
      <c r="H8" s="468">
        <v>3711</v>
      </c>
      <c r="I8" s="469">
        <v>3678</v>
      </c>
      <c r="J8" s="469">
        <v>3258</v>
      </c>
      <c r="K8" s="469">
        <v>3106</v>
      </c>
      <c r="L8" s="469"/>
      <c r="M8" s="469"/>
      <c r="N8" s="30" t="s">
        <v>589</v>
      </c>
      <c r="O8" t="s">
        <v>278</v>
      </c>
      <c r="P8"/>
      <c r="Q8" s="24" t="s">
        <v>591</v>
      </c>
      <c r="R8" s="35" t="s">
        <v>593</v>
      </c>
      <c r="Z8" s="33">
        <f>Z7-4383</f>
        <v>6110</v>
      </c>
      <c r="AA8" s="33">
        <f>AA7-4951</f>
        <v>8514</v>
      </c>
      <c r="AB8" s="33">
        <f>AB7-6529</f>
        <v>7937</v>
      </c>
      <c r="AC8" s="33">
        <f>AC7-5547</f>
        <v>9382</v>
      </c>
      <c r="AD8" s="34">
        <f>AD7-5919-2466-797-580-485</f>
        <v>8573</v>
      </c>
      <c r="AE8" s="34">
        <f>+AE7-5203-2297-826-1081</f>
        <v>7153</v>
      </c>
      <c r="AF8" s="34">
        <f>+AF7-4248-1905-914-1191</f>
        <v>3963</v>
      </c>
      <c r="AG8" s="34">
        <f>+AG7-3645-1421-1045-1822</f>
        <v>577</v>
      </c>
    </row>
    <row r="9" spans="1:33">
      <c r="A9" s="28" t="s">
        <v>543</v>
      </c>
      <c r="B9" s="768">
        <v>19653</v>
      </c>
      <c r="C9" s="768">
        <v>18435</v>
      </c>
      <c r="D9" s="768">
        <v>16384</v>
      </c>
      <c r="E9" s="768">
        <v>15028</v>
      </c>
      <c r="F9" s="768">
        <v>13898</v>
      </c>
      <c r="G9" s="768">
        <v>13020</v>
      </c>
      <c r="H9" s="768">
        <v>12107</v>
      </c>
      <c r="I9" s="768">
        <v>11456</v>
      </c>
      <c r="J9" s="768">
        <v>10924</v>
      </c>
      <c r="K9" s="768">
        <v>10102</v>
      </c>
      <c r="L9" s="351"/>
      <c r="M9" s="351"/>
      <c r="N9" s="30" t="s">
        <v>589</v>
      </c>
      <c r="O9" t="s">
        <v>594</v>
      </c>
      <c r="P9"/>
      <c r="Q9" s="24" t="s">
        <v>591</v>
      </c>
      <c r="R9" s="24" t="s">
        <v>595</v>
      </c>
      <c r="S9" s="24" t="s">
        <v>596</v>
      </c>
      <c r="T9" s="24" t="s">
        <v>597</v>
      </c>
      <c r="U9" s="24" t="s">
        <v>598</v>
      </c>
      <c r="V9" s="24" t="s">
        <v>599</v>
      </c>
      <c r="Z9" s="33">
        <f>1853+596+595+1904+6+8</f>
        <v>4962</v>
      </c>
      <c r="AA9" s="33">
        <f>2119+587+2023+11</f>
        <v>4740</v>
      </c>
      <c r="AB9" s="33">
        <f>2380+624+1619-8+16</f>
        <v>4631</v>
      </c>
      <c r="AC9" s="33">
        <f>2046+727+981+6+14</f>
        <v>3774</v>
      </c>
      <c r="AD9" s="34">
        <f>-14+41</f>
        <v>27</v>
      </c>
      <c r="AE9" s="33">
        <v>53</v>
      </c>
      <c r="AF9" s="33">
        <f>58+24</f>
        <v>82</v>
      </c>
      <c r="AG9" s="33">
        <f>12-68</f>
        <v>-56</v>
      </c>
    </row>
    <row r="10" spans="1:33">
      <c r="A10" s="28" t="s">
        <v>279</v>
      </c>
      <c r="B10" s="351">
        <v>97</v>
      </c>
      <c r="C10" s="351">
        <v>130</v>
      </c>
      <c r="D10" s="351">
        <v>71</v>
      </c>
      <c r="E10" s="351">
        <v>24</v>
      </c>
      <c r="F10" s="351">
        <v>84</v>
      </c>
      <c r="G10" s="351">
        <v>84</v>
      </c>
      <c r="H10" s="468">
        <v>92</v>
      </c>
      <c r="I10" s="469">
        <v>74</v>
      </c>
      <c r="J10" s="351">
        <v>61</v>
      </c>
      <c r="K10" s="351">
        <v>55</v>
      </c>
      <c r="L10" s="351"/>
      <c r="M10" s="351"/>
      <c r="N10" s="30" t="s">
        <v>589</v>
      </c>
      <c r="O10" t="s">
        <v>600</v>
      </c>
      <c r="P10"/>
      <c r="Q10" s="24" t="s">
        <v>591</v>
      </c>
      <c r="R10" s="24" t="s">
        <v>601</v>
      </c>
      <c r="Z10" s="33">
        <f>505+518</f>
        <v>1023</v>
      </c>
      <c r="AA10" s="33">
        <f>507-161</f>
        <v>346</v>
      </c>
      <c r="AB10" s="33">
        <f>484-322</f>
        <v>162</v>
      </c>
      <c r="AC10" s="33">
        <f>465+35</f>
        <v>500</v>
      </c>
      <c r="AD10" s="34">
        <f>467-130</f>
        <v>337</v>
      </c>
      <c r="AE10" s="33">
        <f>396+32</f>
        <v>428</v>
      </c>
      <c r="AF10" s="33">
        <f>343-130</f>
        <v>213</v>
      </c>
      <c r="AG10" s="33">
        <f>389-381</f>
        <v>8</v>
      </c>
    </row>
    <row r="11" spans="1:33">
      <c r="A11" s="28" t="s">
        <v>280</v>
      </c>
      <c r="B11" s="351">
        <v>1925</v>
      </c>
      <c r="C11" s="351">
        <v>1601</v>
      </c>
      <c r="D11" s="468">
        <v>1308</v>
      </c>
      <c r="E11" s="469">
        <v>1061</v>
      </c>
      <c r="F11" s="351">
        <v>1263</v>
      </c>
      <c r="G11" s="351">
        <v>1325</v>
      </c>
      <c r="H11" s="468">
        <v>1243</v>
      </c>
      <c r="I11" s="469">
        <v>1195</v>
      </c>
      <c r="J11" s="351">
        <v>1109</v>
      </c>
      <c r="K11" s="351">
        <v>990</v>
      </c>
      <c r="L11" s="351"/>
      <c r="M11" s="351"/>
      <c r="N11" s="30" t="s">
        <v>589</v>
      </c>
      <c r="O11" t="s">
        <v>280</v>
      </c>
      <c r="P11"/>
      <c r="Q11" s="24" t="s">
        <v>591</v>
      </c>
      <c r="R11" s="24" t="s">
        <v>602</v>
      </c>
      <c r="Z11" s="29">
        <v>192</v>
      </c>
      <c r="AA11" s="29">
        <v>916</v>
      </c>
      <c r="AB11" s="29">
        <v>692</v>
      </c>
      <c r="AC11" s="29">
        <v>1319</v>
      </c>
      <c r="AD11" s="32">
        <f>2528</f>
        <v>2528</v>
      </c>
      <c r="AE11" s="29">
        <f>1720</f>
        <v>1720</v>
      </c>
      <c r="AF11" s="29">
        <f>968</f>
        <v>968</v>
      </c>
      <c r="AG11" s="29">
        <f>-270</f>
        <v>-270</v>
      </c>
    </row>
    <row r="12" spans="1:33">
      <c r="A12" s="28" t="s">
        <v>65</v>
      </c>
      <c r="B12" s="351">
        <v>5844</v>
      </c>
      <c r="C12" s="351">
        <v>5007</v>
      </c>
      <c r="D12" s="351">
        <v>4002</v>
      </c>
      <c r="E12" s="351">
        <v>3659</v>
      </c>
      <c r="F12" s="351">
        <v>3134</v>
      </c>
      <c r="G12" s="351">
        <v>2679</v>
      </c>
      <c r="H12" s="467">
        <v>2350</v>
      </c>
      <c r="I12" s="351">
        <v>2377</v>
      </c>
      <c r="J12" s="351">
        <v>2058</v>
      </c>
      <c r="K12" s="351">
        <v>2039</v>
      </c>
      <c r="L12" s="351"/>
      <c r="M12" s="351"/>
      <c r="N12" s="30" t="s">
        <v>589</v>
      </c>
      <c r="O12" t="s">
        <v>65</v>
      </c>
      <c r="P12"/>
      <c r="Q12" s="24" t="s">
        <v>603</v>
      </c>
      <c r="R12" s="24" t="s">
        <v>604</v>
      </c>
      <c r="Z12" s="29">
        <v>-67</v>
      </c>
      <c r="AA12" s="29">
        <v>2512</v>
      </c>
      <c r="AB12" s="29">
        <v>2452</v>
      </c>
      <c r="AC12" s="29">
        <v>3789</v>
      </c>
      <c r="AD12" s="29">
        <v>5681</v>
      </c>
      <c r="AE12" s="29">
        <f>4928+24</f>
        <v>4952</v>
      </c>
      <c r="AF12" s="29">
        <v>2700</v>
      </c>
      <c r="AG12" s="29">
        <v>895</v>
      </c>
    </row>
    <row r="13" spans="1:33">
      <c r="B13" s="470">
        <f>SUM(B8:B11)</f>
        <v>29468</v>
      </c>
      <c r="C13" s="470">
        <f t="shared" ref="C13:M13" si="1">SUM(C8:C11)</f>
        <v>26874</v>
      </c>
      <c r="D13" s="470">
        <f t="shared" si="1"/>
        <v>23198</v>
      </c>
      <c r="E13" s="470">
        <f t="shared" si="1"/>
        <v>20850</v>
      </c>
      <c r="F13" s="470">
        <f t="shared" si="1"/>
        <v>19771</v>
      </c>
      <c r="G13" s="470">
        <f t="shared" si="1"/>
        <v>18552</v>
      </c>
      <c r="H13" s="470">
        <f t="shared" si="1"/>
        <v>17153</v>
      </c>
      <c r="I13" s="470">
        <f t="shared" si="1"/>
        <v>16403</v>
      </c>
      <c r="J13" s="470">
        <f t="shared" si="1"/>
        <v>15352</v>
      </c>
      <c r="K13" s="470">
        <f t="shared" si="1"/>
        <v>14253</v>
      </c>
      <c r="L13" s="470">
        <f t="shared" si="1"/>
        <v>0</v>
      </c>
      <c r="M13" s="470">
        <f t="shared" si="1"/>
        <v>0</v>
      </c>
      <c r="N13"/>
      <c r="O13"/>
      <c r="P13"/>
      <c r="Z13" s="26">
        <f t="shared" ref="Z13:AG13" si="2">Z8-Z10-Z9-Z11</f>
        <v>-67</v>
      </c>
      <c r="AA13" s="26">
        <f t="shared" si="2"/>
        <v>2512</v>
      </c>
      <c r="AB13" s="26">
        <f t="shared" si="2"/>
        <v>2452</v>
      </c>
      <c r="AC13" s="26">
        <f t="shared" si="2"/>
        <v>3789</v>
      </c>
      <c r="AD13" s="26">
        <f t="shared" si="2"/>
        <v>5681</v>
      </c>
      <c r="AE13" s="26">
        <f t="shared" si="2"/>
        <v>4952</v>
      </c>
      <c r="AF13" s="26">
        <f t="shared" si="2"/>
        <v>2700</v>
      </c>
      <c r="AG13" s="26">
        <f t="shared" si="2"/>
        <v>895</v>
      </c>
    </row>
    <row r="14" spans="1:33" ht="15">
      <c r="A14" s="55" t="s">
        <v>605</v>
      </c>
      <c r="B14" s="471">
        <f>B12-B13</f>
        <v>-23624</v>
      </c>
      <c r="C14" s="471">
        <f t="shared" ref="C14:M14" si="3">C12-C13</f>
        <v>-21867</v>
      </c>
      <c r="D14" s="471">
        <f>D12-D13</f>
        <v>-19196</v>
      </c>
      <c r="E14" s="471">
        <f t="shared" si="3"/>
        <v>-17191</v>
      </c>
      <c r="F14" s="471">
        <f t="shared" si="3"/>
        <v>-16637</v>
      </c>
      <c r="G14" s="471">
        <f t="shared" si="3"/>
        <v>-15873</v>
      </c>
      <c r="H14" s="471">
        <f t="shared" si="3"/>
        <v>-14803</v>
      </c>
      <c r="I14" s="471">
        <f t="shared" si="3"/>
        <v>-14026</v>
      </c>
      <c r="J14" s="471">
        <f>J12-J13</f>
        <v>-13294</v>
      </c>
      <c r="K14" s="471">
        <f t="shared" si="3"/>
        <v>-12214</v>
      </c>
      <c r="L14" s="471">
        <f t="shared" si="3"/>
        <v>0</v>
      </c>
      <c r="M14" s="471">
        <f t="shared" si="3"/>
        <v>0</v>
      </c>
      <c r="N14"/>
      <c r="O14"/>
      <c r="P14"/>
      <c r="Z14" s="37">
        <f t="shared" ref="Z14:AG14" si="4">Z12-Z13</f>
        <v>0</v>
      </c>
      <c r="AA14" s="37">
        <f t="shared" si="4"/>
        <v>0</v>
      </c>
      <c r="AB14" s="37">
        <f t="shared" si="4"/>
        <v>0</v>
      </c>
      <c r="AC14" s="37">
        <f t="shared" si="4"/>
        <v>0</v>
      </c>
      <c r="AD14" s="37">
        <f t="shared" si="4"/>
        <v>0</v>
      </c>
      <c r="AE14" s="37">
        <f t="shared" si="4"/>
        <v>0</v>
      </c>
      <c r="AF14" s="37">
        <f t="shared" si="4"/>
        <v>0</v>
      </c>
      <c r="AG14" s="37">
        <f t="shared" si="4"/>
        <v>0</v>
      </c>
    </row>
    <row r="15" spans="1:33">
      <c r="A15"/>
      <c r="B15" s="474"/>
      <c r="C15" s="474"/>
      <c r="D15" s="474"/>
      <c r="E15" s="474"/>
      <c r="F15" s="474"/>
      <c r="G15" s="474"/>
      <c r="H15" s="474"/>
      <c r="I15" s="474"/>
      <c r="J15" s="474"/>
      <c r="K15" s="474"/>
      <c r="L15" s="474"/>
      <c r="M15" s="474"/>
      <c r="N15"/>
      <c r="O15"/>
      <c r="P15"/>
      <c r="Z15" s="29"/>
      <c r="AA15" s="29"/>
      <c r="AB15" s="29"/>
      <c r="AC15" s="29"/>
      <c r="AD15" s="29"/>
      <c r="AE15" s="29"/>
      <c r="AF15" s="29"/>
      <c r="AG15" s="29"/>
    </row>
    <row r="16" spans="1:33">
      <c r="A16" s="28" t="s">
        <v>606</v>
      </c>
      <c r="B16" s="351">
        <v>443.9</v>
      </c>
      <c r="C16" s="351">
        <v>443.7</v>
      </c>
      <c r="D16" s="468">
        <v>443.1</v>
      </c>
      <c r="E16" s="469">
        <v>442.3</v>
      </c>
      <c r="F16" s="351">
        <v>439.8</v>
      </c>
      <c r="G16" s="351">
        <v>438.5</v>
      </c>
      <c r="H16" s="468">
        <v>438.4</v>
      </c>
      <c r="I16" s="469">
        <v>438.6</v>
      </c>
      <c r="J16" s="351">
        <v>439.5</v>
      </c>
      <c r="K16" s="351">
        <v>438.7</v>
      </c>
      <c r="L16" s="351"/>
      <c r="M16" s="472"/>
      <c r="N16" s="30"/>
      <c r="O16"/>
      <c r="P16"/>
      <c r="Z16" s="29"/>
      <c r="AA16" s="29"/>
      <c r="AB16" s="29"/>
      <c r="AC16" s="29"/>
      <c r="AD16" s="29"/>
      <c r="AE16" s="29"/>
      <c r="AF16" s="29"/>
      <c r="AG16" s="29"/>
    </row>
    <row r="17" spans="1:152">
      <c r="A17" s="28" t="s">
        <v>607</v>
      </c>
      <c r="B17" s="351">
        <v>444.5</v>
      </c>
      <c r="C17" s="351">
        <v>444.8</v>
      </c>
      <c r="D17" s="351">
        <v>444.3</v>
      </c>
      <c r="E17" s="351">
        <v>443.9</v>
      </c>
      <c r="F17" s="351">
        <v>442.9</v>
      </c>
      <c r="G17" s="351">
        <v>441.8</v>
      </c>
      <c r="H17" s="467">
        <v>440.9</v>
      </c>
      <c r="I17" s="351">
        <v>441.3</v>
      </c>
      <c r="J17" s="351">
        <v>442.7</v>
      </c>
      <c r="K17" s="351">
        <v>442.5</v>
      </c>
      <c r="L17" s="351"/>
      <c r="M17" s="472"/>
      <c r="N17" s="30"/>
      <c r="O17"/>
      <c r="P17"/>
      <c r="Z17" s="29"/>
      <c r="AA17" s="29"/>
      <c r="AB17" s="29"/>
      <c r="AC17" s="29"/>
      <c r="AD17" s="29"/>
      <c r="AE17" s="29"/>
      <c r="AF17" s="29"/>
      <c r="AG17" s="29"/>
    </row>
    <row r="18" spans="1:152" customFormat="1" ht="12.75">
      <c r="B18" s="474"/>
      <c r="C18" s="474"/>
      <c r="D18" s="474"/>
      <c r="E18" s="474"/>
      <c r="F18" s="474"/>
      <c r="G18" s="474"/>
      <c r="H18" s="474"/>
      <c r="I18" s="474"/>
      <c r="J18" s="474"/>
      <c r="K18" s="474"/>
      <c r="L18" s="474"/>
      <c r="M18" s="474"/>
    </row>
    <row r="19" spans="1:152">
      <c r="A19" s="28" t="s">
        <v>608</v>
      </c>
      <c r="B19" s="351">
        <v>106</v>
      </c>
      <c r="C19" s="351">
        <v>56</v>
      </c>
      <c r="D19" s="351">
        <v>7</v>
      </c>
      <c r="E19" s="351">
        <v>27</v>
      </c>
      <c r="F19" s="351">
        <v>23</v>
      </c>
      <c r="G19" s="351">
        <v>-5</v>
      </c>
      <c r="H19" s="467">
        <v>28</v>
      </c>
      <c r="I19" s="351">
        <v>47</v>
      </c>
      <c r="J19" s="351">
        <v>26</v>
      </c>
      <c r="K19" s="351">
        <v>39</v>
      </c>
      <c r="L19" s="351"/>
      <c r="M19" s="472"/>
      <c r="N19" s="30"/>
      <c r="O19"/>
      <c r="P19"/>
      <c r="Z19" s="29"/>
      <c r="AA19" s="29"/>
      <c r="AB19" s="29"/>
      <c r="AC19" s="29"/>
      <c r="AD19" s="29"/>
      <c r="AE19" s="29"/>
      <c r="AF19" s="29"/>
      <c r="AG19" s="29"/>
    </row>
    <row r="20" spans="1:152" ht="15">
      <c r="A20" s="10" t="s">
        <v>609</v>
      </c>
      <c r="B20" s="351">
        <f>B12+B19</f>
        <v>5950</v>
      </c>
      <c r="C20" s="351">
        <f t="shared" ref="C20:K20" si="5">C12+C19</f>
        <v>5063</v>
      </c>
      <c r="D20" s="351">
        <f t="shared" si="5"/>
        <v>4009</v>
      </c>
      <c r="E20" s="351">
        <f t="shared" si="5"/>
        <v>3686</v>
      </c>
      <c r="F20" s="351">
        <f t="shared" si="5"/>
        <v>3157</v>
      </c>
      <c r="G20" s="351">
        <f t="shared" si="5"/>
        <v>2674</v>
      </c>
      <c r="H20" s="351">
        <f t="shared" si="5"/>
        <v>2378</v>
      </c>
      <c r="I20" s="351">
        <f t="shared" si="5"/>
        <v>2424</v>
      </c>
      <c r="J20" s="351">
        <f t="shared" si="5"/>
        <v>2084</v>
      </c>
      <c r="K20" s="351">
        <f t="shared" si="5"/>
        <v>2078</v>
      </c>
      <c r="L20" s="351"/>
      <c r="M20" s="351"/>
      <c r="N20" s="30"/>
      <c r="O20"/>
      <c r="P20"/>
      <c r="Z20" s="29"/>
      <c r="AA20" s="29"/>
      <c r="AB20" s="29"/>
      <c r="AC20" s="29"/>
      <c r="AD20" s="29"/>
      <c r="AE20" s="29"/>
      <c r="AF20" s="29"/>
      <c r="AG20" s="29"/>
    </row>
    <row r="21" spans="1:152" customFormat="1" ht="12.75">
      <c r="B21" s="474"/>
      <c r="C21" s="474"/>
      <c r="D21" s="474"/>
      <c r="E21" s="474"/>
      <c r="F21" s="474"/>
      <c r="G21" s="474"/>
      <c r="H21" s="474"/>
      <c r="I21" s="474"/>
      <c r="J21" s="474"/>
      <c r="K21" s="474"/>
      <c r="L21" s="474"/>
      <c r="M21" s="474"/>
    </row>
    <row r="22" spans="1:152">
      <c r="A22" s="24" t="s">
        <v>544</v>
      </c>
      <c r="B22" s="470">
        <f>B23-C23</f>
        <v>1034</v>
      </c>
      <c r="C22" s="470">
        <f t="shared" ref="C22:J22" si="6">C23-D23</f>
        <v>-1378</v>
      </c>
      <c r="D22" s="470">
        <f>D23-E23</f>
        <v>-2447</v>
      </c>
      <c r="E22" s="470">
        <f t="shared" si="6"/>
        <v>-681</v>
      </c>
      <c r="F22" s="470">
        <f t="shared" si="6"/>
        <v>-935</v>
      </c>
      <c r="G22" s="470">
        <f>G23-H23</f>
        <v>-1885</v>
      </c>
      <c r="H22" s="470">
        <f t="shared" si="6"/>
        <v>910</v>
      </c>
      <c r="I22" s="470">
        <f>I23-J23</f>
        <v>-727</v>
      </c>
      <c r="J22" s="470">
        <f t="shared" si="6"/>
        <v>-628</v>
      </c>
      <c r="K22" s="470">
        <f>K23-L23</f>
        <v>-3541</v>
      </c>
      <c r="L22" s="470">
        <f>L23-M23</f>
        <v>0</v>
      </c>
      <c r="M22" s="470">
        <f>M23-N23</f>
        <v>0</v>
      </c>
      <c r="N22" s="36" t="s">
        <v>610</v>
      </c>
      <c r="O22" t="s">
        <v>611</v>
      </c>
      <c r="P22"/>
      <c r="Q22" s="24" t="s">
        <v>603</v>
      </c>
      <c r="Z22" s="29"/>
      <c r="AA22" s="29"/>
      <c r="AB22" s="29"/>
      <c r="AC22" s="29"/>
      <c r="AD22" s="32"/>
      <c r="AE22" s="29"/>
      <c r="AF22" s="29"/>
      <c r="AG22" s="29"/>
    </row>
    <row r="23" spans="1:152">
      <c r="A23" s="28" t="s">
        <v>612</v>
      </c>
      <c r="B23" s="351">
        <f>(B27-B28)-(B42-B44)</f>
        <v>-10278</v>
      </c>
      <c r="C23" s="351">
        <f t="shared" ref="C23:J23" si="7">(C27-C28)-(C42-C44)</f>
        <v>-11312</v>
      </c>
      <c r="D23" s="351">
        <f t="shared" si="7"/>
        <v>-9934</v>
      </c>
      <c r="E23" s="351">
        <f t="shared" si="7"/>
        <v>-7487</v>
      </c>
      <c r="F23" s="351">
        <f t="shared" si="7"/>
        <v>-6806</v>
      </c>
      <c r="G23" s="351">
        <f>(G27-G28)-(G42-G44)</f>
        <v>-5871</v>
      </c>
      <c r="H23" s="351">
        <f t="shared" si="7"/>
        <v>-3986</v>
      </c>
      <c r="I23" s="351">
        <f>(I27-I28)-(I42-I44)</f>
        <v>-4896</v>
      </c>
      <c r="J23" s="351">
        <f t="shared" si="7"/>
        <v>-4169</v>
      </c>
      <c r="K23" s="351">
        <f>(K27-K28)-(K42-K44)</f>
        <v>-3541</v>
      </c>
      <c r="L23" s="351">
        <f t="shared" ref="L23:M23" si="8">L27-L42-L28</f>
        <v>0</v>
      </c>
      <c r="M23" s="351">
        <f t="shared" si="8"/>
        <v>0</v>
      </c>
      <c r="N23" s="36"/>
      <c r="O23"/>
      <c r="P23"/>
      <c r="Z23" s="29"/>
      <c r="AA23" s="29"/>
      <c r="AB23" s="29"/>
      <c r="AC23" s="29"/>
      <c r="AD23" s="32"/>
      <c r="AE23" s="29"/>
      <c r="AF23" s="29"/>
      <c r="AG23" s="29"/>
    </row>
    <row r="24" spans="1:152">
      <c r="A24" s="7">
        <v>2625</v>
      </c>
      <c r="B24" s="475"/>
      <c r="C24" s="475">
        <v>2625</v>
      </c>
      <c r="D24" s="475">
        <v>2625</v>
      </c>
      <c r="E24" s="475">
        <v>2625</v>
      </c>
      <c r="F24" s="475">
        <v>2625</v>
      </c>
      <c r="G24" s="475">
        <v>2625</v>
      </c>
      <c r="H24" s="475">
        <v>2625</v>
      </c>
      <c r="I24" s="475">
        <v>2625</v>
      </c>
      <c r="J24" s="475">
        <v>2625</v>
      </c>
      <c r="K24" s="475">
        <v>2625</v>
      </c>
      <c r="L24" s="475">
        <v>2625</v>
      </c>
      <c r="M24" s="475">
        <v>2625</v>
      </c>
      <c r="N24" s="7">
        <v>2625</v>
      </c>
      <c r="O24"/>
      <c r="P24"/>
      <c r="Q24" s="24" t="s">
        <v>603</v>
      </c>
      <c r="R24" s="24" t="s">
        <v>613</v>
      </c>
      <c r="T24" s="24" t="s">
        <v>614</v>
      </c>
      <c r="Z24" s="29">
        <v>1799</v>
      </c>
      <c r="AA24" s="29">
        <v>1757</v>
      </c>
      <c r="AB24" s="29">
        <v>1620</v>
      </c>
      <c r="AC24" s="29">
        <v>1111</v>
      </c>
      <c r="AD24" s="29">
        <v>1617</v>
      </c>
      <c r="AE24" s="29">
        <v>1159</v>
      </c>
      <c r="AF24" s="29">
        <v>1084</v>
      </c>
      <c r="AG24" s="29">
        <v>1029</v>
      </c>
    </row>
    <row r="25" spans="1:152" ht="15">
      <c r="A25" s="55" t="s">
        <v>428</v>
      </c>
      <c r="B25" s="653"/>
      <c r="C25" s="654"/>
      <c r="D25" s="475">
        <v>2625</v>
      </c>
      <c r="E25" s="475">
        <v>2625</v>
      </c>
      <c r="F25" s="475">
        <v>2625</v>
      </c>
      <c r="G25" s="475">
        <v>2625</v>
      </c>
      <c r="H25" s="475">
        <v>2625</v>
      </c>
      <c r="I25" s="475">
        <v>2625</v>
      </c>
      <c r="J25" s="475">
        <v>2625</v>
      </c>
      <c r="K25" s="475">
        <v>2625</v>
      </c>
      <c r="L25" s="475">
        <v>2625</v>
      </c>
      <c r="M25" s="475">
        <v>2625</v>
      </c>
      <c r="N25" s="7">
        <v>2625</v>
      </c>
      <c r="O25"/>
      <c r="P25"/>
      <c r="Q25" s="24" t="s">
        <v>603</v>
      </c>
      <c r="R25" s="24" t="s">
        <v>615</v>
      </c>
      <c r="S25" s="24" t="s">
        <v>616</v>
      </c>
      <c r="T25" s="24" t="s">
        <v>617</v>
      </c>
      <c r="Z25" s="29">
        <v>23</v>
      </c>
      <c r="AA25" s="29">
        <f>-33+2025</f>
        <v>1992</v>
      </c>
      <c r="AB25" s="29">
        <v>3817</v>
      </c>
      <c r="AC25" s="29">
        <v>1776</v>
      </c>
      <c r="AD25" s="29">
        <v>-244</v>
      </c>
      <c r="AE25" s="29">
        <v>-312</v>
      </c>
      <c r="AF25" s="29">
        <v>-449</v>
      </c>
      <c r="AG25" s="29">
        <v>-110</v>
      </c>
    </row>
    <row r="26" spans="1:152" ht="15">
      <c r="A26" s="126" t="s">
        <v>618</v>
      </c>
      <c r="B26" s="566"/>
      <c r="C26" s="566"/>
      <c r="D26" s="566"/>
      <c r="E26" s="566"/>
      <c r="F26" s="566"/>
      <c r="G26" s="566"/>
      <c r="H26" s="566"/>
      <c r="I26" s="566"/>
      <c r="J26" s="566"/>
      <c r="K26" s="566"/>
      <c r="L26" s="566"/>
      <c r="M26" s="566"/>
      <c r="N26" s="7">
        <v>1922</v>
      </c>
      <c r="O26" s="7">
        <v>2625</v>
      </c>
      <c r="P26"/>
      <c r="Z26" s="29"/>
      <c r="AA26" s="29"/>
      <c r="AB26" s="29"/>
      <c r="AC26" s="29"/>
      <c r="AD26" s="29"/>
      <c r="AE26" s="29"/>
      <c r="AF26" s="29"/>
      <c r="AG26" s="29"/>
    </row>
    <row r="27" spans="1:152" ht="15">
      <c r="A27" s="10" t="s">
        <v>619</v>
      </c>
      <c r="B27" s="470">
        <v>32696</v>
      </c>
      <c r="C27" s="470">
        <v>29505</v>
      </c>
      <c r="D27" s="470">
        <v>28120</v>
      </c>
      <c r="E27" s="470">
        <v>23495</v>
      </c>
      <c r="F27" s="470">
        <v>20289</v>
      </c>
      <c r="G27" s="470">
        <v>17317</v>
      </c>
      <c r="H27" s="470">
        <v>15218</v>
      </c>
      <c r="I27" s="470">
        <v>16779</v>
      </c>
      <c r="J27" s="470">
        <v>17558</v>
      </c>
      <c r="K27" s="470">
        <v>15840</v>
      </c>
      <c r="L27" s="470"/>
      <c r="M27" s="470"/>
      <c r="N27" s="7"/>
      <c r="O27" s="7"/>
      <c r="P27"/>
      <c r="Z27" s="29"/>
      <c r="AA27" s="29"/>
      <c r="AB27" s="29"/>
      <c r="AC27" s="29"/>
      <c r="AD27" s="29"/>
      <c r="AE27" s="29"/>
      <c r="AF27" s="29"/>
      <c r="AG27" s="29"/>
    </row>
    <row r="28" spans="1:152" ht="15">
      <c r="A28" s="123" t="s">
        <v>282</v>
      </c>
      <c r="B28" s="351">
        <v>11049</v>
      </c>
      <c r="C28" s="351">
        <v>12175</v>
      </c>
      <c r="D28" s="468">
        <v>13305</v>
      </c>
      <c r="E28" s="469">
        <v>9444</v>
      </c>
      <c r="F28" s="351">
        <v>7259</v>
      </c>
      <c r="G28" s="351">
        <v>5779</v>
      </c>
      <c r="H28" s="468">
        <v>4729</v>
      </c>
      <c r="I28" s="469">
        <v>6419</v>
      </c>
      <c r="J28" s="351">
        <v>7315</v>
      </c>
      <c r="K28" s="351">
        <v>6124</v>
      </c>
      <c r="L28" s="351"/>
      <c r="M28" s="472"/>
      <c r="N28" s="39" t="s">
        <v>620</v>
      </c>
      <c r="O28" t="s">
        <v>282</v>
      </c>
      <c r="P28"/>
      <c r="Z28" s="38"/>
      <c r="AA28" s="38"/>
      <c r="AB28" s="38"/>
      <c r="AC28" s="38"/>
      <c r="AD28" s="38"/>
      <c r="AE28" s="37"/>
      <c r="AF28" s="37"/>
      <c r="AG28" s="37"/>
    </row>
    <row r="29" spans="1:152" ht="15">
      <c r="A29" s="124" t="s">
        <v>552</v>
      </c>
      <c r="B29" s="351">
        <v>2241</v>
      </c>
      <c r="C29" s="351">
        <v>1803</v>
      </c>
      <c r="D29" s="351">
        <v>1550</v>
      </c>
      <c r="E29" s="351">
        <v>1535</v>
      </c>
      <c r="F29" s="351">
        <v>1669</v>
      </c>
      <c r="G29" s="351">
        <v>1432</v>
      </c>
      <c r="H29" s="467">
        <v>1252</v>
      </c>
      <c r="I29" s="351">
        <v>1224</v>
      </c>
      <c r="J29" s="351">
        <v>1148</v>
      </c>
      <c r="K29" s="351">
        <v>1201</v>
      </c>
      <c r="L29" s="351"/>
      <c r="M29" s="472"/>
      <c r="N29" s="39" t="s">
        <v>620</v>
      </c>
      <c r="O29" t="s">
        <v>552</v>
      </c>
      <c r="P29"/>
      <c r="Z29" s="38"/>
      <c r="AA29" s="38"/>
      <c r="AB29" s="38"/>
      <c r="AC29" s="38"/>
      <c r="AD29" s="38"/>
      <c r="AE29" s="37"/>
      <c r="AF29" s="37"/>
      <c r="AG29" s="37"/>
    </row>
    <row r="30" spans="1:152">
      <c r="A30" s="123" t="s">
        <v>284</v>
      </c>
      <c r="B30" s="351">
        <v>17907</v>
      </c>
      <c r="C30" s="351">
        <v>14215</v>
      </c>
      <c r="D30" s="351">
        <v>12242</v>
      </c>
      <c r="E30" s="351">
        <v>11395</v>
      </c>
      <c r="F30" s="351">
        <v>11040</v>
      </c>
      <c r="G30" s="351">
        <v>9834</v>
      </c>
      <c r="H30" s="467">
        <v>8969</v>
      </c>
      <c r="I30" s="351">
        <v>8908</v>
      </c>
      <c r="J30" s="351">
        <v>8456</v>
      </c>
      <c r="K30" s="351">
        <v>7894</v>
      </c>
      <c r="L30" s="351"/>
      <c r="M30" s="351"/>
      <c r="N30" s="39" t="s">
        <v>620</v>
      </c>
      <c r="O30" t="s">
        <v>284</v>
      </c>
      <c r="P30"/>
      <c r="Q30" s="24" t="s">
        <v>621</v>
      </c>
      <c r="R30" s="24" t="s">
        <v>622</v>
      </c>
      <c r="Z30" s="29">
        <v>7168</v>
      </c>
      <c r="AA30" s="29">
        <v>6460</v>
      </c>
      <c r="AB30" s="29">
        <v>7341</v>
      </c>
      <c r="AC30" s="29">
        <v>6081</v>
      </c>
      <c r="AD30" s="29">
        <v>5490</v>
      </c>
      <c r="AE30" s="29">
        <v>3057</v>
      </c>
      <c r="AF30" s="29">
        <v>3592</v>
      </c>
      <c r="AG30" s="29">
        <v>4867</v>
      </c>
    </row>
    <row r="31" spans="1:152" s="25" customFormat="1">
      <c r="A31" s="123" t="s">
        <v>623</v>
      </c>
      <c r="B31" s="351">
        <f t="shared" ref="B31:K31" si="9">B27-SUM(B28:B30)</f>
        <v>1499</v>
      </c>
      <c r="C31" s="351">
        <f t="shared" si="9"/>
        <v>1312</v>
      </c>
      <c r="D31" s="351">
        <f t="shared" si="9"/>
        <v>1023</v>
      </c>
      <c r="E31" s="351">
        <f t="shared" si="9"/>
        <v>1121</v>
      </c>
      <c r="F31" s="351">
        <f t="shared" si="9"/>
        <v>321</v>
      </c>
      <c r="G31" s="351">
        <f t="shared" si="9"/>
        <v>272</v>
      </c>
      <c r="H31" s="351">
        <f t="shared" si="9"/>
        <v>268</v>
      </c>
      <c r="I31" s="351">
        <f t="shared" si="9"/>
        <v>228</v>
      </c>
      <c r="J31" s="351">
        <f t="shared" si="9"/>
        <v>639</v>
      </c>
      <c r="K31" s="351">
        <f t="shared" si="9"/>
        <v>621</v>
      </c>
      <c r="L31" s="351">
        <f t="shared" ref="L31:M31" si="10">L27-SUM(L28:L30)</f>
        <v>0</v>
      </c>
      <c r="M31" s="351">
        <f t="shared" si="10"/>
        <v>0</v>
      </c>
      <c r="N31" s="39" t="s">
        <v>620</v>
      </c>
      <c r="O31" t="s">
        <v>284</v>
      </c>
      <c r="P31"/>
      <c r="Q31" s="24" t="s">
        <v>621</v>
      </c>
      <c r="R31" s="24" t="s">
        <v>624</v>
      </c>
      <c r="S31" s="24" t="s">
        <v>625</v>
      </c>
      <c r="T31" s="24" t="s">
        <v>626</v>
      </c>
      <c r="U31" s="24"/>
      <c r="V31" s="24"/>
      <c r="W31" s="24"/>
      <c r="X31" s="24"/>
      <c r="Y31" s="24"/>
      <c r="Z31" s="33">
        <f>5981+8522+1029+13556</f>
        <v>29088</v>
      </c>
      <c r="AA31" s="33">
        <f>6695+8991+1170+13651</f>
        <v>30507</v>
      </c>
      <c r="AB31" s="33">
        <f>7737+9027+1364+14644</f>
        <v>32772</v>
      </c>
      <c r="AC31" s="33">
        <v>33499</v>
      </c>
      <c r="AD31" s="33">
        <v>33911</v>
      </c>
      <c r="AE31" s="33">
        <v>31031</v>
      </c>
      <c r="AF31" s="33">
        <v>28849</v>
      </c>
      <c r="AG31" s="33">
        <v>27162</v>
      </c>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row>
    <row r="32" spans="1:152" s="25" customFormat="1" ht="15">
      <c r="A32" s="10" t="s">
        <v>627</v>
      </c>
      <c r="B32" s="350">
        <f>B38-B27</f>
        <v>31470</v>
      </c>
      <c r="C32" s="350">
        <f>C38-C27</f>
        <v>29763</v>
      </c>
      <c r="D32" s="350">
        <f t="shared" ref="D32:M32" si="11">D38-D27</f>
        <v>27436</v>
      </c>
      <c r="E32" s="350">
        <f t="shared" si="11"/>
        <v>21905</v>
      </c>
      <c r="F32" s="350">
        <f t="shared" si="11"/>
        <v>20541</v>
      </c>
      <c r="G32" s="350">
        <f t="shared" si="11"/>
        <v>19030</v>
      </c>
      <c r="H32" s="350">
        <f t="shared" si="11"/>
        <v>17945</v>
      </c>
      <c r="I32" s="350">
        <f t="shared" si="11"/>
        <v>16238</v>
      </c>
      <c r="J32" s="350">
        <f t="shared" si="11"/>
        <v>15466</v>
      </c>
      <c r="K32" s="350">
        <f>K38-K27</f>
        <v>14443</v>
      </c>
      <c r="L32" s="350">
        <f t="shared" si="11"/>
        <v>0</v>
      </c>
      <c r="M32" s="350">
        <f t="shared" si="11"/>
        <v>0</v>
      </c>
      <c r="N32" s="39"/>
      <c r="O32"/>
      <c r="P32"/>
      <c r="Q32" s="24"/>
      <c r="R32" s="24"/>
      <c r="S32" s="24"/>
      <c r="T32" s="24"/>
      <c r="U32" s="24"/>
      <c r="V32" s="24"/>
      <c r="W32" s="24"/>
      <c r="X32" s="24"/>
      <c r="Y32" s="24"/>
      <c r="Z32" s="33"/>
      <c r="AA32" s="33"/>
      <c r="AB32" s="33"/>
      <c r="AC32" s="33"/>
      <c r="AD32" s="33"/>
      <c r="AE32" s="33"/>
      <c r="AF32" s="33"/>
      <c r="AG32" s="33"/>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row>
    <row r="33" spans="1:33">
      <c r="A33" s="125" t="s">
        <v>553</v>
      </c>
      <c r="B33" s="351">
        <v>44326</v>
      </c>
      <c r="C33" s="351">
        <v>41258</v>
      </c>
      <c r="D33" s="351">
        <v>38083</v>
      </c>
      <c r="E33" s="351">
        <v>32626</v>
      </c>
      <c r="F33" s="351">
        <v>30714</v>
      </c>
      <c r="G33" s="351">
        <v>28341</v>
      </c>
      <c r="H33" s="351">
        <v>26167</v>
      </c>
      <c r="I33" s="351">
        <v>23664</v>
      </c>
      <c r="J33" s="351">
        <v>22675</v>
      </c>
      <c r="K33" s="351">
        <v>21022</v>
      </c>
      <c r="L33" s="351"/>
      <c r="M33" s="351"/>
      <c r="N33" s="39"/>
      <c r="O33"/>
      <c r="P33"/>
      <c r="Q33" s="24" t="s">
        <v>621</v>
      </c>
      <c r="R33" s="24" t="s">
        <v>628</v>
      </c>
      <c r="Z33" s="29">
        <v>8614</v>
      </c>
      <c r="AA33" s="29">
        <v>9700</v>
      </c>
      <c r="AB33" s="29">
        <v>12205</v>
      </c>
      <c r="AC33" s="29">
        <v>12625</v>
      </c>
      <c r="AD33" s="29">
        <v>15547</v>
      </c>
      <c r="AE33" s="29">
        <v>14544</v>
      </c>
      <c r="AF33" s="29">
        <v>9587</v>
      </c>
      <c r="AG33" s="29">
        <v>6360</v>
      </c>
    </row>
    <row r="34" spans="1:33">
      <c r="A34" s="125" t="s">
        <v>629</v>
      </c>
      <c r="B34" s="351">
        <f>B32-B33-B35-B36</f>
        <v>-13848</v>
      </c>
      <c r="C34" s="351">
        <f t="shared" ref="C34:K34" si="12">C32-C33-C35-C36</f>
        <v>-12436</v>
      </c>
      <c r="D34" s="351">
        <f t="shared" si="12"/>
        <v>-11502</v>
      </c>
      <c r="E34" s="351">
        <f t="shared" si="12"/>
        <v>-11295</v>
      </c>
      <c r="F34" s="351">
        <f t="shared" si="12"/>
        <v>-10717</v>
      </c>
      <c r="G34" s="351">
        <f t="shared" si="12"/>
        <v>-9926</v>
      </c>
      <c r="H34" s="351">
        <f t="shared" si="12"/>
        <v>-8922</v>
      </c>
      <c r="I34" s="351">
        <f t="shared" si="12"/>
        <v>-8044</v>
      </c>
      <c r="J34" s="351">
        <f t="shared" si="12"/>
        <v>-7747</v>
      </c>
      <c r="K34" s="351">
        <f t="shared" si="12"/>
        <v>-7079</v>
      </c>
      <c r="L34" s="351"/>
      <c r="M34" s="351"/>
      <c r="N34" s="39"/>
      <c r="O34"/>
      <c r="P34"/>
      <c r="Z34" s="29"/>
      <c r="AA34" s="29"/>
      <c r="AB34" s="29"/>
      <c r="AC34" s="29"/>
      <c r="AD34" s="29"/>
      <c r="AE34" s="29"/>
      <c r="AF34" s="29"/>
      <c r="AG34" s="29"/>
    </row>
    <row r="35" spans="1:33">
      <c r="A35" s="125" t="s">
        <v>630</v>
      </c>
      <c r="B35" s="351"/>
      <c r="C35" s="351"/>
      <c r="D35" s="351"/>
      <c r="E35" s="351"/>
      <c r="F35" s="351"/>
      <c r="G35" s="351"/>
      <c r="H35" s="351"/>
      <c r="I35" s="351"/>
      <c r="J35" s="351"/>
      <c r="K35" s="351"/>
      <c r="L35" s="351"/>
      <c r="M35" s="351"/>
      <c r="N35" s="39"/>
      <c r="O35"/>
      <c r="P35"/>
      <c r="Z35" s="29"/>
      <c r="AA35" s="29"/>
      <c r="AB35" s="29"/>
      <c r="AC35" s="29"/>
      <c r="AD35" s="29"/>
      <c r="AE35" s="29"/>
      <c r="AF35" s="29"/>
      <c r="AG35" s="29"/>
    </row>
    <row r="36" spans="1:33">
      <c r="A36" s="125" t="s">
        <v>631</v>
      </c>
      <c r="B36" s="351">
        <v>992</v>
      </c>
      <c r="C36" s="351">
        <v>941</v>
      </c>
      <c r="D36" s="351">
        <v>855</v>
      </c>
      <c r="E36" s="351">
        <v>574</v>
      </c>
      <c r="F36" s="351">
        <v>544</v>
      </c>
      <c r="G36" s="351">
        <v>615</v>
      </c>
      <c r="H36" s="351">
        <v>700</v>
      </c>
      <c r="I36" s="351">
        <v>618</v>
      </c>
      <c r="J36" s="351">
        <v>538</v>
      </c>
      <c r="K36" s="351">
        <v>500</v>
      </c>
      <c r="L36" s="351">
        <f t="shared" ref="L36" si="13">L32-SUM(L33:L35)</f>
        <v>0</v>
      </c>
      <c r="M36" s="351">
        <f t="shared" ref="M36" si="14">M32-SUM(M33:M35)</f>
        <v>0</v>
      </c>
      <c r="N36" s="39" t="s">
        <v>620</v>
      </c>
      <c r="O36" t="s">
        <v>553</v>
      </c>
      <c r="P36"/>
      <c r="Z36" s="29"/>
      <c r="AA36" s="29"/>
      <c r="AB36" s="29"/>
      <c r="AC36" s="29"/>
      <c r="AD36" s="29"/>
      <c r="AE36" s="29"/>
      <c r="AF36" s="29"/>
      <c r="AG36" s="29"/>
    </row>
    <row r="37" spans="1:33">
      <c r="A37" s="24" t="s">
        <v>554</v>
      </c>
      <c r="B37" s="470">
        <f>B31+B36</f>
        <v>2491</v>
      </c>
      <c r="C37" s="470">
        <f>C31+C36</f>
        <v>2253</v>
      </c>
      <c r="D37" s="470">
        <f t="shared" ref="D37:M37" si="15">D31+D36</f>
        <v>1878</v>
      </c>
      <c r="E37" s="470">
        <f t="shared" si="15"/>
        <v>1695</v>
      </c>
      <c r="F37" s="470">
        <f t="shared" si="15"/>
        <v>865</v>
      </c>
      <c r="G37" s="470">
        <f t="shared" si="15"/>
        <v>887</v>
      </c>
      <c r="H37" s="470">
        <f t="shared" si="15"/>
        <v>968</v>
      </c>
      <c r="I37" s="470">
        <f t="shared" si="15"/>
        <v>846</v>
      </c>
      <c r="J37" s="470">
        <f t="shared" si="15"/>
        <v>1177</v>
      </c>
      <c r="K37" s="470">
        <f t="shared" si="15"/>
        <v>1121</v>
      </c>
      <c r="L37" s="470">
        <f t="shared" si="15"/>
        <v>0</v>
      </c>
      <c r="M37" s="470">
        <f t="shared" si="15"/>
        <v>0</v>
      </c>
      <c r="N37" s="39" t="s">
        <v>620</v>
      </c>
      <c r="O37"/>
      <c r="P37"/>
      <c r="Z37" s="29"/>
      <c r="AA37" s="29"/>
      <c r="AB37" s="29"/>
      <c r="AC37" s="29"/>
      <c r="AD37" s="29"/>
      <c r="AE37" s="29"/>
      <c r="AF37" s="29"/>
      <c r="AG37" s="29"/>
    </row>
    <row r="38" spans="1:33" ht="15">
      <c r="A38" s="10" t="s">
        <v>40</v>
      </c>
      <c r="B38" s="470">
        <v>64166</v>
      </c>
      <c r="C38" s="470">
        <v>59268</v>
      </c>
      <c r="D38" s="470">
        <v>55556</v>
      </c>
      <c r="E38" s="470">
        <v>45400</v>
      </c>
      <c r="F38" s="470">
        <v>40830</v>
      </c>
      <c r="G38" s="470">
        <v>36347</v>
      </c>
      <c r="H38" s="470">
        <v>33163</v>
      </c>
      <c r="I38" s="470">
        <v>33017</v>
      </c>
      <c r="J38" s="470">
        <v>33024</v>
      </c>
      <c r="K38" s="470">
        <v>30283</v>
      </c>
      <c r="L38" s="470"/>
      <c r="M38" s="470"/>
      <c r="N38" s="39" t="s">
        <v>620</v>
      </c>
      <c r="O38" t="s">
        <v>40</v>
      </c>
      <c r="P38"/>
      <c r="Q38" s="24" t="s">
        <v>621</v>
      </c>
      <c r="R38" s="24" t="s">
        <v>632</v>
      </c>
      <c r="Z38" s="29">
        <v>15322</v>
      </c>
      <c r="AA38" s="29">
        <v>16090</v>
      </c>
      <c r="AB38" s="29">
        <f>16577</f>
        <v>16577</v>
      </c>
      <c r="AC38" s="29">
        <v>17075</v>
      </c>
      <c r="AD38" s="29">
        <v>16461</v>
      </c>
      <c r="AE38" s="29">
        <v>14395</v>
      </c>
      <c r="AF38" s="29">
        <v>12539</v>
      </c>
      <c r="AG38" s="29">
        <v>12386</v>
      </c>
    </row>
    <row r="39" spans="1:33">
      <c r="B39" s="470"/>
      <c r="C39" s="470"/>
      <c r="D39" s="470"/>
      <c r="E39" s="470"/>
      <c r="F39" s="470"/>
      <c r="G39" s="470"/>
      <c r="H39" s="470"/>
      <c r="I39" s="470"/>
      <c r="J39" s="470"/>
      <c r="K39" s="470"/>
      <c r="L39" s="470"/>
      <c r="M39" s="470"/>
      <c r="N39" s="39" t="s">
        <v>620</v>
      </c>
      <c r="O39"/>
      <c r="P39"/>
      <c r="Z39" s="26">
        <f t="shared" ref="Z39:AG39" si="16">Z40-SUM(Z30:Z38)</f>
        <v>14512</v>
      </c>
      <c r="AA39" s="26">
        <f t="shared" si="16"/>
        <v>15585</v>
      </c>
      <c r="AB39" s="26">
        <f t="shared" si="16"/>
        <v>15786</v>
      </c>
      <c r="AC39" s="26">
        <f t="shared" si="16"/>
        <v>15616</v>
      </c>
      <c r="AD39" s="26">
        <f t="shared" si="16"/>
        <v>17947</v>
      </c>
      <c r="AE39" s="26">
        <f t="shared" si="16"/>
        <v>18419</v>
      </c>
      <c r="AF39" s="26">
        <f t="shared" si="16"/>
        <v>9453</v>
      </c>
      <c r="AG39" s="26">
        <f t="shared" si="16"/>
        <v>9263</v>
      </c>
    </row>
    <row r="40" spans="1:33" ht="15">
      <c r="B40" s="567"/>
      <c r="C40" s="470"/>
      <c r="D40" s="470"/>
      <c r="E40" s="470"/>
      <c r="F40" s="470"/>
      <c r="G40" s="470"/>
      <c r="H40" s="470"/>
      <c r="I40" s="470"/>
      <c r="J40" s="470"/>
      <c r="K40" s="470"/>
      <c r="L40" s="470"/>
      <c r="M40" s="470"/>
      <c r="N40" s="39" t="s">
        <v>620</v>
      </c>
      <c r="O40"/>
      <c r="P40"/>
      <c r="Q40" s="24" t="s">
        <v>621</v>
      </c>
      <c r="R40" s="24" t="s">
        <v>633</v>
      </c>
      <c r="Z40" s="40">
        <v>74704</v>
      </c>
      <c r="AA40" s="40">
        <v>78342</v>
      </c>
      <c r="AB40" s="40">
        <v>84681</v>
      </c>
      <c r="AC40" s="40">
        <v>84896</v>
      </c>
      <c r="AD40" s="40">
        <v>89356</v>
      </c>
      <c r="AE40" s="40">
        <v>81446</v>
      </c>
      <c r="AF40" s="40">
        <v>64020</v>
      </c>
      <c r="AG40" s="40">
        <v>60038</v>
      </c>
    </row>
    <row r="41" spans="1:33" ht="15">
      <c r="A41" s="126" t="s">
        <v>634</v>
      </c>
      <c r="B41" s="350"/>
      <c r="C41" s="350"/>
      <c r="D41" s="350"/>
      <c r="E41" s="350"/>
      <c r="F41" s="350"/>
      <c r="G41" s="350"/>
      <c r="H41" s="350"/>
      <c r="I41" s="350"/>
      <c r="J41" s="350"/>
      <c r="K41" s="350"/>
      <c r="L41" s="350"/>
      <c r="M41" s="350"/>
      <c r="N41" s="39" t="s">
        <v>620</v>
      </c>
      <c r="O41"/>
      <c r="P41"/>
      <c r="Z41" s="31"/>
      <c r="AA41" s="31"/>
      <c r="AB41" s="31"/>
      <c r="AC41" s="31"/>
      <c r="AD41" s="31"/>
      <c r="AE41" s="31"/>
      <c r="AF41" s="31"/>
      <c r="AG41" s="31"/>
    </row>
    <row r="42" spans="1:33" ht="15">
      <c r="A42" s="10" t="s">
        <v>288</v>
      </c>
      <c r="B42" s="350">
        <v>31998</v>
      </c>
      <c r="C42" s="350">
        <v>29441</v>
      </c>
      <c r="D42" s="350">
        <v>24844</v>
      </c>
      <c r="E42" s="350">
        <v>23237</v>
      </c>
      <c r="F42" s="350">
        <v>19926</v>
      </c>
      <c r="G42" s="350">
        <v>17495</v>
      </c>
      <c r="H42" s="350">
        <v>15575</v>
      </c>
      <c r="I42" s="350">
        <v>16539</v>
      </c>
      <c r="J42" s="350">
        <v>14412</v>
      </c>
      <c r="K42" s="350">
        <v>13257</v>
      </c>
      <c r="L42" s="350"/>
      <c r="M42" s="350"/>
      <c r="N42" s="39" t="s">
        <v>620</v>
      </c>
      <c r="O42" t="s">
        <v>288</v>
      </c>
      <c r="P42"/>
      <c r="Z42" s="31"/>
      <c r="AA42" s="31"/>
      <c r="AB42" s="31"/>
      <c r="AC42" s="31"/>
      <c r="AD42" s="31"/>
      <c r="AE42" s="31"/>
      <c r="AF42" s="31"/>
      <c r="AG42" s="31"/>
    </row>
    <row r="43" spans="1:33" ht="15">
      <c r="A43" s="123" t="s">
        <v>635</v>
      </c>
      <c r="B43" s="351">
        <v>17848</v>
      </c>
      <c r="C43" s="351">
        <v>16278</v>
      </c>
      <c r="D43" s="351">
        <v>14172</v>
      </c>
      <c r="E43" s="351">
        <v>11679</v>
      </c>
      <c r="F43" s="351">
        <v>11237</v>
      </c>
      <c r="G43" s="351">
        <v>9608</v>
      </c>
      <c r="H43" s="351">
        <v>7612</v>
      </c>
      <c r="I43" s="351">
        <v>9011</v>
      </c>
      <c r="J43" s="351">
        <v>8491</v>
      </c>
      <c r="K43" s="351">
        <v>7872</v>
      </c>
      <c r="L43" s="351"/>
      <c r="M43" s="351"/>
      <c r="N43" s="39"/>
      <c r="O43"/>
      <c r="P43"/>
      <c r="Z43" s="38"/>
      <c r="AA43" s="38"/>
      <c r="AB43" s="38"/>
      <c r="AC43" s="38"/>
      <c r="AD43" s="38"/>
      <c r="AE43" s="37"/>
      <c r="AF43" s="37"/>
      <c r="AG43" s="37"/>
    </row>
    <row r="44" spans="1:33" s="10" customFormat="1" ht="15">
      <c r="A44" s="28" t="s">
        <v>556</v>
      </c>
      <c r="B44" s="351">
        <v>73</v>
      </c>
      <c r="C44" s="351">
        <v>799</v>
      </c>
      <c r="D44" s="351">
        <v>95</v>
      </c>
      <c r="E44" s="351">
        <v>1699</v>
      </c>
      <c r="F44" s="351">
        <v>90</v>
      </c>
      <c r="G44" s="351">
        <v>86</v>
      </c>
      <c r="H44" s="351">
        <v>1100</v>
      </c>
      <c r="I44" s="351">
        <v>1283</v>
      </c>
      <c r="J44" s="351">
        <v>0</v>
      </c>
      <c r="K44" s="351">
        <v>0</v>
      </c>
      <c r="L44" s="351"/>
      <c r="M44" s="351"/>
      <c r="N44" s="39" t="s">
        <v>620</v>
      </c>
      <c r="O44" t="s">
        <v>636</v>
      </c>
      <c r="P44"/>
      <c r="Q44" s="24" t="s">
        <v>621</v>
      </c>
      <c r="R44" s="10" t="s">
        <v>637</v>
      </c>
      <c r="Z44" s="40">
        <v>26132</v>
      </c>
      <c r="AA44" s="40">
        <v>26242</v>
      </c>
      <c r="AB44" s="40">
        <v>27877</v>
      </c>
      <c r="AC44" s="40">
        <v>27297</v>
      </c>
      <c r="AD44" s="40">
        <v>29415</v>
      </c>
      <c r="AE44" s="40">
        <f>93+3895+8161+3386+2410+2691+298+1967+558+5102</f>
        <v>28561</v>
      </c>
      <c r="AF44" s="40">
        <f>204+3852+5856+2880+1670+1831+281+1521+495+3430</f>
        <v>22020</v>
      </c>
      <c r="AG44" s="40">
        <f>433+3650+2993+3351+797+1217+262+888+302+5399</f>
        <v>19292</v>
      </c>
    </row>
    <row r="45" spans="1:33" s="10" customFormat="1" ht="15">
      <c r="A45" s="28" t="s">
        <v>557</v>
      </c>
      <c r="B45" s="351">
        <v>484</v>
      </c>
      <c r="C45" s="351">
        <v>294</v>
      </c>
      <c r="D45" s="351">
        <v>262</v>
      </c>
      <c r="E45" s="351">
        <v>51</v>
      </c>
      <c r="F45" s="351" t="s">
        <v>68</v>
      </c>
      <c r="G45" s="351" t="s">
        <v>68</v>
      </c>
      <c r="H45" s="351" t="s">
        <v>68</v>
      </c>
      <c r="I45" s="351" t="s">
        <v>68</v>
      </c>
      <c r="J45" s="351" t="s">
        <v>68</v>
      </c>
      <c r="K45" s="351" t="s">
        <v>68</v>
      </c>
      <c r="L45" s="351"/>
      <c r="M45" s="351"/>
      <c r="N45" s="39"/>
      <c r="O45"/>
      <c r="P45"/>
      <c r="Q45" s="24"/>
      <c r="Z45" s="40"/>
      <c r="AA45" s="40"/>
      <c r="AB45" s="40"/>
      <c r="AC45" s="40"/>
      <c r="AD45" s="40"/>
      <c r="AE45" s="40"/>
      <c r="AF45" s="40"/>
      <c r="AG45" s="40"/>
    </row>
    <row r="46" spans="1:33">
      <c r="A46" s="123" t="s">
        <v>558</v>
      </c>
      <c r="B46" s="351">
        <f>B42-SUM(B43:B45)</f>
        <v>13593</v>
      </c>
      <c r="C46" s="351">
        <f t="shared" ref="C46:M46" si="17">C42-SUM(C43:C45)</f>
        <v>12070</v>
      </c>
      <c r="D46" s="351">
        <f t="shared" si="17"/>
        <v>10315</v>
      </c>
      <c r="E46" s="351">
        <f t="shared" si="17"/>
        <v>9808</v>
      </c>
      <c r="F46" s="351">
        <f>F42-SUM(F43:F45)</f>
        <v>8599</v>
      </c>
      <c r="G46" s="351">
        <f t="shared" si="17"/>
        <v>7801</v>
      </c>
      <c r="H46" s="351">
        <f t="shared" si="17"/>
        <v>6863</v>
      </c>
      <c r="I46" s="351">
        <f t="shared" si="17"/>
        <v>6245</v>
      </c>
      <c r="J46" s="351">
        <f t="shared" si="17"/>
        <v>5921</v>
      </c>
      <c r="K46" s="351">
        <f t="shared" si="17"/>
        <v>5385</v>
      </c>
      <c r="L46" s="351">
        <f t="shared" si="17"/>
        <v>0</v>
      </c>
      <c r="M46" s="351">
        <f t="shared" si="17"/>
        <v>0</v>
      </c>
      <c r="N46" s="39" t="s">
        <v>620</v>
      </c>
      <c r="O46"/>
      <c r="P46"/>
      <c r="R46" s="24" t="s">
        <v>638</v>
      </c>
      <c r="Z46" s="33">
        <v>7303</v>
      </c>
      <c r="AA46" s="33">
        <v>6967</v>
      </c>
      <c r="AB46" s="33">
        <v>4708</v>
      </c>
      <c r="AC46" s="33">
        <v>3679</v>
      </c>
      <c r="AD46" s="33">
        <v>5287</v>
      </c>
      <c r="AE46" s="33">
        <v>5660</v>
      </c>
      <c r="AF46" s="33">
        <v>3925</v>
      </c>
      <c r="AG46" s="33">
        <v>5701</v>
      </c>
    </row>
    <row r="47" spans="1:33" ht="15">
      <c r="A47" s="10" t="s">
        <v>559</v>
      </c>
      <c r="B47" s="350">
        <f>B51-B42</f>
        <v>11521</v>
      </c>
      <c r="C47" s="350">
        <f t="shared" ref="C47:K47" si="18">C51-C42</f>
        <v>11749</v>
      </c>
      <c r="D47" s="350">
        <f t="shared" si="18"/>
        <v>12007</v>
      </c>
      <c r="E47" s="350">
        <f t="shared" si="18"/>
        <v>6579</v>
      </c>
      <c r="F47" s="350">
        <f t="shared" si="18"/>
        <v>7801</v>
      </c>
      <c r="G47" s="350">
        <f t="shared" si="18"/>
        <v>7773</v>
      </c>
      <c r="H47" s="350">
        <f t="shared" si="18"/>
        <v>5256</v>
      </c>
      <c r="I47" s="350">
        <f t="shared" si="18"/>
        <v>5635</v>
      </c>
      <c r="J47" s="350">
        <f t="shared" si="18"/>
        <v>6097</v>
      </c>
      <c r="K47" s="350">
        <f t="shared" si="18"/>
        <v>6014</v>
      </c>
      <c r="L47" s="470"/>
      <c r="M47" s="470"/>
      <c r="N47" s="39" t="s">
        <v>620</v>
      </c>
      <c r="O47" t="s">
        <v>639</v>
      </c>
      <c r="P47"/>
      <c r="Z47" s="33"/>
      <c r="AA47" s="33"/>
      <c r="AB47" s="33"/>
      <c r="AC47" s="33"/>
      <c r="AD47" s="33"/>
      <c r="AE47" s="33"/>
      <c r="AF47" s="33"/>
      <c r="AG47" s="33"/>
    </row>
    <row r="48" spans="1:33">
      <c r="A48" s="28" t="s">
        <v>560</v>
      </c>
      <c r="B48" s="351">
        <v>6484</v>
      </c>
      <c r="C48" s="351">
        <v>6692</v>
      </c>
      <c r="D48" s="351">
        <v>7514</v>
      </c>
      <c r="E48" s="351">
        <v>5124</v>
      </c>
      <c r="F48" s="351">
        <v>6487</v>
      </c>
      <c r="G48" s="351">
        <v>6573</v>
      </c>
      <c r="H48" s="351">
        <v>4061</v>
      </c>
      <c r="I48" s="351">
        <v>4852</v>
      </c>
      <c r="J48" s="351">
        <v>5093</v>
      </c>
      <c r="K48" s="351">
        <v>4998</v>
      </c>
      <c r="L48" s="351"/>
      <c r="M48" s="351"/>
      <c r="N48" s="39" t="s">
        <v>620</v>
      </c>
      <c r="O48" t="s">
        <v>640</v>
      </c>
      <c r="P48"/>
      <c r="Z48" s="26">
        <f t="shared" ref="Z48:AG48" si="19">Z44-Z46</f>
        <v>18829</v>
      </c>
      <c r="AA48" s="26">
        <f t="shared" si="19"/>
        <v>19275</v>
      </c>
      <c r="AB48" s="26">
        <f t="shared" si="19"/>
        <v>23169</v>
      </c>
      <c r="AC48" s="26">
        <f t="shared" si="19"/>
        <v>23618</v>
      </c>
      <c r="AD48" s="26">
        <f t="shared" si="19"/>
        <v>24128</v>
      </c>
      <c r="AE48" s="26">
        <f t="shared" si="19"/>
        <v>22901</v>
      </c>
      <c r="AF48" s="26">
        <f t="shared" si="19"/>
        <v>18095</v>
      </c>
      <c r="AG48" s="26">
        <f t="shared" si="19"/>
        <v>13591</v>
      </c>
    </row>
    <row r="49" spans="1:33" s="10" customFormat="1" ht="15">
      <c r="A49" s="28" t="s">
        <v>561</v>
      </c>
      <c r="B49" s="351">
        <v>3865</v>
      </c>
      <c r="C49" s="351">
        <v>3622</v>
      </c>
      <c r="D49" s="351">
        <v>3215</v>
      </c>
      <c r="E49" s="351">
        <v>370</v>
      </c>
      <c r="F49" s="351" t="s">
        <v>68</v>
      </c>
      <c r="G49" s="351" t="s">
        <v>68</v>
      </c>
      <c r="H49" s="351" t="s">
        <v>68</v>
      </c>
      <c r="I49" s="351" t="s">
        <v>68</v>
      </c>
      <c r="J49" s="351" t="s">
        <v>68</v>
      </c>
      <c r="K49" s="351" t="s">
        <v>68</v>
      </c>
      <c r="L49" s="351"/>
      <c r="M49" s="351"/>
      <c r="N49" s="39"/>
      <c r="O49"/>
      <c r="P49"/>
      <c r="Q49" s="24" t="s">
        <v>621</v>
      </c>
      <c r="R49" s="10" t="s">
        <v>641</v>
      </c>
      <c r="Z49" s="40">
        <f>61491-Z44</f>
        <v>35359</v>
      </c>
      <c r="AA49" s="40">
        <f>63457-AA44</f>
        <v>37215</v>
      </c>
      <c r="AB49" s="40">
        <f>67855-AB44</f>
        <v>39978</v>
      </c>
      <c r="AC49" s="40">
        <v>36721</v>
      </c>
      <c r="AD49" s="40">
        <v>41973</v>
      </c>
      <c r="AE49" s="40">
        <f>8415+16529+10956+3583</f>
        <v>39483</v>
      </c>
      <c r="AF49" s="40">
        <f>4505+15932+7584+2654</f>
        <v>30675</v>
      </c>
      <c r="AG49" s="40">
        <f>5652+16195+7420+2179</f>
        <v>31446</v>
      </c>
    </row>
    <row r="50" spans="1:33">
      <c r="A50" s="123" t="s">
        <v>562</v>
      </c>
      <c r="B50" s="351">
        <f>B47-SUM(B48:B49)</f>
        <v>1172</v>
      </c>
      <c r="C50" s="351">
        <f t="shared" ref="C50:M50" si="20">C47-SUM(C48:C49)</f>
        <v>1435</v>
      </c>
      <c r="D50" s="351">
        <f t="shared" si="20"/>
        <v>1278</v>
      </c>
      <c r="E50" s="351">
        <f t="shared" si="20"/>
        <v>1085</v>
      </c>
      <c r="F50" s="351">
        <f t="shared" si="20"/>
        <v>1314</v>
      </c>
      <c r="G50" s="351">
        <f t="shared" si="20"/>
        <v>1200</v>
      </c>
      <c r="H50" s="351">
        <f t="shared" si="20"/>
        <v>1195</v>
      </c>
      <c r="I50" s="351">
        <f t="shared" si="20"/>
        <v>783</v>
      </c>
      <c r="J50" s="351">
        <f t="shared" si="20"/>
        <v>1004</v>
      </c>
      <c r="K50" s="351">
        <f>K47-SUM(K48:K49)</f>
        <v>1016</v>
      </c>
      <c r="L50" s="351">
        <f t="shared" si="20"/>
        <v>0</v>
      </c>
      <c r="M50" s="351">
        <f t="shared" si="20"/>
        <v>0</v>
      </c>
      <c r="N50" s="39" t="s">
        <v>620</v>
      </c>
      <c r="O50" t="s">
        <v>642</v>
      </c>
      <c r="P50"/>
      <c r="R50" s="24" t="s">
        <v>643</v>
      </c>
      <c r="Z50" s="29">
        <v>22818</v>
      </c>
      <c r="AA50" s="29">
        <v>25169</v>
      </c>
      <c r="AB50" s="29">
        <v>27784</v>
      </c>
      <c r="AC50" s="29">
        <v>26719</v>
      </c>
      <c r="AD50" s="29">
        <v>27752</v>
      </c>
      <c r="AE50" s="29">
        <v>24944</v>
      </c>
      <c r="AF50" s="29">
        <v>20437</v>
      </c>
      <c r="AG50" s="29">
        <v>21847</v>
      </c>
    </row>
    <row r="51" spans="1:33" ht="15">
      <c r="A51" s="10" t="s">
        <v>46</v>
      </c>
      <c r="B51" s="350">
        <v>43519</v>
      </c>
      <c r="C51" s="350">
        <v>41190</v>
      </c>
      <c r="D51" s="350">
        <v>36851</v>
      </c>
      <c r="E51" s="350">
        <v>29816</v>
      </c>
      <c r="F51" s="350">
        <v>27727</v>
      </c>
      <c r="G51" s="350">
        <v>25268</v>
      </c>
      <c r="H51" s="350">
        <v>20831</v>
      </c>
      <c r="I51" s="350">
        <v>22174</v>
      </c>
      <c r="J51" s="350">
        <v>20509</v>
      </c>
      <c r="K51" s="350">
        <v>19271</v>
      </c>
      <c r="L51" s="350"/>
      <c r="M51" s="350"/>
      <c r="N51" s="39" t="s">
        <v>620</v>
      </c>
      <c r="O51" t="s">
        <v>46</v>
      </c>
      <c r="P51"/>
      <c r="Z51" s="29"/>
      <c r="AA51" s="29"/>
      <c r="AB51" s="29"/>
      <c r="AC51" s="29"/>
      <c r="AD51" s="29"/>
      <c r="AE51" s="29"/>
      <c r="AF51" s="29"/>
      <c r="AG51" s="29"/>
    </row>
    <row r="52" spans="1:33">
      <c r="B52" s="470"/>
      <c r="C52" s="470"/>
      <c r="D52" s="470"/>
      <c r="E52" s="470"/>
      <c r="F52" s="470"/>
      <c r="G52" s="470"/>
      <c r="H52" s="470"/>
      <c r="I52" s="470"/>
      <c r="J52" s="470"/>
      <c r="K52" s="470"/>
      <c r="L52" s="470"/>
      <c r="M52" s="470"/>
      <c r="N52" s="39" t="s">
        <v>620</v>
      </c>
      <c r="O52"/>
      <c r="P52"/>
      <c r="Z52" s="26">
        <f t="shared" ref="Z52:AG52" si="21">Z49-Z50</f>
        <v>12541</v>
      </c>
      <c r="AA52" s="26">
        <f t="shared" si="21"/>
        <v>12046</v>
      </c>
      <c r="AB52" s="26">
        <f t="shared" si="21"/>
        <v>12194</v>
      </c>
      <c r="AC52" s="26">
        <f t="shared" si="21"/>
        <v>10002</v>
      </c>
      <c r="AD52" s="26">
        <f t="shared" si="21"/>
        <v>14221</v>
      </c>
      <c r="AE52" s="26">
        <f t="shared" si="21"/>
        <v>14539</v>
      </c>
      <c r="AF52" s="26">
        <f t="shared" si="21"/>
        <v>10238</v>
      </c>
      <c r="AG52" s="26">
        <f t="shared" si="21"/>
        <v>9599</v>
      </c>
    </row>
    <row r="53" spans="1:33" s="10" customFormat="1" ht="15">
      <c r="A53" s="24"/>
      <c r="B53" s="470"/>
      <c r="C53" s="470"/>
      <c r="D53" s="470"/>
      <c r="E53" s="470"/>
      <c r="F53" s="470"/>
      <c r="G53" s="470"/>
      <c r="H53" s="470"/>
      <c r="I53" s="470"/>
      <c r="J53" s="470"/>
      <c r="K53" s="470"/>
      <c r="L53" s="470"/>
      <c r="M53" s="470"/>
      <c r="N53" s="39" t="s">
        <v>620</v>
      </c>
      <c r="O53"/>
      <c r="P53"/>
      <c r="Z53" s="37">
        <f>+Z49+Z44</f>
        <v>61491</v>
      </c>
      <c r="AA53" s="37">
        <f>+AA49+AA44</f>
        <v>63457</v>
      </c>
      <c r="AB53" s="37">
        <f>+AB49+AB44</f>
        <v>67855</v>
      </c>
      <c r="AC53" s="37">
        <f>AC44+AC49</f>
        <v>64018</v>
      </c>
      <c r="AD53" s="37">
        <f>AD49+AD44</f>
        <v>71388</v>
      </c>
      <c r="AE53" s="37">
        <f>AE49+AE44</f>
        <v>68044</v>
      </c>
      <c r="AF53" s="37">
        <f>AF49+AF44</f>
        <v>52695</v>
      </c>
      <c r="AG53" s="37">
        <f>AG49+AG44</f>
        <v>50738</v>
      </c>
    </row>
    <row r="54" spans="1:33" ht="15">
      <c r="A54" s="41" t="s">
        <v>564</v>
      </c>
      <c r="B54" s="351">
        <v>5</v>
      </c>
      <c r="C54" s="351">
        <v>514</v>
      </c>
      <c r="D54" s="351">
        <v>421</v>
      </c>
      <c r="E54" s="351">
        <v>341</v>
      </c>
      <c r="F54" s="351">
        <v>304</v>
      </c>
      <c r="G54" s="351">
        <v>301</v>
      </c>
      <c r="H54" s="351">
        <v>253</v>
      </c>
      <c r="I54" s="351">
        <v>226</v>
      </c>
      <c r="J54" s="351">
        <v>212</v>
      </c>
      <c r="K54" s="351">
        <v>179</v>
      </c>
      <c r="L54" s="473"/>
      <c r="M54" s="473"/>
      <c r="N54" s="39" t="s">
        <v>620</v>
      </c>
      <c r="O54" t="s">
        <v>564</v>
      </c>
      <c r="P54"/>
    </row>
    <row r="55" spans="1:33">
      <c r="B55" s="470"/>
      <c r="C55" s="470"/>
      <c r="D55" s="470"/>
      <c r="E55" s="470"/>
      <c r="F55" s="470"/>
      <c r="G55" s="470"/>
      <c r="H55" s="470"/>
      <c r="I55" s="470"/>
      <c r="J55" s="470"/>
      <c r="K55" s="470"/>
      <c r="L55" s="470"/>
      <c r="M55" s="470"/>
      <c r="N55" s="39" t="s">
        <v>620</v>
      </c>
      <c r="O55"/>
      <c r="P55"/>
    </row>
    <row r="56" spans="1:33" s="10" customFormat="1" ht="15">
      <c r="A56" s="10" t="s">
        <v>565</v>
      </c>
      <c r="B56" s="350">
        <f>B38-B51-B54</f>
        <v>20642</v>
      </c>
      <c r="C56" s="350">
        <f t="shared" ref="C56:M56" si="22">C38-C51-C54</f>
        <v>17564</v>
      </c>
      <c r="D56" s="350">
        <f t="shared" si="22"/>
        <v>18284</v>
      </c>
      <c r="E56" s="350">
        <f>E38-E51-E54</f>
        <v>15243</v>
      </c>
      <c r="F56" s="350">
        <f t="shared" si="22"/>
        <v>12799</v>
      </c>
      <c r="G56" s="350">
        <f t="shared" si="22"/>
        <v>10778</v>
      </c>
      <c r="H56" s="350">
        <f t="shared" si="22"/>
        <v>12079</v>
      </c>
      <c r="I56" s="350">
        <f t="shared" si="22"/>
        <v>10617</v>
      </c>
      <c r="J56" s="350">
        <f>J38-J51-J54</f>
        <v>12303</v>
      </c>
      <c r="K56" s="350">
        <f>K38-K51-K54</f>
        <v>10833</v>
      </c>
      <c r="L56" s="350">
        <f t="shared" si="22"/>
        <v>0</v>
      </c>
      <c r="M56" s="350">
        <f t="shared" si="22"/>
        <v>0</v>
      </c>
      <c r="N56" s="39" t="s">
        <v>620</v>
      </c>
      <c r="O56"/>
      <c r="P56"/>
      <c r="Q56" s="24" t="s">
        <v>621</v>
      </c>
      <c r="R56" s="10" t="s">
        <v>644</v>
      </c>
    </row>
    <row r="57" spans="1:33" ht="15">
      <c r="A57" s="10"/>
      <c r="B57" s="350"/>
      <c r="C57" s="350"/>
      <c r="D57" s="350"/>
      <c r="E57" s="350"/>
      <c r="F57" s="350"/>
      <c r="G57" s="350"/>
      <c r="H57" s="350"/>
      <c r="I57" s="350"/>
      <c r="J57" s="350"/>
      <c r="K57" s="350"/>
      <c r="L57" s="350"/>
      <c r="M57" s="350"/>
      <c r="N57" s="39"/>
      <c r="O57"/>
      <c r="P57"/>
    </row>
    <row r="58" spans="1:33" ht="15">
      <c r="A58" s="55" t="s">
        <v>645</v>
      </c>
      <c r="B58" s="350"/>
      <c r="C58" s="350"/>
      <c r="D58" s="350"/>
      <c r="E58" s="350"/>
      <c r="F58" s="350"/>
      <c r="G58" s="350"/>
      <c r="H58" s="350"/>
      <c r="I58" s="350"/>
      <c r="J58" s="350"/>
      <c r="K58" s="350"/>
      <c r="L58" s="350"/>
      <c r="M58" s="350"/>
      <c r="N58" s="39"/>
      <c r="O58"/>
      <c r="P58"/>
    </row>
    <row r="59" spans="1:33" ht="15">
      <c r="A59" s="10" t="s">
        <v>130</v>
      </c>
      <c r="B59" s="350">
        <v>7392</v>
      </c>
      <c r="C59" s="350">
        <v>8958</v>
      </c>
      <c r="D59" s="350">
        <v>8861</v>
      </c>
      <c r="E59" s="350">
        <v>6356</v>
      </c>
      <c r="F59" s="350">
        <v>5774</v>
      </c>
      <c r="G59" s="350">
        <v>6726</v>
      </c>
      <c r="H59" s="350">
        <v>3292</v>
      </c>
      <c r="I59" s="350">
        <v>4285</v>
      </c>
      <c r="J59" s="350">
        <v>3984</v>
      </c>
      <c r="K59" s="350">
        <v>3437</v>
      </c>
      <c r="L59" s="350"/>
      <c r="M59" s="350"/>
      <c r="N59" s="39"/>
      <c r="O59"/>
      <c r="P59"/>
    </row>
    <row r="60" spans="1:33">
      <c r="A60" s="28" t="s">
        <v>65</v>
      </c>
      <c r="B60" s="351">
        <v>5844</v>
      </c>
      <c r="C60" s="351">
        <v>5007</v>
      </c>
      <c r="D60" s="351">
        <v>4002</v>
      </c>
      <c r="E60" s="351">
        <v>3659</v>
      </c>
      <c r="F60" s="351">
        <v>3134</v>
      </c>
      <c r="G60" s="351">
        <v>2679</v>
      </c>
      <c r="H60" s="351">
        <v>2350</v>
      </c>
      <c r="I60" s="351">
        <v>2377</v>
      </c>
      <c r="J60" s="351">
        <v>2058</v>
      </c>
      <c r="K60" s="351">
        <v>2039</v>
      </c>
      <c r="L60" s="351"/>
      <c r="M60" s="351"/>
      <c r="N60" s="39"/>
      <c r="O60"/>
      <c r="P60"/>
    </row>
    <row r="61" spans="1:33">
      <c r="A61" s="123" t="s">
        <v>56</v>
      </c>
      <c r="B61" s="351">
        <v>1900</v>
      </c>
      <c r="C61" s="351">
        <v>1781</v>
      </c>
      <c r="D61" s="351">
        <v>1645</v>
      </c>
      <c r="E61" s="351">
        <v>1492</v>
      </c>
      <c r="F61" s="351">
        <v>1437</v>
      </c>
      <c r="G61" s="351">
        <v>1370</v>
      </c>
      <c r="H61" s="351">
        <v>1255</v>
      </c>
      <c r="I61" s="351">
        <v>1127</v>
      </c>
      <c r="J61" s="351">
        <v>1029</v>
      </c>
      <c r="K61" s="351">
        <v>946</v>
      </c>
      <c r="L61" s="351"/>
      <c r="M61" s="351"/>
      <c r="N61" s="39"/>
      <c r="O61"/>
      <c r="P61"/>
    </row>
    <row r="62" spans="1:33">
      <c r="A62" s="123" t="s">
        <v>646</v>
      </c>
      <c r="B62" s="351">
        <f>B59-B60-B61-B63</f>
        <v>-952</v>
      </c>
      <c r="C62" s="351">
        <f>C59-C60-C61-C63</f>
        <v>1683</v>
      </c>
      <c r="D62" s="351">
        <f t="shared" ref="D62:H62" si="23">D59-D60-D61-D63</f>
        <v>2712</v>
      </c>
      <c r="E62" s="351">
        <f t="shared" si="23"/>
        <v>808</v>
      </c>
      <c r="F62" s="351">
        <f t="shared" si="23"/>
        <v>1002</v>
      </c>
      <c r="G62" s="351">
        <f t="shared" si="23"/>
        <v>2687</v>
      </c>
      <c r="H62" s="351">
        <f t="shared" si="23"/>
        <v>-305</v>
      </c>
      <c r="I62" s="351">
        <f>I59-I60-I61-I63</f>
        <v>543</v>
      </c>
      <c r="J62" s="351">
        <f t="shared" ref="J62" si="24">J59-J60-J61-J63</f>
        <v>971</v>
      </c>
      <c r="K62" s="351">
        <f t="shared" ref="K62" si="25">K59-K60-K61-K63</f>
        <v>463</v>
      </c>
      <c r="L62" s="351"/>
      <c r="M62" s="351"/>
      <c r="N62" s="39"/>
      <c r="O62"/>
      <c r="P62"/>
    </row>
    <row r="63" spans="1:33">
      <c r="A63" s="123" t="s">
        <v>647</v>
      </c>
      <c r="B63" s="351">
        <v>600</v>
      </c>
      <c r="C63" s="351">
        <v>487</v>
      </c>
      <c r="D63" s="351">
        <v>502</v>
      </c>
      <c r="E63" s="351">
        <v>397</v>
      </c>
      <c r="F63" s="351">
        <v>201</v>
      </c>
      <c r="G63" s="351">
        <v>-10</v>
      </c>
      <c r="H63" s="351">
        <v>-8</v>
      </c>
      <c r="I63" s="351">
        <v>238</v>
      </c>
      <c r="J63" s="351">
        <v>-74</v>
      </c>
      <c r="K63" s="351">
        <v>-11</v>
      </c>
      <c r="L63" s="351">
        <f t="shared" ref="L63:M63" si="26">L59-L60-L61-L62</f>
        <v>0</v>
      </c>
      <c r="M63" s="351">
        <f t="shared" si="26"/>
        <v>0</v>
      </c>
      <c r="N63" s="39"/>
      <c r="O63"/>
      <c r="P63"/>
    </row>
    <row r="64" spans="1:33" ht="15">
      <c r="A64" s="10" t="s">
        <v>131</v>
      </c>
      <c r="B64" s="350">
        <v>-3915</v>
      </c>
      <c r="C64" s="350">
        <v>-3535</v>
      </c>
      <c r="D64" s="350">
        <v>-3891</v>
      </c>
      <c r="E64" s="350">
        <v>-2865</v>
      </c>
      <c r="F64" s="350">
        <v>-2947</v>
      </c>
      <c r="G64" s="350">
        <v>-2366</v>
      </c>
      <c r="H64" s="350">
        <v>-2345</v>
      </c>
      <c r="I64" s="350">
        <v>-2480</v>
      </c>
      <c r="J64" s="350">
        <v>-2093</v>
      </c>
      <c r="K64" s="350">
        <v>-2251</v>
      </c>
      <c r="L64" s="350"/>
      <c r="M64" s="350"/>
      <c r="N64" s="39"/>
      <c r="O64"/>
      <c r="P64"/>
    </row>
    <row r="65" spans="1:16">
      <c r="A65" s="123" t="s">
        <v>132</v>
      </c>
      <c r="B65" s="351">
        <v>-3891</v>
      </c>
      <c r="C65" s="351">
        <v>-3588</v>
      </c>
      <c r="D65" s="351">
        <v>-2810</v>
      </c>
      <c r="E65" s="351">
        <v>-2998</v>
      </c>
      <c r="F65" s="351">
        <v>-2969</v>
      </c>
      <c r="G65" s="351">
        <v>-2502</v>
      </c>
      <c r="H65" s="351">
        <v>-2649</v>
      </c>
      <c r="I65" s="351">
        <v>-2393</v>
      </c>
      <c r="J65" s="351">
        <v>-1993</v>
      </c>
      <c r="K65" s="351">
        <v>-2083</v>
      </c>
      <c r="L65" s="351"/>
      <c r="M65" s="351"/>
      <c r="N65" s="39"/>
      <c r="O65"/>
      <c r="P65"/>
    </row>
    <row r="66" spans="1:16">
      <c r="A66" s="123" t="s">
        <v>133</v>
      </c>
      <c r="B66" s="351">
        <f>B64-B65-B67</f>
        <v>3</v>
      </c>
      <c r="C66" s="351">
        <f t="shared" ref="C66:K66" si="27">C64-C65-C67</f>
        <v>101</v>
      </c>
      <c r="D66" s="768">
        <f t="shared" si="27"/>
        <v>-1019</v>
      </c>
      <c r="E66" s="351">
        <f t="shared" si="27"/>
        <v>163</v>
      </c>
      <c r="F66" s="351">
        <f t="shared" si="27"/>
        <v>26</v>
      </c>
      <c r="G66" s="351">
        <f t="shared" si="27"/>
        <v>132</v>
      </c>
      <c r="H66" s="351">
        <f t="shared" si="27"/>
        <v>274</v>
      </c>
      <c r="I66" s="351">
        <f t="shared" si="27"/>
        <v>-114</v>
      </c>
      <c r="J66" s="351">
        <f t="shared" si="27"/>
        <v>-80</v>
      </c>
      <c r="K66" s="351">
        <f t="shared" si="27"/>
        <v>-165</v>
      </c>
      <c r="L66" s="351"/>
      <c r="M66" s="351"/>
      <c r="N66" s="39"/>
      <c r="O66"/>
      <c r="P66"/>
    </row>
    <row r="67" spans="1:16">
      <c r="A67" s="123" t="s">
        <v>648</v>
      </c>
      <c r="B67" s="351">
        <v>-27</v>
      </c>
      <c r="C67" s="351">
        <v>-48</v>
      </c>
      <c r="D67" s="351">
        <v>-62</v>
      </c>
      <c r="E67" s="351">
        <v>-30</v>
      </c>
      <c r="F67" s="351">
        <v>-4</v>
      </c>
      <c r="G67" s="351">
        <v>4</v>
      </c>
      <c r="H67" s="351">
        <v>30</v>
      </c>
      <c r="I67" s="351">
        <v>27</v>
      </c>
      <c r="J67" s="351">
        <v>-20</v>
      </c>
      <c r="K67" s="351">
        <v>-3</v>
      </c>
      <c r="L67" s="351">
        <v>41</v>
      </c>
      <c r="M67" s="351">
        <v>28</v>
      </c>
      <c r="N67" s="39"/>
      <c r="O67"/>
      <c r="P67"/>
    </row>
    <row r="68" spans="1:16" ht="15">
      <c r="A68" s="10" t="s">
        <v>134</v>
      </c>
      <c r="B68" s="350">
        <v>-3890</v>
      </c>
      <c r="C68" s="350">
        <v>-4283</v>
      </c>
      <c r="D68" s="350">
        <v>-6488</v>
      </c>
      <c r="E68" s="350">
        <v>-1147</v>
      </c>
      <c r="F68" s="350">
        <v>-1147</v>
      </c>
      <c r="G68" s="350">
        <v>-1281</v>
      </c>
      <c r="H68" s="350">
        <v>-3218</v>
      </c>
      <c r="I68" s="350">
        <v>-2419</v>
      </c>
      <c r="J68" s="350">
        <v>-2324</v>
      </c>
      <c r="K68" s="350">
        <v>-786</v>
      </c>
      <c r="L68" s="350"/>
      <c r="M68" s="350"/>
      <c r="N68" s="39"/>
      <c r="O68"/>
      <c r="P68"/>
    </row>
    <row r="69" spans="1:16">
      <c r="A69" s="123" t="s">
        <v>649</v>
      </c>
      <c r="B69" s="351">
        <v>0</v>
      </c>
      <c r="C69" s="351">
        <v>0</v>
      </c>
      <c r="D69" s="351">
        <v>3992</v>
      </c>
      <c r="E69" s="351">
        <v>508</v>
      </c>
      <c r="F69" s="351">
        <v>80</v>
      </c>
      <c r="G69" s="351">
        <v>3782</v>
      </c>
      <c r="H69" s="351">
        <v>372</v>
      </c>
      <c r="I69" s="351">
        <v>1176</v>
      </c>
      <c r="J69" s="351">
        <v>281</v>
      </c>
      <c r="K69" s="351">
        <v>4043</v>
      </c>
      <c r="L69" s="351"/>
      <c r="M69" s="351"/>
      <c r="N69" s="39"/>
      <c r="O69"/>
      <c r="P69"/>
    </row>
    <row r="70" spans="1:16">
      <c r="A70" s="123" t="s">
        <v>650</v>
      </c>
      <c r="B70" s="351">
        <v>-800</v>
      </c>
      <c r="C70" s="351">
        <v>-94</v>
      </c>
      <c r="D70" s="351">
        <v>-3200</v>
      </c>
      <c r="E70" s="351">
        <v>-89</v>
      </c>
      <c r="F70" s="351">
        <v>-86</v>
      </c>
      <c r="G70" s="351">
        <v>-2436</v>
      </c>
      <c r="H70" s="351">
        <v>-1394</v>
      </c>
      <c r="I70" s="351">
        <v>-97</v>
      </c>
      <c r="J70" s="351">
        <v>-103</v>
      </c>
      <c r="K70" s="351">
        <v>-357</v>
      </c>
      <c r="L70" s="351"/>
      <c r="M70" s="351"/>
      <c r="N70" s="39"/>
      <c r="O70"/>
      <c r="P70"/>
    </row>
    <row r="71" spans="1:16">
      <c r="A71" s="123" t="s">
        <v>651</v>
      </c>
      <c r="B71" s="351"/>
      <c r="C71" s="351"/>
      <c r="D71" s="351"/>
      <c r="E71" s="351"/>
      <c r="F71" s="351"/>
      <c r="G71" s="351"/>
      <c r="H71" s="351"/>
      <c r="I71" s="351"/>
      <c r="J71" s="351"/>
      <c r="K71" s="351"/>
      <c r="L71" s="351"/>
      <c r="M71" s="351"/>
      <c r="N71" s="39"/>
      <c r="O71"/>
      <c r="P71"/>
    </row>
    <row r="72" spans="1:16">
      <c r="A72" s="123" t="s">
        <v>652</v>
      </c>
      <c r="B72" s="351"/>
      <c r="C72" s="351"/>
      <c r="D72" s="351"/>
      <c r="E72" s="351"/>
      <c r="F72" s="351"/>
      <c r="G72" s="351"/>
      <c r="H72" s="351"/>
      <c r="I72" s="351"/>
      <c r="J72" s="351"/>
      <c r="K72" s="351"/>
      <c r="L72" s="351"/>
      <c r="M72" s="351"/>
      <c r="N72" s="39"/>
      <c r="O72"/>
      <c r="P72"/>
    </row>
    <row r="73" spans="1:16">
      <c r="A73" s="123" t="s">
        <v>135</v>
      </c>
      <c r="B73" s="351">
        <v>-1498</v>
      </c>
      <c r="C73" s="351">
        <v>-1318</v>
      </c>
      <c r="D73" s="351">
        <v>-1479</v>
      </c>
      <c r="E73" s="351">
        <v>-1038</v>
      </c>
      <c r="F73" s="351">
        <v>-689</v>
      </c>
      <c r="G73" s="351">
        <v>-804</v>
      </c>
      <c r="H73" s="351">
        <v>-736</v>
      </c>
      <c r="I73" s="351">
        <v>-664</v>
      </c>
      <c r="J73" s="351">
        <v>-584</v>
      </c>
      <c r="K73" s="351">
        <v>-511</v>
      </c>
      <c r="L73" s="351"/>
      <c r="M73" s="351"/>
      <c r="N73" s="36" t="s">
        <v>653</v>
      </c>
      <c r="O73" t="s">
        <v>654</v>
      </c>
      <c r="P73"/>
    </row>
    <row r="74" spans="1:16">
      <c r="A74" s="123" t="s">
        <v>548</v>
      </c>
      <c r="B74" s="351">
        <v>-802</v>
      </c>
      <c r="C74" s="351">
        <v>-808</v>
      </c>
      <c r="D74" s="351">
        <v>-526</v>
      </c>
      <c r="E74" s="351">
        <v>-519</v>
      </c>
      <c r="F74" s="351">
        <v>-545</v>
      </c>
      <c r="G74" s="351">
        <v>-671</v>
      </c>
      <c r="H74" s="351">
        <v>-706</v>
      </c>
      <c r="I74" s="351">
        <v>-659</v>
      </c>
      <c r="J74" s="351">
        <v>-498</v>
      </c>
      <c r="K74" s="351">
        <v>-157</v>
      </c>
      <c r="L74" s="351"/>
      <c r="M74" s="351"/>
      <c r="N74" s="36" t="s">
        <v>653</v>
      </c>
      <c r="O74" t="str">
        <f>+A74</f>
        <v>Share buyback</v>
      </c>
      <c r="P74"/>
    </row>
    <row r="75" spans="1:16">
      <c r="A75" s="123" t="s">
        <v>648</v>
      </c>
      <c r="B75" s="351">
        <f>B68-B69-B70-B71-B72-B73-B74</f>
        <v>-790</v>
      </c>
      <c r="C75" s="351">
        <f t="shared" ref="C75:M75" si="28">C68-C69-C70-C71-C72-C73-C74</f>
        <v>-2063</v>
      </c>
      <c r="D75" s="351">
        <f t="shared" si="28"/>
        <v>-5275</v>
      </c>
      <c r="E75" s="351">
        <f t="shared" si="28"/>
        <v>-9</v>
      </c>
      <c r="F75" s="351">
        <f t="shared" si="28"/>
        <v>93</v>
      </c>
      <c r="G75" s="351">
        <f t="shared" si="28"/>
        <v>-1152</v>
      </c>
      <c r="H75" s="351">
        <f t="shared" si="28"/>
        <v>-754</v>
      </c>
      <c r="I75" s="351">
        <f t="shared" si="28"/>
        <v>-2175</v>
      </c>
      <c r="J75" s="351">
        <f t="shared" si="28"/>
        <v>-1420</v>
      </c>
      <c r="K75" s="351">
        <f t="shared" si="28"/>
        <v>-3804</v>
      </c>
      <c r="L75" s="351">
        <f t="shared" si="28"/>
        <v>0</v>
      </c>
      <c r="M75" s="351">
        <f t="shared" si="28"/>
        <v>0</v>
      </c>
      <c r="N75" s="39"/>
      <c r="O75"/>
      <c r="P75"/>
    </row>
    <row r="76" spans="1:16" ht="15">
      <c r="A76" s="10" t="s">
        <v>138</v>
      </c>
      <c r="B76" s="350">
        <v>-249</v>
      </c>
      <c r="C76" s="350">
        <v>46</v>
      </c>
      <c r="D76" s="350">
        <v>70</v>
      </c>
      <c r="E76" s="350">
        <v>-15</v>
      </c>
      <c r="F76" s="350">
        <v>-37</v>
      </c>
      <c r="G76" s="350">
        <v>25</v>
      </c>
      <c r="H76" s="350">
        <v>50</v>
      </c>
      <c r="I76" s="350">
        <v>-418</v>
      </c>
      <c r="J76" s="350">
        <v>-11</v>
      </c>
      <c r="K76" s="350">
        <v>-114</v>
      </c>
      <c r="L76" s="350"/>
      <c r="M76" s="350"/>
      <c r="N76" s="39"/>
      <c r="O76"/>
      <c r="P76"/>
    </row>
    <row r="77" spans="1:16" ht="15">
      <c r="A77" s="10" t="s">
        <v>566</v>
      </c>
      <c r="B77" s="350">
        <f>B59+B64+B68+B76</f>
        <v>-662</v>
      </c>
      <c r="C77" s="350">
        <f t="shared" ref="C77:M77" si="29">C59+C64+C68+C76</f>
        <v>1186</v>
      </c>
      <c r="D77" s="350">
        <f t="shared" si="29"/>
        <v>-1448</v>
      </c>
      <c r="E77" s="350">
        <f t="shared" si="29"/>
        <v>2329</v>
      </c>
      <c r="F77" s="350">
        <f t="shared" si="29"/>
        <v>1643</v>
      </c>
      <c r="G77" s="350">
        <f t="shared" si="29"/>
        <v>3104</v>
      </c>
      <c r="H77" s="350">
        <f t="shared" si="29"/>
        <v>-2221</v>
      </c>
      <c r="I77" s="350">
        <f t="shared" si="29"/>
        <v>-1032</v>
      </c>
      <c r="J77" s="350">
        <f t="shared" si="29"/>
        <v>-444</v>
      </c>
      <c r="K77" s="350">
        <f t="shared" si="29"/>
        <v>286</v>
      </c>
      <c r="L77" s="350">
        <f t="shared" si="29"/>
        <v>0</v>
      </c>
      <c r="M77" s="350">
        <f t="shared" si="29"/>
        <v>0</v>
      </c>
      <c r="N77" s="39"/>
      <c r="O77"/>
      <c r="P77"/>
    </row>
    <row r="78" spans="1:16">
      <c r="M78" s="26"/>
      <c r="N78"/>
      <c r="O78" t="s">
        <v>655</v>
      </c>
      <c r="P78"/>
    </row>
    <row r="79" spans="1:16" ht="15">
      <c r="A79" s="55" t="s">
        <v>656</v>
      </c>
      <c r="B79" s="55"/>
      <c r="C79" s="55"/>
      <c r="D79" s="55"/>
      <c r="E79" s="1017" t="s">
        <v>574</v>
      </c>
      <c r="F79" s="1017"/>
      <c r="G79" s="1017"/>
      <c r="H79" s="1017" t="s">
        <v>657</v>
      </c>
      <c r="I79" s="1017"/>
      <c r="J79" s="55" t="s">
        <v>576</v>
      </c>
      <c r="K79" s="55" t="s">
        <v>577</v>
      </c>
      <c r="L79" s="55" t="s">
        <v>578</v>
      </c>
      <c r="M79" s="37"/>
      <c r="N79"/>
      <c r="O79"/>
      <c r="P79"/>
    </row>
    <row r="80" spans="1:16">
      <c r="A80" s="28" t="s">
        <v>568</v>
      </c>
      <c r="B80" s="29">
        <v>304000</v>
      </c>
      <c r="C80" s="42" t="s">
        <v>658</v>
      </c>
      <c r="D80" s="26"/>
      <c r="E80" s="1014"/>
      <c r="F80" s="1014"/>
      <c r="G80" s="1014"/>
      <c r="H80" s="1015"/>
      <c r="I80" s="1015"/>
      <c r="J80" s="84"/>
      <c r="K80" s="83"/>
      <c r="L80" s="83"/>
      <c r="M80" s="26"/>
      <c r="N80" s="42" t="s">
        <v>659</v>
      </c>
      <c r="O80"/>
      <c r="P80"/>
    </row>
    <row r="81" spans="1:16">
      <c r="A81" s="28" t="s">
        <v>660</v>
      </c>
      <c r="B81" s="29">
        <v>442604</v>
      </c>
      <c r="C81" s="42" t="s">
        <v>661</v>
      </c>
      <c r="D81" s="26"/>
      <c r="E81" s="1014"/>
      <c r="F81" s="1014"/>
      <c r="G81" s="1014"/>
      <c r="H81" s="1015"/>
      <c r="I81" s="1015"/>
      <c r="J81" s="84"/>
      <c r="K81" s="83"/>
      <c r="L81" s="83"/>
      <c r="M81" s="26"/>
      <c r="N81" s="42" t="s">
        <v>659</v>
      </c>
      <c r="O81"/>
      <c r="P81"/>
    </row>
    <row r="82" spans="1:16">
      <c r="A82" s="28" t="s">
        <v>44</v>
      </c>
      <c r="B82" s="77">
        <f>OP!M20</f>
        <v>0.99738237617059688</v>
      </c>
      <c r="C82" s="42" t="s">
        <v>661</v>
      </c>
      <c r="D82" s="85"/>
      <c r="E82" s="1014"/>
      <c r="F82" s="1014"/>
      <c r="G82" s="1014"/>
      <c r="H82" s="1015"/>
      <c r="I82" s="1015"/>
      <c r="J82" s="84"/>
      <c r="K82" s="83"/>
      <c r="L82" s="83"/>
      <c r="M82" s="87"/>
      <c r="N82" s="42" t="s">
        <v>659</v>
      </c>
      <c r="O82"/>
      <c r="P82"/>
    </row>
    <row r="83" spans="1:16">
      <c r="A83" s="28" t="s">
        <v>49</v>
      </c>
      <c r="B83" s="79">
        <f>OP!M21</f>
        <v>2E-3</v>
      </c>
      <c r="C83" s="42" t="s">
        <v>661</v>
      </c>
      <c r="D83" s="86"/>
      <c r="E83" s="1014"/>
      <c r="F83" s="1014"/>
      <c r="G83" s="1014"/>
      <c r="H83" s="1015"/>
      <c r="I83" s="1015"/>
      <c r="J83" s="84"/>
      <c r="K83" s="83"/>
      <c r="L83" s="83"/>
      <c r="M83" s="87"/>
      <c r="N83" s="42" t="s">
        <v>659</v>
      </c>
      <c r="O83"/>
      <c r="P83"/>
    </row>
    <row r="84" spans="1:16">
      <c r="A84" s="28" t="s">
        <v>570</v>
      </c>
      <c r="B84" s="29">
        <f>OP!M22</f>
        <v>0.79</v>
      </c>
      <c r="C84" s="42" t="s">
        <v>658</v>
      </c>
      <c r="D84" s="26"/>
      <c r="E84" s="1014"/>
      <c r="F84" s="1014"/>
      <c r="G84" s="1014"/>
      <c r="H84" s="1015"/>
      <c r="I84" s="1015"/>
      <c r="J84" s="84"/>
      <c r="K84" s="83"/>
      <c r="L84" s="83"/>
      <c r="M84" s="26"/>
      <c r="N84" s="42" t="s">
        <v>659</v>
      </c>
      <c r="O84"/>
      <c r="P84"/>
    </row>
    <row r="85" spans="1:16">
      <c r="A85" s="28" t="s">
        <v>662</v>
      </c>
      <c r="B85" s="80">
        <f>Peers!C35</f>
        <v>18.103240965022767</v>
      </c>
      <c r="C85" s="42" t="s">
        <v>661</v>
      </c>
      <c r="D85" s="26"/>
      <c r="E85" s="1014"/>
      <c r="F85" s="1014"/>
      <c r="G85" s="1014"/>
      <c r="H85" s="1015"/>
      <c r="I85" s="1015"/>
      <c r="J85" s="83"/>
      <c r="K85" s="83"/>
      <c r="L85" s="83"/>
      <c r="M85" s="26"/>
      <c r="N85" s="42" t="s">
        <v>659</v>
      </c>
      <c r="O85"/>
    </row>
    <row r="86" spans="1:16">
      <c r="A86" s="28" t="s">
        <v>572</v>
      </c>
      <c r="B86" s="29"/>
      <c r="C86" s="42" t="s">
        <v>663</v>
      </c>
      <c r="D86" s="26"/>
      <c r="E86" s="1014"/>
      <c r="F86" s="1014"/>
      <c r="G86" s="1014"/>
      <c r="H86" s="1015"/>
      <c r="I86" s="1015"/>
      <c r="J86" s="83"/>
      <c r="K86" s="83"/>
      <c r="L86" s="83"/>
      <c r="M86" s="26"/>
      <c r="N86" s="42" t="s">
        <v>659</v>
      </c>
    </row>
    <row r="87" spans="1:16" ht="15">
      <c r="B87" s="55">
        <v>2020</v>
      </c>
      <c r="C87" s="55">
        <f>B87+1</f>
        <v>2021</v>
      </c>
      <c r="D87" s="55">
        <f>C87+1</f>
        <v>2022</v>
      </c>
      <c r="E87" s="43"/>
      <c r="G87" s="43"/>
      <c r="H87" s="43"/>
      <c r="I87" s="43"/>
      <c r="J87" s="43"/>
      <c r="K87" s="43"/>
      <c r="L87" s="43"/>
      <c r="M87" s="43"/>
      <c r="N87"/>
    </row>
    <row r="88" spans="1:16">
      <c r="A88" s="28" t="s">
        <v>573</v>
      </c>
      <c r="B88" s="78"/>
      <c r="E88" s="42" t="s">
        <v>663</v>
      </c>
      <c r="K88" s="24"/>
      <c r="L88" s="24"/>
      <c r="O88"/>
      <c r="P88"/>
    </row>
    <row r="89" spans="1:16" ht="15">
      <c r="A89" s="28" t="s">
        <v>71</v>
      </c>
      <c r="B89" s="81"/>
      <c r="C89" s="82"/>
      <c r="D89" s="82"/>
      <c r="E89" s="42" t="s">
        <v>663</v>
      </c>
      <c r="K89" s="24"/>
      <c r="L89" s="24"/>
      <c r="O89" s="55"/>
    </row>
    <row r="90" spans="1:16" ht="15">
      <c r="M90"/>
      <c r="N90" s="121"/>
      <c r="O90" s="55"/>
    </row>
    <row r="91" spans="1:16">
      <c r="J91" s="26"/>
      <c r="L91"/>
      <c r="M91"/>
      <c r="N91"/>
    </row>
    <row r="92" spans="1:16">
      <c r="J92" s="26"/>
      <c r="L92"/>
      <c r="M92"/>
      <c r="N92"/>
    </row>
    <row r="93" spans="1:16">
      <c r="J93" s="26"/>
      <c r="L93"/>
      <c r="M93"/>
      <c r="N93"/>
    </row>
    <row r="94" spans="1:16">
      <c r="J94" s="26"/>
      <c r="L94"/>
      <c r="M94"/>
      <c r="N94"/>
    </row>
    <row r="95" spans="1:16">
      <c r="J95" s="26"/>
      <c r="L95"/>
      <c r="M95"/>
      <c r="N95"/>
    </row>
    <row r="96" spans="1:16">
      <c r="J96" s="26"/>
      <c r="L96"/>
      <c r="M96"/>
      <c r="N96"/>
      <c r="O96"/>
    </row>
    <row r="97" spans="1:14">
      <c r="J97" s="26"/>
      <c r="L97"/>
      <c r="M97"/>
      <c r="N97"/>
    </row>
    <row r="98" spans="1:14">
      <c r="G98"/>
      <c r="M98"/>
      <c r="N98"/>
    </row>
    <row r="99" spans="1:14">
      <c r="A99"/>
      <c r="B99"/>
      <c r="C99"/>
      <c r="D99"/>
      <c r="E99"/>
      <c r="F99"/>
      <c r="G99"/>
    </row>
    <row r="100" spans="1:14">
      <c r="A100"/>
      <c r="B100"/>
      <c r="C100"/>
      <c r="D100"/>
      <c r="E100"/>
      <c r="F100"/>
      <c r="G100"/>
    </row>
  </sheetData>
  <mergeCells count="19">
    <mergeCell ref="G2:J2"/>
    <mergeCell ref="D4:M4"/>
    <mergeCell ref="R5:S5"/>
    <mergeCell ref="H79:I79"/>
    <mergeCell ref="E79:G7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s>
  <pageMargins left="0.75" right="0.75" top="1" bottom="1" header="0" footer="0"/>
  <pageSetup orientation="portrait" horizontalDpi="4294967292"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893B-F97F-D349-8AC3-4019A36A444F}">
  <dimension ref="A2:E31"/>
  <sheetViews>
    <sheetView zoomScale="125" workbookViewId="0">
      <selection activeCell="B20" sqref="B20"/>
    </sheetView>
  </sheetViews>
  <sheetFormatPr defaultColWidth="11.42578125" defaultRowHeight="12.75"/>
  <cols>
    <col min="2" max="2" width="68.42578125" bestFit="1" customWidth="1"/>
  </cols>
  <sheetData>
    <row r="2" spans="1:4">
      <c r="A2" s="702"/>
      <c r="B2" s="702"/>
      <c r="C2" s="702"/>
      <c r="D2" s="702"/>
    </row>
    <row r="3" spans="1:4">
      <c r="A3" s="702"/>
      <c r="B3" s="702"/>
      <c r="C3" s="702"/>
      <c r="D3" s="702"/>
    </row>
    <row r="4" spans="1:4">
      <c r="A4" s="702"/>
      <c r="B4" s="697" t="s">
        <v>664</v>
      </c>
      <c r="C4" s="702"/>
      <c r="D4" s="702"/>
    </row>
    <row r="5" spans="1:4">
      <c r="A5" s="702"/>
      <c r="B5" s="698" t="s">
        <v>665</v>
      </c>
      <c r="C5" s="702"/>
      <c r="D5" s="702"/>
    </row>
    <row r="6" spans="1:4">
      <c r="A6" s="702"/>
      <c r="B6" s="702"/>
      <c r="C6" s="702"/>
      <c r="D6" s="702"/>
    </row>
    <row r="7" spans="1:4">
      <c r="A7" s="702"/>
      <c r="B7" s="698" t="s">
        <v>666</v>
      </c>
      <c r="C7" s="703">
        <v>1.64</v>
      </c>
      <c r="D7" s="698" t="s">
        <v>667</v>
      </c>
    </row>
    <row r="8" spans="1:4">
      <c r="A8" s="702"/>
      <c r="B8" s="698" t="s">
        <v>668</v>
      </c>
      <c r="C8" s="703">
        <v>3.14</v>
      </c>
      <c r="D8" s="698" t="s">
        <v>667</v>
      </c>
    </row>
    <row r="9" spans="1:4">
      <c r="A9" s="702"/>
      <c r="B9" s="698" t="s">
        <v>669</v>
      </c>
      <c r="C9" s="703">
        <v>2.0699999999999998</v>
      </c>
      <c r="D9" s="698" t="s">
        <v>667</v>
      </c>
    </row>
    <row r="10" spans="1:4">
      <c r="A10" s="702"/>
      <c r="B10" s="698" t="s">
        <v>670</v>
      </c>
      <c r="C10" s="703">
        <v>1.47</v>
      </c>
      <c r="D10" s="698" t="s">
        <v>667</v>
      </c>
    </row>
    <row r="11" spans="1:4">
      <c r="A11" s="702"/>
      <c r="B11" s="698" t="s">
        <v>671</v>
      </c>
      <c r="C11" s="703">
        <v>1.62</v>
      </c>
      <c r="D11" s="698" t="s">
        <v>667</v>
      </c>
    </row>
    <row r="12" spans="1:4">
      <c r="A12" s="702"/>
      <c r="B12" s="698" t="s">
        <v>672</v>
      </c>
      <c r="C12" s="703">
        <v>0.12</v>
      </c>
      <c r="D12" s="698" t="s">
        <v>667</v>
      </c>
    </row>
    <row r="13" spans="1:4">
      <c r="A13" s="702"/>
      <c r="B13" s="698" t="s">
        <v>673</v>
      </c>
      <c r="C13" s="703">
        <v>1.26</v>
      </c>
      <c r="D13" s="698" t="s">
        <v>667</v>
      </c>
    </row>
    <row r="14" spans="1:4">
      <c r="A14" s="702"/>
      <c r="B14" s="698" t="s">
        <v>674</v>
      </c>
      <c r="C14" s="703">
        <v>2.13</v>
      </c>
      <c r="D14" s="698" t="s">
        <v>667</v>
      </c>
    </row>
    <row r="15" spans="1:4">
      <c r="A15" s="702"/>
      <c r="B15" s="698" t="s">
        <v>675</v>
      </c>
      <c r="C15" s="703">
        <v>2.44</v>
      </c>
      <c r="D15" s="698" t="s">
        <v>667</v>
      </c>
    </row>
    <row r="16" spans="1:4">
      <c r="A16" s="702"/>
      <c r="B16" s="698" t="s">
        <v>676</v>
      </c>
      <c r="C16" s="703">
        <v>1.81</v>
      </c>
      <c r="D16" s="698" t="s">
        <v>667</v>
      </c>
    </row>
    <row r="17" spans="1:5">
      <c r="A17" s="702"/>
      <c r="B17" s="698" t="s">
        <v>677</v>
      </c>
      <c r="C17" s="703">
        <v>1.25</v>
      </c>
      <c r="D17" s="698" t="s">
        <v>667</v>
      </c>
    </row>
    <row r="18" spans="1:5">
      <c r="A18" s="702"/>
      <c r="B18" s="698" t="s">
        <v>678</v>
      </c>
      <c r="C18" s="703">
        <v>4.6900000000000004</v>
      </c>
      <c r="D18" s="698" t="s">
        <v>667</v>
      </c>
    </row>
    <row r="19" spans="1:5">
      <c r="A19" s="702"/>
      <c r="B19" s="698" t="s">
        <v>679</v>
      </c>
      <c r="C19" s="704">
        <v>8</v>
      </c>
      <c r="D19" s="698" t="s">
        <v>667</v>
      </c>
    </row>
    <row r="20" spans="1:5">
      <c r="A20" s="702"/>
      <c r="B20" s="698" t="s">
        <v>680</v>
      </c>
      <c r="C20" s="706">
        <v>4.5</v>
      </c>
      <c r="D20" s="698" t="s">
        <v>667</v>
      </c>
      <c r="E20" s="347">
        <f>C20/100</f>
        <v>4.4999999999999998E-2</v>
      </c>
    </row>
    <row r="21" spans="1:5">
      <c r="A21" s="702"/>
      <c r="B21" s="698" t="s">
        <v>681</v>
      </c>
      <c r="C21" s="706">
        <v>2.2999999999999998</v>
      </c>
      <c r="D21" s="698" t="s">
        <v>667</v>
      </c>
      <c r="E21" s="347">
        <f t="shared" ref="E21:E24" si="0">C21/100</f>
        <v>2.3E-2</v>
      </c>
    </row>
    <row r="22" spans="1:5">
      <c r="A22" s="702"/>
      <c r="B22" s="698" t="s">
        <v>682</v>
      </c>
      <c r="C22" s="706">
        <v>2.1</v>
      </c>
      <c r="D22" s="698" t="s">
        <v>667</v>
      </c>
      <c r="E22" s="347">
        <f t="shared" si="0"/>
        <v>2.1000000000000001E-2</v>
      </c>
    </row>
    <row r="23" spans="1:5">
      <c r="A23" s="702"/>
      <c r="B23" s="698" t="s">
        <v>683</v>
      </c>
      <c r="C23" s="707">
        <v>2</v>
      </c>
      <c r="D23" s="698" t="s">
        <v>667</v>
      </c>
      <c r="E23" s="347">
        <f t="shared" si="0"/>
        <v>0.02</v>
      </c>
    </row>
    <row r="24" spans="1:5">
      <c r="A24" s="702"/>
      <c r="B24" s="698" t="s">
        <v>684</v>
      </c>
      <c r="C24" s="707">
        <v>2</v>
      </c>
      <c r="D24" s="698" t="s">
        <v>667</v>
      </c>
      <c r="E24" s="347">
        <f t="shared" si="0"/>
        <v>0.02</v>
      </c>
    </row>
    <row r="25" spans="1:5">
      <c r="A25" s="702"/>
      <c r="B25" s="698" t="s">
        <v>685</v>
      </c>
      <c r="C25" s="706">
        <v>2.1</v>
      </c>
      <c r="D25" s="698" t="s">
        <v>667</v>
      </c>
      <c r="E25" s="347">
        <f>C25/100</f>
        <v>2.1000000000000001E-2</v>
      </c>
    </row>
    <row r="26" spans="1:5">
      <c r="A26" s="702"/>
      <c r="B26" s="702"/>
      <c r="C26" s="702"/>
      <c r="D26" s="702"/>
    </row>
    <row r="27" spans="1:5">
      <c r="A27" s="702"/>
      <c r="B27" s="702"/>
      <c r="C27" s="702"/>
      <c r="D27" s="702"/>
    </row>
    <row r="28" spans="1:5">
      <c r="A28" s="702"/>
      <c r="B28" s="702"/>
      <c r="C28" s="702"/>
      <c r="D28" s="702"/>
    </row>
    <row r="29" spans="1:5">
      <c r="A29" s="702"/>
      <c r="B29" s="702"/>
      <c r="C29" s="702"/>
      <c r="D29" s="702"/>
    </row>
    <row r="31" spans="1:5">
      <c r="A31" s="11" t="s">
        <v>686</v>
      </c>
      <c r="B31" s="705" t="s">
        <v>687</v>
      </c>
    </row>
  </sheetData>
  <hyperlinks>
    <hyperlink ref="B31" r:id="rId1" xr:uid="{A2BFC15D-DC3B-684C-A6C9-3CBB8930F998}"/>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89774-9D48-884F-94D7-0CB32EFF2FC1}">
  <dimension ref="B4:C25"/>
  <sheetViews>
    <sheetView workbookViewId="0">
      <selection activeCell="E10" sqref="E10"/>
    </sheetView>
  </sheetViews>
  <sheetFormatPr defaultColWidth="11.42578125" defaultRowHeight="12.75"/>
  <sheetData>
    <row r="4" spans="2:3">
      <c r="B4" s="710" t="s">
        <v>688</v>
      </c>
      <c r="C4" s="711"/>
    </row>
    <row r="5" spans="2:3">
      <c r="B5" s="699" t="s">
        <v>689</v>
      </c>
      <c r="C5" s="711"/>
    </row>
    <row r="6" spans="2:3">
      <c r="B6" s="711"/>
      <c r="C6" s="711"/>
    </row>
    <row r="7" spans="2:3">
      <c r="B7" s="699" t="s">
        <v>666</v>
      </c>
      <c r="C7" s="700">
        <v>218.08</v>
      </c>
    </row>
    <row r="8" spans="2:3">
      <c r="B8" s="699" t="s">
        <v>668</v>
      </c>
      <c r="C8" s="700">
        <v>224.92</v>
      </c>
    </row>
    <row r="9" spans="2:3">
      <c r="B9" s="699" t="s">
        <v>669</v>
      </c>
      <c r="C9" s="700">
        <v>229.59</v>
      </c>
    </row>
    <row r="10" spans="2:3">
      <c r="B10" s="699" t="s">
        <v>670</v>
      </c>
      <c r="C10" s="700">
        <v>232.95</v>
      </c>
    </row>
    <row r="11" spans="2:3">
      <c r="B11" s="699" t="s">
        <v>671</v>
      </c>
      <c r="C11" s="700">
        <v>236.72</v>
      </c>
    </row>
    <row r="12" spans="2:3">
      <c r="B12" s="699" t="s">
        <v>672</v>
      </c>
      <c r="C12" s="701">
        <v>237</v>
      </c>
    </row>
    <row r="13" spans="2:3">
      <c r="B13" s="699" t="s">
        <v>673</v>
      </c>
      <c r="C13" s="700">
        <v>240.01</v>
      </c>
    </row>
    <row r="14" spans="2:3">
      <c r="B14" s="699" t="s">
        <v>674</v>
      </c>
      <c r="C14" s="700">
        <v>245.12</v>
      </c>
    </row>
    <row r="15" spans="2:3">
      <c r="B15" s="699" t="s">
        <v>675</v>
      </c>
      <c r="C15" s="700">
        <v>251.1</v>
      </c>
    </row>
    <row r="16" spans="2:3">
      <c r="B16" s="699" t="s">
        <v>676</v>
      </c>
      <c r="C16" s="700">
        <v>255.65</v>
      </c>
    </row>
    <row r="17" spans="2:3">
      <c r="B17" s="699" t="s">
        <v>677</v>
      </c>
      <c r="C17" s="700">
        <v>258.83999999999997</v>
      </c>
    </row>
    <row r="18" spans="2:3">
      <c r="B18" s="699" t="s">
        <v>678</v>
      </c>
      <c r="C18" s="700">
        <v>270.97000000000003</v>
      </c>
    </row>
    <row r="19" spans="2:3">
      <c r="B19" s="699" t="s">
        <v>679</v>
      </c>
      <c r="C19" s="700">
        <v>292.61</v>
      </c>
    </row>
    <row r="20" spans="2:3">
      <c r="B20" s="699" t="s">
        <v>680</v>
      </c>
      <c r="C20" s="700">
        <v>305.83999999999997</v>
      </c>
    </row>
    <row r="21" spans="2:3">
      <c r="B21" s="699" t="s">
        <v>681</v>
      </c>
      <c r="C21" s="700">
        <v>312.92</v>
      </c>
    </row>
    <row r="22" spans="2:3">
      <c r="B22" s="699" t="s">
        <v>682</v>
      </c>
      <c r="C22" s="700">
        <v>319.51</v>
      </c>
    </row>
    <row r="23" spans="2:3">
      <c r="B23" s="699" t="s">
        <v>683</v>
      </c>
      <c r="C23" s="700">
        <v>325.89</v>
      </c>
    </row>
    <row r="24" spans="2:3">
      <c r="B24" s="699" t="s">
        <v>684</v>
      </c>
      <c r="C24" s="700">
        <v>332.44</v>
      </c>
    </row>
    <row r="25" spans="2:3">
      <c r="B25" s="699" t="s">
        <v>685</v>
      </c>
      <c r="C25" s="700">
        <v>339.39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85546875" defaultRowHeight="12.75"/>
  <cols>
    <col min="1" max="9" width="0" hidden="1" customWidth="1"/>
    <col min="11" max="11" width="21.85546875" bestFit="1" customWidth="1"/>
  </cols>
  <sheetData>
    <row r="2" spans="2:27">
      <c r="E2" s="11" t="s">
        <v>690</v>
      </c>
      <c r="F2" s="11" t="s">
        <v>691</v>
      </c>
      <c r="H2" s="11" t="s">
        <v>372</v>
      </c>
      <c r="K2" s="1018" t="s">
        <v>690</v>
      </c>
      <c r="L2" s="1020" t="s">
        <v>692</v>
      </c>
      <c r="M2" s="1021"/>
      <c r="N2" s="1021"/>
      <c r="O2" s="1021"/>
      <c r="P2" s="1022"/>
      <c r="Q2" s="1021" t="s">
        <v>330</v>
      </c>
      <c r="R2" s="1021"/>
      <c r="S2" s="1021"/>
      <c r="T2" s="1021"/>
      <c r="U2" s="1021"/>
      <c r="V2" s="1021"/>
      <c r="W2" s="1021"/>
      <c r="X2" s="1021"/>
      <c r="Y2" s="1021"/>
      <c r="Z2" s="1021"/>
      <c r="AA2" s="1022"/>
    </row>
    <row r="3" spans="2:27">
      <c r="E3" t="s">
        <v>693</v>
      </c>
      <c r="F3" t="s">
        <v>694</v>
      </c>
      <c r="H3" s="11" t="s">
        <v>318</v>
      </c>
      <c r="K3" s="1019"/>
      <c r="L3" s="90" t="s">
        <v>695</v>
      </c>
      <c r="M3" s="109" t="s">
        <v>696</v>
      </c>
      <c r="N3" s="109" t="s">
        <v>697</v>
      </c>
      <c r="O3" s="109" t="s">
        <v>698</v>
      </c>
      <c r="P3" s="110" t="s">
        <v>699</v>
      </c>
      <c r="Q3" s="109" t="s">
        <v>700</v>
      </c>
      <c r="R3" s="109" t="s">
        <v>701</v>
      </c>
      <c r="S3" s="109" t="s">
        <v>340</v>
      </c>
      <c r="T3" s="109" t="s">
        <v>702</v>
      </c>
      <c r="U3" s="109" t="s">
        <v>703</v>
      </c>
      <c r="V3" s="109" t="s">
        <v>704</v>
      </c>
      <c r="W3" s="109" t="s">
        <v>705</v>
      </c>
      <c r="X3" s="109" t="s">
        <v>706</v>
      </c>
      <c r="Y3" s="109" t="s">
        <v>707</v>
      </c>
      <c r="Z3" s="109" t="s">
        <v>708</v>
      </c>
      <c r="AA3" s="110" t="s">
        <v>362</v>
      </c>
    </row>
    <row r="4" spans="2:27">
      <c r="B4" s="91"/>
      <c r="E4" t="s">
        <v>693</v>
      </c>
      <c r="F4" t="s">
        <v>709</v>
      </c>
      <c r="H4" s="11" t="s">
        <v>313</v>
      </c>
      <c r="K4" s="111" t="s">
        <v>693</v>
      </c>
      <c r="L4" s="112" t="s">
        <v>372</v>
      </c>
      <c r="M4" t="s">
        <v>372</v>
      </c>
      <c r="N4" t="s">
        <v>318</v>
      </c>
      <c r="O4" t="s">
        <v>372</v>
      </c>
      <c r="P4" s="113" t="s">
        <v>372</v>
      </c>
      <c r="Q4" t="s">
        <v>318</v>
      </c>
      <c r="R4" t="s">
        <v>318</v>
      </c>
      <c r="S4" t="s">
        <v>372</v>
      </c>
      <c r="T4" t="s">
        <v>372</v>
      </c>
      <c r="U4" t="s">
        <v>313</v>
      </c>
      <c r="V4" t="s">
        <v>372</v>
      </c>
      <c r="W4" t="s">
        <v>372</v>
      </c>
      <c r="X4" t="s">
        <v>372</v>
      </c>
      <c r="Y4" t="s">
        <v>372</v>
      </c>
      <c r="Z4" t="s">
        <v>372</v>
      </c>
      <c r="AA4" s="113" t="s">
        <v>318</v>
      </c>
    </row>
    <row r="5" spans="2:27" ht="15">
      <c r="B5" s="105" t="s">
        <v>309</v>
      </c>
      <c r="E5" t="s">
        <v>693</v>
      </c>
      <c r="F5" t="s">
        <v>710</v>
      </c>
      <c r="H5" s="11" t="s">
        <v>711</v>
      </c>
      <c r="K5" s="111" t="s">
        <v>712</v>
      </c>
      <c r="L5" s="112" t="s">
        <v>372</v>
      </c>
      <c r="M5" t="s">
        <v>372</v>
      </c>
      <c r="N5" t="s">
        <v>318</v>
      </c>
      <c r="O5" t="s">
        <v>318</v>
      </c>
      <c r="P5" s="113" t="s">
        <v>372</v>
      </c>
      <c r="Q5" t="s">
        <v>318</v>
      </c>
      <c r="R5" t="s">
        <v>318</v>
      </c>
      <c r="S5" t="s">
        <v>372</v>
      </c>
      <c r="T5" t="s">
        <v>372</v>
      </c>
      <c r="U5" t="s">
        <v>318</v>
      </c>
      <c r="V5" t="s">
        <v>318</v>
      </c>
      <c r="W5" t="s">
        <v>318</v>
      </c>
      <c r="X5" t="s">
        <v>313</v>
      </c>
      <c r="Y5" t="s">
        <v>372</v>
      </c>
      <c r="Z5" t="s">
        <v>313</v>
      </c>
      <c r="AA5" s="113" t="s">
        <v>372</v>
      </c>
    </row>
    <row r="6" spans="2:27">
      <c r="B6" s="107" t="s">
        <v>713</v>
      </c>
      <c r="E6" t="s">
        <v>693</v>
      </c>
      <c r="F6" t="s">
        <v>714</v>
      </c>
      <c r="K6" s="111" t="s">
        <v>292</v>
      </c>
      <c r="L6" s="112" t="s">
        <v>313</v>
      </c>
      <c r="M6" t="s">
        <v>711</v>
      </c>
      <c r="N6" t="s">
        <v>313</v>
      </c>
      <c r="O6" t="s">
        <v>313</v>
      </c>
      <c r="P6" s="113" t="s">
        <v>313</v>
      </c>
      <c r="Q6" t="s">
        <v>318</v>
      </c>
      <c r="R6" t="s">
        <v>313</v>
      </c>
      <c r="S6" t="s">
        <v>313</v>
      </c>
      <c r="T6" t="s">
        <v>372</v>
      </c>
      <c r="U6" t="s">
        <v>318</v>
      </c>
      <c r="V6" t="s">
        <v>318</v>
      </c>
      <c r="W6" t="s">
        <v>372</v>
      </c>
      <c r="X6" t="s">
        <v>313</v>
      </c>
      <c r="Y6" t="s">
        <v>372</v>
      </c>
      <c r="Z6" t="s">
        <v>711</v>
      </c>
      <c r="AA6" s="113" t="s">
        <v>372</v>
      </c>
    </row>
    <row r="7" spans="2:27">
      <c r="B7" s="107" t="s">
        <v>715</v>
      </c>
      <c r="E7" t="s">
        <v>693</v>
      </c>
      <c r="F7" t="s">
        <v>716</v>
      </c>
      <c r="K7" s="111" t="s">
        <v>697</v>
      </c>
      <c r="L7" s="112" t="s">
        <v>711</v>
      </c>
      <c r="M7" t="s">
        <v>711</v>
      </c>
      <c r="N7" t="s">
        <v>318</v>
      </c>
      <c r="O7" t="s">
        <v>711</v>
      </c>
      <c r="P7" s="113" t="s">
        <v>313</v>
      </c>
      <c r="Q7" t="s">
        <v>313</v>
      </c>
      <c r="R7" t="s">
        <v>318</v>
      </c>
      <c r="S7" t="s">
        <v>318</v>
      </c>
      <c r="T7" t="s">
        <v>318</v>
      </c>
      <c r="U7" t="s">
        <v>318</v>
      </c>
      <c r="V7" t="s">
        <v>313</v>
      </c>
      <c r="W7" t="s">
        <v>318</v>
      </c>
      <c r="X7" t="s">
        <v>318</v>
      </c>
      <c r="Y7" t="s">
        <v>313</v>
      </c>
      <c r="Z7" t="s">
        <v>313</v>
      </c>
      <c r="AA7" s="113" t="s">
        <v>372</v>
      </c>
    </row>
    <row r="8" spans="2:27">
      <c r="B8" s="107"/>
      <c r="K8" s="111" t="s">
        <v>717</v>
      </c>
      <c r="L8" s="112" t="s">
        <v>372</v>
      </c>
      <c r="M8" t="s">
        <v>372</v>
      </c>
      <c r="N8" t="s">
        <v>372</v>
      </c>
      <c r="O8" t="s">
        <v>318</v>
      </c>
      <c r="P8" s="113" t="s">
        <v>318</v>
      </c>
      <c r="Q8" t="s">
        <v>372</v>
      </c>
      <c r="R8" t="s">
        <v>318</v>
      </c>
      <c r="S8" t="s">
        <v>318</v>
      </c>
      <c r="T8" t="s">
        <v>313</v>
      </c>
      <c r="U8" t="s">
        <v>318</v>
      </c>
      <c r="V8" t="s">
        <v>372</v>
      </c>
      <c r="W8" t="s">
        <v>372</v>
      </c>
      <c r="X8" t="s">
        <v>318</v>
      </c>
      <c r="Y8" t="s">
        <v>318</v>
      </c>
      <c r="Z8" t="s">
        <v>313</v>
      </c>
      <c r="AA8" s="113" t="s">
        <v>372</v>
      </c>
    </row>
    <row r="9" spans="2:27">
      <c r="B9" s="107" t="s">
        <v>322</v>
      </c>
      <c r="E9" t="s">
        <v>693</v>
      </c>
      <c r="F9" t="s">
        <v>718</v>
      </c>
      <c r="K9" s="111" t="s">
        <v>719</v>
      </c>
      <c r="L9" s="112" t="s">
        <v>372</v>
      </c>
      <c r="M9" t="s">
        <v>372</v>
      </c>
      <c r="N9" t="s">
        <v>372</v>
      </c>
      <c r="O9" t="s">
        <v>372</v>
      </c>
      <c r="P9" s="113" t="s">
        <v>372</v>
      </c>
      <c r="Q9" t="s">
        <v>372</v>
      </c>
      <c r="R9" t="s">
        <v>372</v>
      </c>
      <c r="S9" t="s">
        <v>318</v>
      </c>
      <c r="T9" t="s">
        <v>313</v>
      </c>
      <c r="U9" t="s">
        <v>318</v>
      </c>
      <c r="V9" t="s">
        <v>372</v>
      </c>
      <c r="W9" t="s">
        <v>372</v>
      </c>
      <c r="X9" t="s">
        <v>372</v>
      </c>
      <c r="Y9" t="s">
        <v>372</v>
      </c>
      <c r="Z9" t="s">
        <v>318</v>
      </c>
      <c r="AA9" s="113" t="s">
        <v>372</v>
      </c>
    </row>
    <row r="10" spans="2:27">
      <c r="B10" s="107"/>
      <c r="K10" s="111" t="s">
        <v>720</v>
      </c>
      <c r="L10" s="112" t="s">
        <v>372</v>
      </c>
      <c r="M10" t="s">
        <v>318</v>
      </c>
      <c r="N10" t="s">
        <v>372</v>
      </c>
      <c r="O10" t="s">
        <v>318</v>
      </c>
      <c r="P10" s="113" t="s">
        <v>313</v>
      </c>
      <c r="Q10" t="s">
        <v>372</v>
      </c>
      <c r="R10" t="s">
        <v>372</v>
      </c>
      <c r="S10" t="s">
        <v>372</v>
      </c>
      <c r="T10" t="s">
        <v>372</v>
      </c>
      <c r="U10" t="s">
        <v>372</v>
      </c>
      <c r="V10" t="s">
        <v>372</v>
      </c>
      <c r="W10" t="s">
        <v>372</v>
      </c>
      <c r="X10" t="s">
        <v>372</v>
      </c>
      <c r="Y10" t="s">
        <v>318</v>
      </c>
      <c r="Z10" t="s">
        <v>372</v>
      </c>
      <c r="AA10" s="113" t="s">
        <v>372</v>
      </c>
    </row>
    <row r="11" spans="2:27">
      <c r="B11" s="107" t="s">
        <v>324</v>
      </c>
      <c r="E11" t="s">
        <v>693</v>
      </c>
      <c r="F11" t="s">
        <v>721</v>
      </c>
      <c r="K11" s="111" t="s">
        <v>722</v>
      </c>
      <c r="L11" s="112" t="s">
        <v>372</v>
      </c>
      <c r="M11" t="s">
        <v>318</v>
      </c>
      <c r="N11" t="s">
        <v>372</v>
      </c>
      <c r="O11" t="s">
        <v>372</v>
      </c>
      <c r="P11" s="113" t="s">
        <v>372</v>
      </c>
      <c r="Q11" t="s">
        <v>372</v>
      </c>
      <c r="R11" t="s">
        <v>372</v>
      </c>
      <c r="S11" t="s">
        <v>318</v>
      </c>
      <c r="T11" t="s">
        <v>372</v>
      </c>
      <c r="U11" t="s">
        <v>313</v>
      </c>
      <c r="V11" t="s">
        <v>372</v>
      </c>
      <c r="W11" t="s">
        <v>372</v>
      </c>
      <c r="X11" t="s">
        <v>372</v>
      </c>
      <c r="Y11" t="s">
        <v>372</v>
      </c>
      <c r="Z11" t="s">
        <v>372</v>
      </c>
      <c r="AA11" s="113" t="s">
        <v>372</v>
      </c>
    </row>
    <row r="12" spans="2:27">
      <c r="B12" s="106" t="s">
        <v>723</v>
      </c>
      <c r="E12" t="s">
        <v>693</v>
      </c>
      <c r="F12" t="s">
        <v>724</v>
      </c>
      <c r="K12" s="111" t="s">
        <v>725</v>
      </c>
      <c r="L12" s="112" t="s">
        <v>711</v>
      </c>
      <c r="M12" t="s">
        <v>711</v>
      </c>
      <c r="N12" t="s">
        <v>711</v>
      </c>
      <c r="O12" t="s">
        <v>313</v>
      </c>
      <c r="P12" s="113" t="s">
        <v>313</v>
      </c>
      <c r="Q12" t="s">
        <v>372</v>
      </c>
      <c r="R12" t="s">
        <v>318</v>
      </c>
      <c r="S12" t="s">
        <v>313</v>
      </c>
      <c r="T12" t="s">
        <v>711</v>
      </c>
      <c r="U12" t="s">
        <v>318</v>
      </c>
      <c r="V12" t="s">
        <v>711</v>
      </c>
      <c r="W12" t="s">
        <v>318</v>
      </c>
      <c r="X12" t="s">
        <v>711</v>
      </c>
      <c r="Y12" t="s">
        <v>711</v>
      </c>
      <c r="Z12" t="s">
        <v>711</v>
      </c>
      <c r="AA12" s="113" t="s">
        <v>313</v>
      </c>
    </row>
    <row r="13" spans="2:27" ht="15">
      <c r="B13" s="105" t="s">
        <v>330</v>
      </c>
      <c r="E13" t="s">
        <v>693</v>
      </c>
      <c r="F13" t="s">
        <v>726</v>
      </c>
      <c r="K13" s="111" t="s">
        <v>727</v>
      </c>
      <c r="L13" s="112" t="s">
        <v>318</v>
      </c>
      <c r="M13" t="s">
        <v>372</v>
      </c>
      <c r="N13" t="s">
        <v>313</v>
      </c>
      <c r="O13" t="s">
        <v>372</v>
      </c>
      <c r="P13" s="113" t="s">
        <v>372</v>
      </c>
      <c r="Q13" t="s">
        <v>372</v>
      </c>
      <c r="R13" t="s">
        <v>372</v>
      </c>
      <c r="S13" t="s">
        <v>372</v>
      </c>
      <c r="T13" t="s">
        <v>372</v>
      </c>
      <c r="U13" t="s">
        <v>313</v>
      </c>
      <c r="V13" t="s">
        <v>372</v>
      </c>
      <c r="W13" t="s">
        <v>372</v>
      </c>
      <c r="X13" t="s">
        <v>372</v>
      </c>
      <c r="Y13" t="s">
        <v>372</v>
      </c>
      <c r="Z13" t="s">
        <v>318</v>
      </c>
      <c r="AA13" s="113" t="s">
        <v>711</v>
      </c>
    </row>
    <row r="14" spans="2:27">
      <c r="B14" s="95" t="s">
        <v>728</v>
      </c>
      <c r="E14" t="s">
        <v>693</v>
      </c>
      <c r="F14" t="s">
        <v>729</v>
      </c>
      <c r="K14" s="111" t="s">
        <v>730</v>
      </c>
      <c r="L14" s="112" t="s">
        <v>711</v>
      </c>
      <c r="M14" t="s">
        <v>711</v>
      </c>
      <c r="N14" t="s">
        <v>711</v>
      </c>
      <c r="O14" t="s">
        <v>711</v>
      </c>
      <c r="P14" s="113" t="s">
        <v>313</v>
      </c>
      <c r="Q14" t="s">
        <v>313</v>
      </c>
      <c r="R14" t="s">
        <v>313</v>
      </c>
      <c r="S14" t="s">
        <v>318</v>
      </c>
      <c r="T14" t="s">
        <v>313</v>
      </c>
      <c r="U14" t="s">
        <v>372</v>
      </c>
      <c r="V14" t="s">
        <v>711</v>
      </c>
      <c r="W14" t="s">
        <v>318</v>
      </c>
      <c r="X14" t="s">
        <v>318</v>
      </c>
      <c r="Y14" t="s">
        <v>711</v>
      </c>
      <c r="Z14" t="s">
        <v>313</v>
      </c>
      <c r="AA14" s="113" t="s">
        <v>318</v>
      </c>
    </row>
    <row r="15" spans="2:27">
      <c r="B15" s="95" t="s">
        <v>731</v>
      </c>
      <c r="E15" t="s">
        <v>712</v>
      </c>
      <c r="F15" t="s">
        <v>732</v>
      </c>
      <c r="K15" s="111" t="s">
        <v>733</v>
      </c>
      <c r="L15" s="112" t="s">
        <v>372</v>
      </c>
      <c r="M15" t="s">
        <v>372</v>
      </c>
      <c r="N15" t="s">
        <v>318</v>
      </c>
      <c r="O15" t="s">
        <v>372</v>
      </c>
      <c r="P15" s="113" t="s">
        <v>372</v>
      </c>
      <c r="Q15" t="s">
        <v>318</v>
      </c>
      <c r="R15" t="s">
        <v>372</v>
      </c>
      <c r="S15" t="s">
        <v>372</v>
      </c>
      <c r="T15" t="s">
        <v>372</v>
      </c>
      <c r="U15" t="s">
        <v>313</v>
      </c>
      <c r="V15" t="s">
        <v>372</v>
      </c>
      <c r="W15" t="s">
        <v>318</v>
      </c>
      <c r="X15" t="s">
        <v>372</v>
      </c>
      <c r="Y15" t="s">
        <v>318</v>
      </c>
      <c r="Z15" t="s">
        <v>372</v>
      </c>
      <c r="AA15" s="113" t="s">
        <v>372</v>
      </c>
    </row>
    <row r="16" spans="2:27">
      <c r="B16" s="98" t="s">
        <v>734</v>
      </c>
      <c r="E16" t="s">
        <v>712</v>
      </c>
      <c r="F16" t="s">
        <v>735</v>
      </c>
      <c r="K16" s="114" t="s">
        <v>736</v>
      </c>
      <c r="L16" s="115" t="s">
        <v>711</v>
      </c>
      <c r="M16" s="116" t="s">
        <v>313</v>
      </c>
      <c r="N16" s="116" t="s">
        <v>313</v>
      </c>
      <c r="O16" s="116" t="s">
        <v>318</v>
      </c>
      <c r="P16" s="117" t="s">
        <v>313</v>
      </c>
      <c r="Q16" s="116" t="s">
        <v>372</v>
      </c>
      <c r="R16" s="116" t="s">
        <v>318</v>
      </c>
      <c r="S16" s="116" t="s">
        <v>318</v>
      </c>
      <c r="T16" s="116" t="s">
        <v>372</v>
      </c>
      <c r="U16" s="116" t="s">
        <v>318</v>
      </c>
      <c r="V16" s="116" t="s">
        <v>318</v>
      </c>
      <c r="W16" s="116" t="s">
        <v>318</v>
      </c>
      <c r="X16" s="116" t="s">
        <v>318</v>
      </c>
      <c r="Y16" s="116" t="s">
        <v>372</v>
      </c>
      <c r="Z16" s="116" t="s">
        <v>318</v>
      </c>
      <c r="AA16" s="117" t="s">
        <v>372</v>
      </c>
    </row>
    <row r="17" spans="2:22">
      <c r="B17" s="98" t="s">
        <v>737</v>
      </c>
      <c r="E17" t="s">
        <v>712</v>
      </c>
      <c r="F17" t="s">
        <v>738</v>
      </c>
    </row>
    <row r="18" spans="2:22" hidden="1">
      <c r="B18" s="95" t="s">
        <v>739</v>
      </c>
      <c r="E18" t="s">
        <v>712</v>
      </c>
      <c r="F18" t="s">
        <v>740</v>
      </c>
    </row>
    <row r="19" spans="2:22" hidden="1">
      <c r="B19" s="95" t="s">
        <v>741</v>
      </c>
      <c r="E19" t="s">
        <v>712</v>
      </c>
      <c r="F19" t="s">
        <v>742</v>
      </c>
      <c r="L19" s="118" t="s">
        <v>693</v>
      </c>
      <c r="M19" s="119" t="s">
        <v>712</v>
      </c>
      <c r="N19" s="119" t="s">
        <v>292</v>
      </c>
      <c r="O19" s="119" t="s">
        <v>697</v>
      </c>
      <c r="P19" s="119" t="s">
        <v>719</v>
      </c>
      <c r="Q19" s="119" t="s">
        <v>722</v>
      </c>
      <c r="R19" s="119" t="s">
        <v>725</v>
      </c>
      <c r="S19" s="119" t="s">
        <v>727</v>
      </c>
      <c r="T19" s="119" t="s">
        <v>730</v>
      </c>
      <c r="U19" s="119" t="s">
        <v>733</v>
      </c>
      <c r="V19" s="120" t="s">
        <v>736</v>
      </c>
    </row>
    <row r="20" spans="2:22" hidden="1">
      <c r="B20" s="95" t="s">
        <v>348</v>
      </c>
      <c r="E20" t="s">
        <v>712</v>
      </c>
      <c r="F20" t="s">
        <v>743</v>
      </c>
      <c r="L20" s="112" t="s">
        <v>694</v>
      </c>
      <c r="M20" t="s">
        <v>732</v>
      </c>
      <c r="N20" t="s">
        <v>744</v>
      </c>
      <c r="O20" t="s">
        <v>745</v>
      </c>
      <c r="P20" t="s">
        <v>746</v>
      </c>
      <c r="Q20" t="s">
        <v>747</v>
      </c>
      <c r="R20" t="s">
        <v>748</v>
      </c>
      <c r="S20" t="s">
        <v>749</v>
      </c>
      <c r="T20" t="s">
        <v>750</v>
      </c>
      <c r="U20" t="s">
        <v>751</v>
      </c>
      <c r="V20" s="113" t="s">
        <v>752</v>
      </c>
    </row>
    <row r="21" spans="2:22" hidden="1">
      <c r="B21" s="95" t="s">
        <v>350</v>
      </c>
      <c r="E21" t="s">
        <v>712</v>
      </c>
      <c r="F21" t="s">
        <v>753</v>
      </c>
      <c r="L21" s="112" t="s">
        <v>709</v>
      </c>
      <c r="M21" t="s">
        <v>735</v>
      </c>
      <c r="N21" t="s">
        <v>754</v>
      </c>
      <c r="O21" t="s">
        <v>755</v>
      </c>
      <c r="P21" t="s">
        <v>756</v>
      </c>
      <c r="Q21" t="s">
        <v>757</v>
      </c>
      <c r="R21" t="s">
        <v>758</v>
      </c>
      <c r="S21" t="s">
        <v>759</v>
      </c>
      <c r="T21" t="s">
        <v>760</v>
      </c>
      <c r="U21" t="s">
        <v>761</v>
      </c>
      <c r="V21" s="113" t="s">
        <v>762</v>
      </c>
    </row>
    <row r="22" spans="2:22" hidden="1">
      <c r="B22" s="95" t="s">
        <v>355</v>
      </c>
      <c r="E22" t="s">
        <v>712</v>
      </c>
      <c r="F22" t="s">
        <v>763</v>
      </c>
      <c r="L22" s="112" t="s">
        <v>710</v>
      </c>
      <c r="M22" t="s">
        <v>738</v>
      </c>
      <c r="N22" t="s">
        <v>764</v>
      </c>
      <c r="O22" t="s">
        <v>765</v>
      </c>
      <c r="P22" t="s">
        <v>766</v>
      </c>
      <c r="Q22" t="s">
        <v>767</v>
      </c>
      <c r="R22" t="s">
        <v>768</v>
      </c>
      <c r="S22" t="s">
        <v>769</v>
      </c>
      <c r="T22" t="s">
        <v>770</v>
      </c>
      <c r="U22" t="s">
        <v>771</v>
      </c>
      <c r="V22" s="113" t="s">
        <v>772</v>
      </c>
    </row>
    <row r="23" spans="2:22" hidden="1">
      <c r="B23" s="95" t="s">
        <v>361</v>
      </c>
      <c r="E23" t="s">
        <v>712</v>
      </c>
      <c r="F23" t="s">
        <v>773</v>
      </c>
      <c r="L23" s="112" t="s">
        <v>714</v>
      </c>
      <c r="M23" t="s">
        <v>740</v>
      </c>
      <c r="N23" t="s">
        <v>774</v>
      </c>
      <c r="O23" t="s">
        <v>775</v>
      </c>
      <c r="P23" t="s">
        <v>776</v>
      </c>
      <c r="Q23" t="s">
        <v>777</v>
      </c>
      <c r="R23" t="s">
        <v>778</v>
      </c>
      <c r="S23" t="s">
        <v>779</v>
      </c>
      <c r="T23" t="s">
        <v>780</v>
      </c>
      <c r="U23" t="s">
        <v>781</v>
      </c>
      <c r="V23" s="113" t="s">
        <v>782</v>
      </c>
    </row>
    <row r="24" spans="2:22" hidden="1">
      <c r="B24" s="97" t="s">
        <v>362</v>
      </c>
      <c r="E24" t="s">
        <v>712</v>
      </c>
      <c r="F24" t="s">
        <v>783</v>
      </c>
      <c r="L24" s="112" t="s">
        <v>716</v>
      </c>
      <c r="M24" t="s">
        <v>742</v>
      </c>
      <c r="N24" t="s">
        <v>784</v>
      </c>
      <c r="O24" t="s">
        <v>785</v>
      </c>
      <c r="P24" t="s">
        <v>786</v>
      </c>
      <c r="Q24" t="s">
        <v>787</v>
      </c>
      <c r="R24" t="s">
        <v>788</v>
      </c>
      <c r="S24" t="s">
        <v>789</v>
      </c>
      <c r="T24" t="s">
        <v>790</v>
      </c>
      <c r="U24" t="s">
        <v>791</v>
      </c>
      <c r="V24" s="113" t="s">
        <v>792</v>
      </c>
    </row>
    <row r="25" spans="2:22" hidden="1">
      <c r="E25" t="s">
        <v>712</v>
      </c>
      <c r="F25" t="s">
        <v>793</v>
      </c>
      <c r="L25" s="112" t="s">
        <v>718</v>
      </c>
      <c r="M25" t="s">
        <v>743</v>
      </c>
      <c r="N25" t="s">
        <v>794</v>
      </c>
      <c r="P25" t="s">
        <v>795</v>
      </c>
      <c r="Q25" t="s">
        <v>796</v>
      </c>
      <c r="R25" t="s">
        <v>797</v>
      </c>
      <c r="S25" t="s">
        <v>798</v>
      </c>
      <c r="T25" t="s">
        <v>799</v>
      </c>
      <c r="U25" t="s">
        <v>800</v>
      </c>
      <c r="V25" s="113"/>
    </row>
    <row r="26" spans="2:22" hidden="1">
      <c r="E26" t="s">
        <v>712</v>
      </c>
      <c r="F26" t="s">
        <v>801</v>
      </c>
      <c r="L26" s="112" t="s">
        <v>721</v>
      </c>
      <c r="M26" t="s">
        <v>753</v>
      </c>
      <c r="N26" t="s">
        <v>802</v>
      </c>
      <c r="P26" t="s">
        <v>803</v>
      </c>
      <c r="Q26" t="s">
        <v>804</v>
      </c>
      <c r="R26" t="s">
        <v>805</v>
      </c>
      <c r="S26" t="s">
        <v>806</v>
      </c>
      <c r="T26" t="s">
        <v>807</v>
      </c>
      <c r="U26" t="s">
        <v>808</v>
      </c>
      <c r="V26" s="113"/>
    </row>
    <row r="27" spans="2:22" hidden="1">
      <c r="E27" t="s">
        <v>712</v>
      </c>
      <c r="F27" t="s">
        <v>809</v>
      </c>
      <c r="L27" s="112" t="s">
        <v>724</v>
      </c>
      <c r="M27" t="s">
        <v>763</v>
      </c>
      <c r="N27" t="s">
        <v>810</v>
      </c>
      <c r="P27" t="s">
        <v>811</v>
      </c>
      <c r="Q27" t="s">
        <v>812</v>
      </c>
      <c r="R27" t="s">
        <v>813</v>
      </c>
      <c r="S27" t="s">
        <v>814</v>
      </c>
      <c r="T27" t="s">
        <v>815</v>
      </c>
      <c r="U27" t="s">
        <v>816</v>
      </c>
      <c r="V27" s="113"/>
    </row>
    <row r="28" spans="2:22" hidden="1">
      <c r="E28" t="s">
        <v>712</v>
      </c>
      <c r="F28" t="s">
        <v>817</v>
      </c>
      <c r="L28" s="112" t="s">
        <v>726</v>
      </c>
      <c r="M28" t="s">
        <v>773</v>
      </c>
      <c r="N28" t="s">
        <v>818</v>
      </c>
      <c r="P28" t="s">
        <v>819</v>
      </c>
      <c r="Q28" t="s">
        <v>820</v>
      </c>
      <c r="R28" t="s">
        <v>821</v>
      </c>
      <c r="S28" t="s">
        <v>822</v>
      </c>
      <c r="T28" t="s">
        <v>823</v>
      </c>
      <c r="V28" s="113"/>
    </row>
    <row r="29" spans="2:22" hidden="1">
      <c r="E29" t="s">
        <v>712</v>
      </c>
      <c r="F29" t="s">
        <v>824</v>
      </c>
      <c r="L29" s="115" t="s">
        <v>729</v>
      </c>
      <c r="M29" s="116" t="s">
        <v>783</v>
      </c>
      <c r="N29" s="116" t="s">
        <v>825</v>
      </c>
      <c r="O29" s="116"/>
      <c r="P29" s="116" t="s">
        <v>826</v>
      </c>
      <c r="Q29" s="116" t="s">
        <v>827</v>
      </c>
      <c r="R29" s="116" t="s">
        <v>828</v>
      </c>
      <c r="S29" s="116" t="s">
        <v>829</v>
      </c>
      <c r="T29" s="116" t="s">
        <v>830</v>
      </c>
      <c r="U29" s="116"/>
      <c r="V29" s="117"/>
    </row>
    <row r="30" spans="2:22" hidden="1">
      <c r="E30" t="s">
        <v>712</v>
      </c>
      <c r="F30" t="s">
        <v>831</v>
      </c>
      <c r="M30" t="s">
        <v>793</v>
      </c>
      <c r="N30" t="s">
        <v>832</v>
      </c>
      <c r="P30" t="s">
        <v>833</v>
      </c>
      <c r="R30" t="s">
        <v>834</v>
      </c>
      <c r="S30" t="s">
        <v>835</v>
      </c>
      <c r="T30" t="s">
        <v>836</v>
      </c>
    </row>
    <row r="31" spans="2:22" hidden="1">
      <c r="E31" t="s">
        <v>712</v>
      </c>
      <c r="F31" t="s">
        <v>837</v>
      </c>
      <c r="M31" t="s">
        <v>801</v>
      </c>
      <c r="N31" t="s">
        <v>838</v>
      </c>
      <c r="P31" t="s">
        <v>839</v>
      </c>
      <c r="R31" t="s">
        <v>840</v>
      </c>
      <c r="S31" t="s">
        <v>841</v>
      </c>
    </row>
    <row r="32" spans="2:22" hidden="1">
      <c r="E32" t="s">
        <v>712</v>
      </c>
      <c r="F32" t="s">
        <v>842</v>
      </c>
      <c r="M32" t="s">
        <v>809</v>
      </c>
      <c r="P32" t="s">
        <v>843</v>
      </c>
      <c r="R32" t="s">
        <v>844</v>
      </c>
      <c r="S32" t="s">
        <v>845</v>
      </c>
    </row>
    <row r="33" spans="5:18" hidden="1">
      <c r="E33" t="s">
        <v>712</v>
      </c>
      <c r="F33" t="s">
        <v>846</v>
      </c>
      <c r="M33" t="s">
        <v>817</v>
      </c>
      <c r="R33" t="s">
        <v>847</v>
      </c>
    </row>
    <row r="34" spans="5:18" hidden="1">
      <c r="E34" t="s">
        <v>712</v>
      </c>
      <c r="F34" t="s">
        <v>848</v>
      </c>
      <c r="M34" t="s">
        <v>824</v>
      </c>
      <c r="R34" t="s">
        <v>849</v>
      </c>
    </row>
    <row r="35" spans="5:18" hidden="1">
      <c r="E35" t="s">
        <v>292</v>
      </c>
      <c r="F35" t="s">
        <v>744</v>
      </c>
      <c r="M35" t="s">
        <v>831</v>
      </c>
      <c r="R35" t="s">
        <v>850</v>
      </c>
    </row>
    <row r="36" spans="5:18" hidden="1">
      <c r="E36" t="s">
        <v>292</v>
      </c>
      <c r="F36" t="s">
        <v>754</v>
      </c>
      <c r="M36" t="s">
        <v>837</v>
      </c>
      <c r="R36" t="s">
        <v>851</v>
      </c>
    </row>
    <row r="37" spans="5:18" hidden="1">
      <c r="E37" t="s">
        <v>292</v>
      </c>
      <c r="F37" t="s">
        <v>764</v>
      </c>
      <c r="M37" t="s">
        <v>842</v>
      </c>
    </row>
    <row r="38" spans="5:18" hidden="1">
      <c r="E38" t="s">
        <v>292</v>
      </c>
      <c r="F38" t="s">
        <v>774</v>
      </c>
      <c r="M38" t="s">
        <v>846</v>
      </c>
    </row>
    <row r="39" spans="5:18" hidden="1">
      <c r="E39" t="s">
        <v>292</v>
      </c>
      <c r="F39" t="s">
        <v>784</v>
      </c>
      <c r="M39" t="s">
        <v>848</v>
      </c>
    </row>
    <row r="40" spans="5:18" hidden="1">
      <c r="E40" t="s">
        <v>292</v>
      </c>
      <c r="F40" t="s">
        <v>794</v>
      </c>
    </row>
    <row r="41" spans="5:18" hidden="1">
      <c r="E41" t="s">
        <v>292</v>
      </c>
      <c r="F41" t="s">
        <v>802</v>
      </c>
    </row>
    <row r="42" spans="5:18">
      <c r="E42" t="s">
        <v>292</v>
      </c>
      <c r="F42" t="s">
        <v>810</v>
      </c>
    </row>
    <row r="43" spans="5:18">
      <c r="E43" t="s">
        <v>292</v>
      </c>
      <c r="F43" t="s">
        <v>818</v>
      </c>
    </row>
    <row r="44" spans="5:18">
      <c r="E44" t="s">
        <v>292</v>
      </c>
      <c r="F44" t="s">
        <v>825</v>
      </c>
    </row>
    <row r="45" spans="5:18">
      <c r="E45" t="s">
        <v>292</v>
      </c>
      <c r="F45" t="s">
        <v>832</v>
      </c>
    </row>
    <row r="46" spans="5:18">
      <c r="E46" t="s">
        <v>292</v>
      </c>
      <c r="F46" t="s">
        <v>838</v>
      </c>
    </row>
    <row r="47" spans="5:18">
      <c r="E47" t="s">
        <v>697</v>
      </c>
      <c r="F47" t="s">
        <v>745</v>
      </c>
    </row>
    <row r="48" spans="5:18">
      <c r="E48" t="s">
        <v>697</v>
      </c>
      <c r="F48" t="s">
        <v>755</v>
      </c>
    </row>
    <row r="49" spans="5:6">
      <c r="E49" t="s">
        <v>697</v>
      </c>
      <c r="F49" t="s">
        <v>765</v>
      </c>
    </row>
    <row r="50" spans="5:6">
      <c r="E50" t="s">
        <v>697</v>
      </c>
      <c r="F50" t="s">
        <v>775</v>
      </c>
    </row>
    <row r="51" spans="5:6">
      <c r="E51" t="s">
        <v>697</v>
      </c>
      <c r="F51" t="s">
        <v>785</v>
      </c>
    </row>
    <row r="52" spans="5:6">
      <c r="E52" t="s">
        <v>719</v>
      </c>
      <c r="F52" t="s">
        <v>746</v>
      </c>
    </row>
    <row r="53" spans="5:6">
      <c r="E53" t="s">
        <v>719</v>
      </c>
      <c r="F53" t="s">
        <v>756</v>
      </c>
    </row>
    <row r="54" spans="5:6">
      <c r="E54" t="s">
        <v>719</v>
      </c>
      <c r="F54" t="s">
        <v>766</v>
      </c>
    </row>
    <row r="55" spans="5:6">
      <c r="E55" t="s">
        <v>719</v>
      </c>
      <c r="F55" t="s">
        <v>776</v>
      </c>
    </row>
    <row r="56" spans="5:6">
      <c r="E56" t="s">
        <v>719</v>
      </c>
      <c r="F56" t="s">
        <v>786</v>
      </c>
    </row>
    <row r="57" spans="5:6">
      <c r="E57" t="s">
        <v>719</v>
      </c>
      <c r="F57" t="s">
        <v>795</v>
      </c>
    </row>
    <row r="58" spans="5:6">
      <c r="E58" t="s">
        <v>719</v>
      </c>
      <c r="F58" t="s">
        <v>803</v>
      </c>
    </row>
    <row r="59" spans="5:6">
      <c r="E59" t="s">
        <v>719</v>
      </c>
      <c r="F59" t="s">
        <v>811</v>
      </c>
    </row>
    <row r="60" spans="5:6">
      <c r="E60" t="s">
        <v>719</v>
      </c>
      <c r="F60" t="s">
        <v>819</v>
      </c>
    </row>
    <row r="61" spans="5:6">
      <c r="E61" t="s">
        <v>719</v>
      </c>
      <c r="F61" t="s">
        <v>826</v>
      </c>
    </row>
    <row r="62" spans="5:6">
      <c r="E62" t="s">
        <v>719</v>
      </c>
      <c r="F62" t="s">
        <v>833</v>
      </c>
    </row>
    <row r="63" spans="5:6">
      <c r="E63" t="s">
        <v>719</v>
      </c>
      <c r="F63" t="s">
        <v>839</v>
      </c>
    </row>
    <row r="64" spans="5:6">
      <c r="E64" t="s">
        <v>719</v>
      </c>
      <c r="F64" t="s">
        <v>843</v>
      </c>
    </row>
    <row r="65" spans="5:6">
      <c r="E65" t="s">
        <v>722</v>
      </c>
      <c r="F65" t="s">
        <v>747</v>
      </c>
    </row>
    <row r="66" spans="5:6">
      <c r="E66" t="s">
        <v>722</v>
      </c>
      <c r="F66" t="s">
        <v>757</v>
      </c>
    </row>
    <row r="67" spans="5:6">
      <c r="E67" t="s">
        <v>722</v>
      </c>
      <c r="F67" t="s">
        <v>767</v>
      </c>
    </row>
    <row r="68" spans="5:6">
      <c r="E68" t="s">
        <v>722</v>
      </c>
      <c r="F68" t="s">
        <v>777</v>
      </c>
    </row>
    <row r="69" spans="5:6">
      <c r="E69" t="s">
        <v>722</v>
      </c>
      <c r="F69" t="s">
        <v>787</v>
      </c>
    </row>
    <row r="70" spans="5:6">
      <c r="E70" t="s">
        <v>722</v>
      </c>
      <c r="F70" t="s">
        <v>796</v>
      </c>
    </row>
    <row r="71" spans="5:6">
      <c r="E71" t="s">
        <v>722</v>
      </c>
      <c r="F71" t="s">
        <v>804</v>
      </c>
    </row>
    <row r="72" spans="5:6">
      <c r="E72" t="s">
        <v>722</v>
      </c>
      <c r="F72" t="s">
        <v>812</v>
      </c>
    </row>
    <row r="73" spans="5:6">
      <c r="E73" t="s">
        <v>722</v>
      </c>
      <c r="F73" t="s">
        <v>820</v>
      </c>
    </row>
    <row r="74" spans="5:6">
      <c r="E74" t="s">
        <v>722</v>
      </c>
      <c r="F74" t="s">
        <v>827</v>
      </c>
    </row>
    <row r="75" spans="5:6">
      <c r="E75" t="s">
        <v>725</v>
      </c>
      <c r="F75" t="s">
        <v>748</v>
      </c>
    </row>
    <row r="76" spans="5:6">
      <c r="E76" t="s">
        <v>725</v>
      </c>
      <c r="F76" t="s">
        <v>758</v>
      </c>
    </row>
    <row r="77" spans="5:6">
      <c r="E77" t="s">
        <v>725</v>
      </c>
      <c r="F77" t="s">
        <v>768</v>
      </c>
    </row>
    <row r="78" spans="5:6">
      <c r="E78" t="s">
        <v>725</v>
      </c>
      <c r="F78" t="s">
        <v>778</v>
      </c>
    </row>
    <row r="79" spans="5:6">
      <c r="E79" t="s">
        <v>725</v>
      </c>
      <c r="F79" t="s">
        <v>788</v>
      </c>
    </row>
    <row r="80" spans="5:6">
      <c r="E80" t="s">
        <v>725</v>
      </c>
      <c r="F80" t="s">
        <v>797</v>
      </c>
    </row>
    <row r="81" spans="5:6">
      <c r="E81" t="s">
        <v>725</v>
      </c>
      <c r="F81" t="s">
        <v>805</v>
      </c>
    </row>
    <row r="82" spans="5:6">
      <c r="E82" t="s">
        <v>725</v>
      </c>
      <c r="F82" t="s">
        <v>813</v>
      </c>
    </row>
    <row r="83" spans="5:6">
      <c r="E83" t="s">
        <v>725</v>
      </c>
      <c r="F83" t="s">
        <v>821</v>
      </c>
    </row>
    <row r="84" spans="5:6">
      <c r="E84" t="s">
        <v>725</v>
      </c>
      <c r="F84" t="s">
        <v>828</v>
      </c>
    </row>
    <row r="85" spans="5:6">
      <c r="E85" t="s">
        <v>725</v>
      </c>
      <c r="F85" t="s">
        <v>834</v>
      </c>
    </row>
    <row r="86" spans="5:6">
      <c r="E86" t="s">
        <v>725</v>
      </c>
      <c r="F86" t="s">
        <v>840</v>
      </c>
    </row>
    <row r="87" spans="5:6">
      <c r="E87" t="s">
        <v>725</v>
      </c>
      <c r="F87" t="s">
        <v>844</v>
      </c>
    </row>
    <row r="88" spans="5:6">
      <c r="E88" t="s">
        <v>725</v>
      </c>
      <c r="F88" t="s">
        <v>847</v>
      </c>
    </row>
    <row r="89" spans="5:6">
      <c r="E89" t="s">
        <v>725</v>
      </c>
      <c r="F89" t="s">
        <v>849</v>
      </c>
    </row>
    <row r="90" spans="5:6">
      <c r="E90" t="s">
        <v>725</v>
      </c>
      <c r="F90" t="s">
        <v>850</v>
      </c>
    </row>
    <row r="91" spans="5:6">
      <c r="E91" t="s">
        <v>725</v>
      </c>
      <c r="F91" t="s">
        <v>851</v>
      </c>
    </row>
    <row r="92" spans="5:6">
      <c r="E92" t="s">
        <v>727</v>
      </c>
      <c r="F92" t="s">
        <v>749</v>
      </c>
    </row>
    <row r="93" spans="5:6">
      <c r="E93" t="s">
        <v>727</v>
      </c>
      <c r="F93" t="s">
        <v>759</v>
      </c>
    </row>
    <row r="94" spans="5:6">
      <c r="E94" t="s">
        <v>727</v>
      </c>
      <c r="F94" t="s">
        <v>769</v>
      </c>
    </row>
    <row r="95" spans="5:6">
      <c r="E95" t="s">
        <v>727</v>
      </c>
      <c r="F95" t="s">
        <v>779</v>
      </c>
    </row>
    <row r="96" spans="5:6">
      <c r="E96" t="s">
        <v>727</v>
      </c>
      <c r="F96" t="s">
        <v>789</v>
      </c>
    </row>
    <row r="97" spans="5:6">
      <c r="E97" t="s">
        <v>727</v>
      </c>
      <c r="F97" t="s">
        <v>798</v>
      </c>
    </row>
    <row r="98" spans="5:6">
      <c r="E98" t="s">
        <v>727</v>
      </c>
      <c r="F98" t="s">
        <v>806</v>
      </c>
    </row>
    <row r="99" spans="5:6">
      <c r="E99" t="s">
        <v>727</v>
      </c>
      <c r="F99" t="s">
        <v>814</v>
      </c>
    </row>
    <row r="100" spans="5:6">
      <c r="E100" t="s">
        <v>727</v>
      </c>
      <c r="F100" t="s">
        <v>822</v>
      </c>
    </row>
    <row r="101" spans="5:6">
      <c r="E101" t="s">
        <v>727</v>
      </c>
      <c r="F101" t="s">
        <v>829</v>
      </c>
    </row>
    <row r="102" spans="5:6">
      <c r="E102" t="s">
        <v>727</v>
      </c>
      <c r="F102" t="s">
        <v>835</v>
      </c>
    </row>
    <row r="103" spans="5:6">
      <c r="E103" t="s">
        <v>727</v>
      </c>
      <c r="F103" t="s">
        <v>841</v>
      </c>
    </row>
    <row r="104" spans="5:6">
      <c r="E104" t="s">
        <v>727</v>
      </c>
      <c r="F104" t="s">
        <v>845</v>
      </c>
    </row>
    <row r="105" spans="5:6">
      <c r="E105" t="s">
        <v>730</v>
      </c>
      <c r="F105" t="s">
        <v>750</v>
      </c>
    </row>
    <row r="106" spans="5:6">
      <c r="E106" t="s">
        <v>730</v>
      </c>
      <c r="F106" t="s">
        <v>760</v>
      </c>
    </row>
    <row r="107" spans="5:6">
      <c r="E107" t="s">
        <v>730</v>
      </c>
      <c r="F107" t="s">
        <v>770</v>
      </c>
    </row>
    <row r="108" spans="5:6">
      <c r="E108" t="s">
        <v>730</v>
      </c>
      <c r="F108" t="s">
        <v>780</v>
      </c>
    </row>
    <row r="109" spans="5:6">
      <c r="E109" t="s">
        <v>730</v>
      </c>
      <c r="F109" t="s">
        <v>790</v>
      </c>
    </row>
    <row r="110" spans="5:6">
      <c r="E110" t="s">
        <v>730</v>
      </c>
      <c r="F110" t="s">
        <v>799</v>
      </c>
    </row>
    <row r="111" spans="5:6">
      <c r="E111" t="s">
        <v>730</v>
      </c>
      <c r="F111" t="s">
        <v>807</v>
      </c>
    </row>
    <row r="112" spans="5:6">
      <c r="E112" t="s">
        <v>730</v>
      </c>
      <c r="F112" t="s">
        <v>815</v>
      </c>
    </row>
    <row r="113" spans="5:6">
      <c r="E113" t="s">
        <v>730</v>
      </c>
      <c r="F113" t="s">
        <v>823</v>
      </c>
    </row>
    <row r="114" spans="5:6">
      <c r="E114" t="s">
        <v>730</v>
      </c>
      <c r="F114" t="s">
        <v>830</v>
      </c>
    </row>
    <row r="115" spans="5:6">
      <c r="E115" t="s">
        <v>730</v>
      </c>
      <c r="F115" t="s">
        <v>836</v>
      </c>
    </row>
    <row r="116" spans="5:6">
      <c r="E116" t="s">
        <v>733</v>
      </c>
      <c r="F116" t="s">
        <v>751</v>
      </c>
    </row>
    <row r="117" spans="5:6">
      <c r="E117" t="s">
        <v>733</v>
      </c>
      <c r="F117" t="s">
        <v>761</v>
      </c>
    </row>
    <row r="118" spans="5:6">
      <c r="E118" t="s">
        <v>733</v>
      </c>
      <c r="F118" t="s">
        <v>771</v>
      </c>
    </row>
    <row r="119" spans="5:6">
      <c r="E119" t="s">
        <v>733</v>
      </c>
      <c r="F119" t="s">
        <v>781</v>
      </c>
    </row>
    <row r="120" spans="5:6">
      <c r="E120" t="s">
        <v>733</v>
      </c>
      <c r="F120" t="s">
        <v>791</v>
      </c>
    </row>
    <row r="121" spans="5:6">
      <c r="E121" t="s">
        <v>733</v>
      </c>
      <c r="F121" t="s">
        <v>800</v>
      </c>
    </row>
    <row r="122" spans="5:6">
      <c r="E122" t="s">
        <v>733</v>
      </c>
      <c r="F122" t="s">
        <v>808</v>
      </c>
    </row>
    <row r="123" spans="5:6">
      <c r="E123" t="s">
        <v>733</v>
      </c>
      <c r="F123" t="s">
        <v>816</v>
      </c>
    </row>
    <row r="124" spans="5:6">
      <c r="E124" t="s">
        <v>736</v>
      </c>
      <c r="F124" t="s">
        <v>752</v>
      </c>
    </row>
    <row r="125" spans="5:6">
      <c r="E125" t="s">
        <v>736</v>
      </c>
      <c r="F125" t="s">
        <v>762</v>
      </c>
    </row>
    <row r="126" spans="5:6">
      <c r="E126" t="s">
        <v>736</v>
      </c>
      <c r="F126" t="s">
        <v>772</v>
      </c>
    </row>
    <row r="127" spans="5:6">
      <c r="E127" t="s">
        <v>736</v>
      </c>
      <c r="F127" t="s">
        <v>782</v>
      </c>
    </row>
    <row r="128" spans="5:6">
      <c r="E128" t="s">
        <v>736</v>
      </c>
      <c r="F128" t="s">
        <v>792</v>
      </c>
    </row>
  </sheetData>
  <mergeCells count="3">
    <mergeCell ref="K2:K3"/>
    <mergeCell ref="L2:P2"/>
    <mergeCell ref="Q2:AA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0a55209b67e2c3a7f46b591ce13950e9">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c49ccb1ab76a2e6c178c18d1b3ea34b2"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E4E33FEE-1117-4802-A5BB-FA073D1C6E04}"/>
</file>

<file path=customXml/itemProps2.xml><?xml version="1.0" encoding="utf-8"?>
<ds:datastoreItem xmlns:ds="http://schemas.openxmlformats.org/officeDocument/2006/customXml" ds:itemID="{42FDB42E-F142-459F-8554-F53954F5D7A3}"/>
</file>

<file path=customXml/itemProps3.xml><?xml version="1.0" encoding="utf-8"?>
<ds:datastoreItem xmlns:ds="http://schemas.openxmlformats.org/officeDocument/2006/customXml" ds:itemID="{A881089C-6E2A-4FD7-A402-55E9C86C97B5}"/>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Telmo Costa Santos</cp:lastModifiedBy>
  <cp:revision/>
  <dcterms:created xsi:type="dcterms:W3CDTF">2000-04-19T14:51:26Z</dcterms:created>
  <dcterms:modified xsi:type="dcterms:W3CDTF">2024-07-14T02:52:10Z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